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printerSettings/printerSettings1.bin" ContentType="application/vnd.openxmlformats-officedocument.spreadsheetml.printerSettings"/>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6.xml" ContentType="application/vnd.openxmlformats-officedocument.drawing+xml"/>
  <Override PartName="/xl/printerSettings/printerSettings4.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C:\Users\tersius\Desktop\"/>
    </mc:Choice>
  </mc:AlternateContent>
  <xr:revisionPtr revIDLastSave="0" documentId="8_{FEE53C45-2A65-4FDD-B8C0-5DCC31881FE5}" xr6:coauthVersionLast="43" xr6:coauthVersionMax="43" xr10:uidLastSave="{00000000-0000-0000-0000-000000000000}"/>
  <workbookProtection workbookPassword="FB84" lockStructure="1"/>
  <bookViews>
    <workbookView xWindow="-120" yWindow="-120" windowWidth="29040" windowHeight="15840" tabRatio="889" activeTab="7" xr2:uid="{00000000-000D-0000-FFFF-FFFF00000000}"/>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Chart1" sheetId="369" r:id="rId15"/>
    <sheet name="A6-FinPos" sheetId="129" r:id="rId16"/>
    <sheet name="A7-CFlow" sheetId="131" r:id="rId17"/>
    <sheet name="A8-ResRecon" sheetId="237" r:id="rId18"/>
    <sheet name="A9-Asset" sheetId="248" r:id="rId19"/>
    <sheet name="A10-SerDel" sheetId="253" r:id="rId20"/>
    <sheet name="SA1" sheetId="255" r:id="rId21"/>
    <sheet name="SA2" sheetId="246" r:id="rId22"/>
    <sheet name="SA3" sheetId="128" r:id="rId23"/>
    <sheet name="SA4" sheetId="141" r:id="rId24"/>
    <sheet name="SA5" sheetId="315" r:id="rId25"/>
    <sheet name="SA6" sheetId="314" r:id="rId26"/>
    <sheet name="SA7" sheetId="147" r:id="rId27"/>
    <sheet name="SA8" sheetId="88" r:id="rId28"/>
    <sheet name="SA9" sheetId="363" r:id="rId29"/>
    <sheet name="SA10" sheetId="123" r:id="rId30"/>
    <sheet name="SA11" sheetId="336" r:id="rId31"/>
    <sheet name="SA12a" sheetId="335" r:id="rId32"/>
    <sheet name="SA12b" sheetId="360" r:id="rId33"/>
    <sheet name="SA13a" sheetId="361" r:id="rId34"/>
    <sheet name="SA13b" sheetId="362" r:id="rId35"/>
    <sheet name="SA14" sheetId="337" r:id="rId36"/>
    <sheet name="SA15" sheetId="142" r:id="rId37"/>
    <sheet name="SA16" sheetId="143" r:id="rId38"/>
    <sheet name="SA17" sheetId="144" r:id="rId39"/>
    <sheet name="SA18" sheetId="136" r:id="rId40"/>
    <sheet name="SA19" sheetId="249" r:id="rId41"/>
    <sheet name="SA20" sheetId="316" r:id="rId42"/>
    <sheet name="SA21" sheetId="305" r:id="rId43"/>
    <sheet name="SA22" sheetId="146" r:id="rId44"/>
    <sheet name="SA23" sheetId="145" r:id="rId45"/>
    <sheet name="SA24" sheetId="148" r:id="rId46"/>
    <sheet name="SA25" sheetId="137" r:id="rId47"/>
    <sheet name="SA26" sheetId="299" r:id="rId48"/>
    <sheet name="SA27" sheetId="298" r:id="rId49"/>
    <sheet name="SA28" sheetId="140" r:id="rId50"/>
    <sheet name="SA29" sheetId="300" r:id="rId51"/>
    <sheet name="SA30" sheetId="95" r:id="rId52"/>
    <sheet name="SA31" sheetId="301" r:id="rId53"/>
    <sheet name="SA32" sheetId="250" r:id="rId54"/>
    <sheet name="SA33" sheetId="139" r:id="rId55"/>
    <sheet name="SA34a" sheetId="134" r:id="rId56"/>
    <sheet name="SA34b" sheetId="350" r:id="rId57"/>
    <sheet name="SA34c" sheetId="349" r:id="rId58"/>
    <sheet name="SA34d" sheetId="358" r:id="rId59"/>
    <sheet name="SA34e" sheetId="367" r:id="rId60"/>
    <sheet name="SA35" sheetId="294" r:id="rId61"/>
    <sheet name="SA36" sheetId="256" r:id="rId62"/>
    <sheet name="SA37" sheetId="296" r:id="rId63"/>
    <sheet name="SA38" sheetId="368" r:id="rId64"/>
    <sheet name="LGDB_EXPORT" sheetId="364" r:id="rId65"/>
  </sheets>
  <externalReferences>
    <externalReference r:id="rId66"/>
    <externalReference r:id="rId67"/>
  </externalReferences>
  <definedNames>
    <definedName name="_ADJ1" localSheetId="32">'Template names'!#REF!</definedName>
    <definedName name="_ADJ1" localSheetId="33">'Template names'!#REF!</definedName>
    <definedName name="_ADJ1" localSheetId="34">'Template names'!#REF!</definedName>
    <definedName name="_ADJ1" localSheetId="58">'Template names'!#REF!</definedName>
    <definedName name="_ADJ1" localSheetId="59">'Template names'!#REF!</definedName>
    <definedName name="_ADJ1" localSheetId="63">'Template names'!#REF!</definedName>
    <definedName name="_ADJ1" localSheetId="28">'Template names'!#REF!</definedName>
    <definedName name="_ADJ1">'Template names'!#REF!</definedName>
    <definedName name="_ADJ10" localSheetId="32">'Template names'!#REF!</definedName>
    <definedName name="_ADJ10" localSheetId="33">'Template names'!#REF!</definedName>
    <definedName name="_ADJ10" localSheetId="34">'Template names'!#REF!</definedName>
    <definedName name="_ADJ10" localSheetId="58">'Template names'!#REF!</definedName>
    <definedName name="_ADJ10" localSheetId="59">'Template names'!#REF!</definedName>
    <definedName name="_ADJ10" localSheetId="63">'Template names'!#REF!</definedName>
    <definedName name="_ADJ10" localSheetId="28">'Template names'!#REF!</definedName>
    <definedName name="_ADJ10">'Template names'!#REF!</definedName>
    <definedName name="_ADJ11" localSheetId="32">'Template names'!#REF!</definedName>
    <definedName name="_ADJ11" localSheetId="33">'Template names'!#REF!</definedName>
    <definedName name="_ADJ11" localSheetId="34">'Template names'!#REF!</definedName>
    <definedName name="_ADJ11" localSheetId="58">'Template names'!#REF!</definedName>
    <definedName name="_ADJ11" localSheetId="59">'Template names'!#REF!</definedName>
    <definedName name="_ADJ11" localSheetId="63">'Template names'!#REF!</definedName>
    <definedName name="_ADJ11" localSheetId="28">'Template names'!#REF!</definedName>
    <definedName name="_ADJ11">'Template names'!#REF!</definedName>
    <definedName name="_ADJ12" localSheetId="32">'Template names'!#REF!</definedName>
    <definedName name="_ADJ12" localSheetId="33">'Template names'!#REF!</definedName>
    <definedName name="_ADJ12" localSheetId="34">'Template names'!#REF!</definedName>
    <definedName name="_ADJ12" localSheetId="58">'Template names'!#REF!</definedName>
    <definedName name="_ADJ12" localSheetId="59">'Template names'!#REF!</definedName>
    <definedName name="_ADJ12" localSheetId="63">'Template names'!#REF!</definedName>
    <definedName name="_ADJ12" localSheetId="28">'Template names'!#REF!</definedName>
    <definedName name="_ADJ12">'Template names'!#REF!</definedName>
    <definedName name="_ADJ13" localSheetId="32">'Template names'!#REF!</definedName>
    <definedName name="_ADJ13" localSheetId="33">'Template names'!#REF!</definedName>
    <definedName name="_ADJ13" localSheetId="34">'Template names'!#REF!</definedName>
    <definedName name="_ADJ13" localSheetId="58">'Template names'!#REF!</definedName>
    <definedName name="_ADJ13" localSheetId="59">'Template names'!#REF!</definedName>
    <definedName name="_ADJ13" localSheetId="63">'Template names'!#REF!</definedName>
    <definedName name="_ADJ13" localSheetId="28">'Template names'!#REF!</definedName>
    <definedName name="_ADJ13">'Template names'!#REF!</definedName>
    <definedName name="_ADJ14" localSheetId="32">'Template names'!#REF!</definedName>
    <definedName name="_ADJ14" localSheetId="33">'Template names'!#REF!</definedName>
    <definedName name="_ADJ14" localSheetId="34">'Template names'!#REF!</definedName>
    <definedName name="_ADJ14" localSheetId="58">'Template names'!#REF!</definedName>
    <definedName name="_ADJ14" localSheetId="59">'Template names'!#REF!</definedName>
    <definedName name="_ADJ14" localSheetId="63">'Template names'!#REF!</definedName>
    <definedName name="_ADJ14" localSheetId="28">'Template names'!#REF!</definedName>
    <definedName name="_ADJ14">'Template names'!#REF!</definedName>
    <definedName name="_ADJ16" localSheetId="32">'Template names'!#REF!</definedName>
    <definedName name="_ADJ16" localSheetId="33">'Template names'!#REF!</definedName>
    <definedName name="_ADJ16" localSheetId="34">'Template names'!#REF!</definedName>
    <definedName name="_ADJ16" localSheetId="58">'Template names'!#REF!</definedName>
    <definedName name="_ADJ16" localSheetId="59">'Template names'!#REF!</definedName>
    <definedName name="_ADJ16" localSheetId="63">'Template names'!#REF!</definedName>
    <definedName name="_ADJ16" localSheetId="28">'Template names'!#REF!</definedName>
    <definedName name="_ADJ16">'Template names'!#REF!</definedName>
    <definedName name="_ADJ17" localSheetId="32">'Template names'!#REF!</definedName>
    <definedName name="_ADJ17" localSheetId="33">'Template names'!#REF!</definedName>
    <definedName name="_ADJ17" localSheetId="34">'Template names'!#REF!</definedName>
    <definedName name="_ADJ17" localSheetId="58">'Template names'!#REF!</definedName>
    <definedName name="_ADJ17" localSheetId="59">'Template names'!#REF!</definedName>
    <definedName name="_ADJ17" localSheetId="63">'Template names'!#REF!</definedName>
    <definedName name="_ADJ17" localSheetId="28">'Template names'!#REF!</definedName>
    <definedName name="_ADJ17">'Template names'!#REF!</definedName>
    <definedName name="_ADJ18" localSheetId="32">'Template names'!#REF!</definedName>
    <definedName name="_ADJ18" localSheetId="33">'Template names'!#REF!</definedName>
    <definedName name="_ADJ18" localSheetId="34">'Template names'!#REF!</definedName>
    <definedName name="_ADJ18" localSheetId="58">'Template names'!#REF!</definedName>
    <definedName name="_ADJ18" localSheetId="59">'Template names'!#REF!</definedName>
    <definedName name="_ADJ18" localSheetId="63">'Template names'!#REF!</definedName>
    <definedName name="_ADJ18" localSheetId="28">'Template names'!#REF!</definedName>
    <definedName name="_ADJ18">'Template names'!#REF!</definedName>
    <definedName name="_ADJ19" localSheetId="32">'Template names'!#REF!</definedName>
    <definedName name="_ADJ19" localSheetId="33">'Template names'!#REF!</definedName>
    <definedName name="_ADJ19" localSheetId="34">'Template names'!#REF!</definedName>
    <definedName name="_ADJ19" localSheetId="58">'Template names'!#REF!</definedName>
    <definedName name="_ADJ19" localSheetId="59">'Template names'!#REF!</definedName>
    <definedName name="_ADJ19" localSheetId="63">'Template names'!#REF!</definedName>
    <definedName name="_ADJ19" localSheetId="28">'Template names'!#REF!</definedName>
    <definedName name="_ADJ19">'Template names'!#REF!</definedName>
    <definedName name="_ADJ2" localSheetId="32">'Template names'!#REF!</definedName>
    <definedName name="_ADJ2" localSheetId="33">'Template names'!#REF!</definedName>
    <definedName name="_ADJ2" localSheetId="34">'Template names'!#REF!</definedName>
    <definedName name="_ADJ2" localSheetId="58">'Template names'!#REF!</definedName>
    <definedName name="_ADJ2" localSheetId="59">'Template names'!#REF!</definedName>
    <definedName name="_ADJ2" localSheetId="63">'Template names'!#REF!</definedName>
    <definedName name="_ADJ2" localSheetId="28">'Template names'!#REF!</definedName>
    <definedName name="_ADJ2">'Template names'!#REF!</definedName>
    <definedName name="_ADJ3" localSheetId="32">'Template names'!#REF!</definedName>
    <definedName name="_ADJ3" localSheetId="33">'Template names'!#REF!</definedName>
    <definedName name="_ADJ3" localSheetId="34">'Template names'!#REF!</definedName>
    <definedName name="_ADJ3" localSheetId="58">'Template names'!#REF!</definedName>
    <definedName name="_ADJ3" localSheetId="59">'Template names'!#REF!</definedName>
    <definedName name="_ADJ3" localSheetId="63">'Template names'!#REF!</definedName>
    <definedName name="_ADJ3" localSheetId="28">'Template names'!#REF!</definedName>
    <definedName name="_ADJ3">'Template names'!#REF!</definedName>
    <definedName name="_ADJ4" localSheetId="32">'Template names'!#REF!</definedName>
    <definedName name="_ADJ4" localSheetId="33">'Template names'!#REF!</definedName>
    <definedName name="_ADJ4" localSheetId="34">'Template names'!#REF!</definedName>
    <definedName name="_ADJ4" localSheetId="58">'Template names'!#REF!</definedName>
    <definedName name="_ADJ4" localSheetId="59">'Template names'!#REF!</definedName>
    <definedName name="_ADJ4" localSheetId="63">'Template names'!#REF!</definedName>
    <definedName name="_ADJ4" localSheetId="28">'Template names'!#REF!</definedName>
    <definedName name="_ADJ4">'Template names'!#REF!</definedName>
    <definedName name="_ADJ5" localSheetId="32">'Template names'!#REF!</definedName>
    <definedName name="_ADJ5" localSheetId="33">'Template names'!#REF!</definedName>
    <definedName name="_ADJ5" localSheetId="34">'Template names'!#REF!</definedName>
    <definedName name="_ADJ5" localSheetId="58">'Template names'!#REF!</definedName>
    <definedName name="_ADJ5" localSheetId="59">'Template names'!#REF!</definedName>
    <definedName name="_ADJ5" localSheetId="63">'Template names'!#REF!</definedName>
    <definedName name="_ADJ5" localSheetId="28">'Template names'!#REF!</definedName>
    <definedName name="_ADJ5">'Template names'!#REF!</definedName>
    <definedName name="_ADJ6" localSheetId="32">'Template names'!#REF!</definedName>
    <definedName name="_ADJ6" localSheetId="33">'Template names'!#REF!</definedName>
    <definedName name="_ADJ6" localSheetId="34">'Template names'!#REF!</definedName>
    <definedName name="_ADJ6" localSheetId="58">'Template names'!#REF!</definedName>
    <definedName name="_ADJ6" localSheetId="59">'Template names'!#REF!</definedName>
    <definedName name="_ADJ6" localSheetId="63">'Template names'!#REF!</definedName>
    <definedName name="_ADJ6" localSheetId="28">'Template names'!#REF!</definedName>
    <definedName name="_ADJ6">'Template names'!#REF!</definedName>
    <definedName name="_ADJ7" localSheetId="32">'Template names'!#REF!</definedName>
    <definedName name="_ADJ7" localSheetId="33">'Template names'!#REF!</definedName>
    <definedName name="_ADJ7" localSheetId="34">'Template names'!#REF!</definedName>
    <definedName name="_ADJ7" localSheetId="58">'Template names'!#REF!</definedName>
    <definedName name="_ADJ7" localSheetId="59">'Template names'!#REF!</definedName>
    <definedName name="_ADJ7" localSheetId="63">'Template names'!#REF!</definedName>
    <definedName name="_ADJ7" localSheetId="28">'Template names'!#REF!</definedName>
    <definedName name="_ADJ7">'Template names'!#REF!</definedName>
    <definedName name="_ADJ8" localSheetId="32">'Template names'!#REF!</definedName>
    <definedName name="_ADJ8" localSheetId="33">'Template names'!#REF!</definedName>
    <definedName name="_ADJ8" localSheetId="34">'Template names'!#REF!</definedName>
    <definedName name="_ADJ8" localSheetId="58">'Template names'!#REF!</definedName>
    <definedName name="_ADJ8" localSheetId="59">'Template names'!#REF!</definedName>
    <definedName name="_ADJ8" localSheetId="63">'Template names'!#REF!</definedName>
    <definedName name="_ADJ8" localSheetId="28">'Template names'!#REF!</definedName>
    <definedName name="_ADJ8">'Template names'!#REF!</definedName>
    <definedName name="_ADJ9" localSheetId="32">'Template names'!#REF!</definedName>
    <definedName name="_ADJ9" localSheetId="33">'Template names'!#REF!</definedName>
    <definedName name="_ADJ9" localSheetId="34">'Template names'!#REF!</definedName>
    <definedName name="_ADJ9" localSheetId="58">'Template names'!#REF!</definedName>
    <definedName name="_ADJ9" localSheetId="59">'Template names'!#REF!</definedName>
    <definedName name="_ADJ9" localSheetId="63">'Template names'!#REF!</definedName>
    <definedName name="_ADJ9" localSheetId="28">'Template names'!#REF!</definedName>
    <definedName name="_ADJ9">'Template names'!#REF!</definedName>
    <definedName name="_ccf04" localSheetId="32">#REF!</definedName>
    <definedName name="_ccf04" localSheetId="33">#REF!</definedName>
    <definedName name="_ccf04" localSheetId="34">#REF!</definedName>
    <definedName name="_ccf04" localSheetId="58">#REF!</definedName>
    <definedName name="_ccf04" localSheetId="59">#REF!</definedName>
    <definedName name="_ccf04" localSheetId="63">#REF!</definedName>
    <definedName name="_ccf04" localSheetId="28">#REF!</definedName>
    <definedName name="_ccf04">#REF!</definedName>
    <definedName name="_ccf05" localSheetId="32">#REF!</definedName>
    <definedName name="_ccf05" localSheetId="33">#REF!</definedName>
    <definedName name="_ccf05" localSheetId="34">#REF!</definedName>
    <definedName name="_ccf05" localSheetId="58">#REF!</definedName>
    <definedName name="_ccf05" localSheetId="59">#REF!</definedName>
    <definedName name="_ccf05" localSheetId="63">#REF!</definedName>
    <definedName name="_ccf05" localSheetId="28">#REF!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2">#REF!</definedName>
    <definedName name="_ecf04" localSheetId="33">#REF!</definedName>
    <definedName name="_ecf04" localSheetId="34">#REF!</definedName>
    <definedName name="_ecf04" localSheetId="58">#REF!</definedName>
    <definedName name="_ecf04" localSheetId="59">#REF!</definedName>
    <definedName name="_ecf04" localSheetId="63">#REF!</definedName>
    <definedName name="_ecf04" localSheetId="28">#REF!</definedName>
    <definedName name="_ecf04">#REF!</definedName>
    <definedName name="_ecf05" localSheetId="32">#REF!</definedName>
    <definedName name="_ecf05" localSheetId="33">#REF!</definedName>
    <definedName name="_ecf05" localSheetId="34">#REF!</definedName>
    <definedName name="_ecf05" localSheetId="58">#REF!</definedName>
    <definedName name="_ecf05" localSheetId="59">#REF!</definedName>
    <definedName name="_ecf05" localSheetId="63">#REF!</definedName>
    <definedName name="_ecf05" localSheetId="28">#REF!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2">#REF!</definedName>
    <definedName name="_emp04" localSheetId="33">#REF!</definedName>
    <definedName name="_emp04" localSheetId="34">#REF!</definedName>
    <definedName name="_emp04" localSheetId="58">#REF!</definedName>
    <definedName name="_emp04" localSheetId="59">#REF!</definedName>
    <definedName name="_emp04" localSheetId="63">#REF!</definedName>
    <definedName name="_emp04" localSheetId="28">#REF!</definedName>
    <definedName name="_emp04">#REF!</definedName>
    <definedName name="_emp05" localSheetId="32">#REF!</definedName>
    <definedName name="_emp05" localSheetId="33">#REF!</definedName>
    <definedName name="_emp05" localSheetId="34">#REF!</definedName>
    <definedName name="_emp05" localSheetId="58">#REF!</definedName>
    <definedName name="_emp05" localSheetId="59">#REF!</definedName>
    <definedName name="_emp05" localSheetId="63">#REF!</definedName>
    <definedName name="_emp05" localSheetId="28">#REF!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structure'!$A$1:$D$167</definedName>
    <definedName name="_inf1" localSheetId="32">#REF!</definedName>
    <definedName name="_inf1" localSheetId="33">#REF!</definedName>
    <definedName name="_inf1" localSheetId="34">#REF!</definedName>
    <definedName name="_inf1" localSheetId="58">#REF!</definedName>
    <definedName name="_inf1" localSheetId="59">#REF!</definedName>
    <definedName name="_inf1" localSheetId="63">#REF!</definedName>
    <definedName name="_inf1" localSheetId="28">#REF!</definedName>
    <definedName name="_inf1">#REF!</definedName>
    <definedName name="_inf2" localSheetId="32">#REF!</definedName>
    <definedName name="_inf2" localSheetId="33">#REF!</definedName>
    <definedName name="_inf2" localSheetId="34">#REF!</definedName>
    <definedName name="_inf2" localSheetId="58">#REF!</definedName>
    <definedName name="_inf2" localSheetId="59">#REF!</definedName>
    <definedName name="_inf2" localSheetId="63">#REF!</definedName>
    <definedName name="_inf2" localSheetId="28">#REF!</definedName>
    <definedName name="_inf2">#REF!</definedName>
    <definedName name="_inf3" localSheetId="32">#REF!</definedName>
    <definedName name="_inf3" localSheetId="33">#REF!</definedName>
    <definedName name="_inf3" localSheetId="34">#REF!</definedName>
    <definedName name="_inf3" localSheetId="58">#REF!</definedName>
    <definedName name="_inf3" localSheetId="59">#REF!</definedName>
    <definedName name="_inf3" localSheetId="63">#REF!</definedName>
    <definedName name="_inf3" localSheetId="28">#REF!</definedName>
    <definedName name="_inf3">#REF!</definedName>
    <definedName name="_int04" localSheetId="32">#REF!</definedName>
    <definedName name="_int04" localSheetId="33">#REF!</definedName>
    <definedName name="_int04" localSheetId="34">#REF!</definedName>
    <definedName name="_int04" localSheetId="58">#REF!</definedName>
    <definedName name="_int04" localSheetId="59">#REF!</definedName>
    <definedName name="_int04" localSheetId="63">#REF!</definedName>
    <definedName name="_int04" localSheetId="28">#REF!</definedName>
    <definedName name="_int04">#REF!</definedName>
    <definedName name="_int05" localSheetId="32">#REF!</definedName>
    <definedName name="_int05" localSheetId="33">#REF!</definedName>
    <definedName name="_int05" localSheetId="34">#REF!</definedName>
    <definedName name="_int05" localSheetId="58">#REF!</definedName>
    <definedName name="_int05" localSheetId="59">#REF!</definedName>
    <definedName name="_int05" localSheetId="63">#REF!</definedName>
    <definedName name="_int05" localSheetId="28">#REF!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2">#REF!</definedName>
    <definedName name="_inv04" localSheetId="33">#REF!</definedName>
    <definedName name="_inv04" localSheetId="34">#REF!</definedName>
    <definedName name="_inv04" localSheetId="58">#REF!</definedName>
    <definedName name="_inv04" localSheetId="59">#REF!</definedName>
    <definedName name="_inv04" localSheetId="63">#REF!</definedName>
    <definedName name="_inv04" localSheetId="28">#REF!</definedName>
    <definedName name="_inv04">#REF!</definedName>
    <definedName name="_inv05" localSheetId="32">#REF!</definedName>
    <definedName name="_inv05" localSheetId="33">#REF!</definedName>
    <definedName name="_inv05" localSheetId="34">#REF!</definedName>
    <definedName name="_inv05" localSheetId="58">#REF!</definedName>
    <definedName name="_inv05" localSheetId="59">#REF!</definedName>
    <definedName name="_inv05" localSheetId="63">#REF!</definedName>
    <definedName name="_inv05" localSheetId="28">#REF!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2">'Template names'!#REF!</definedName>
    <definedName name="_MEB1" localSheetId="33">'Template names'!#REF!</definedName>
    <definedName name="_MEB1" localSheetId="34">'Template names'!#REF!</definedName>
    <definedName name="_MEB1" localSheetId="58">'Template names'!#REF!</definedName>
    <definedName name="_MEB1" localSheetId="59">'Template names'!#REF!</definedName>
    <definedName name="_MEB1" localSheetId="63">'Template names'!#REF!</definedName>
    <definedName name="_MEB1" localSheetId="28">'Template names'!#REF!</definedName>
    <definedName name="_MEB1">'Template names'!#REF!</definedName>
    <definedName name="_MEB10" localSheetId="32">'Template names'!#REF!</definedName>
    <definedName name="_MEB10" localSheetId="33">'Template names'!#REF!</definedName>
    <definedName name="_MEB10" localSheetId="34">'Template names'!#REF!</definedName>
    <definedName name="_MEB10" localSheetId="58">'Template names'!#REF!</definedName>
    <definedName name="_MEB10" localSheetId="59">'Template names'!#REF!</definedName>
    <definedName name="_MEB10" localSheetId="63">'Template names'!#REF!</definedName>
    <definedName name="_MEB10" localSheetId="28">'Template names'!#REF!</definedName>
    <definedName name="_MEB10">'Template names'!#REF!</definedName>
    <definedName name="_MEB11" localSheetId="32">'Template names'!#REF!</definedName>
    <definedName name="_MEB11" localSheetId="33">'Template names'!#REF!</definedName>
    <definedName name="_MEB11" localSheetId="34">'Template names'!#REF!</definedName>
    <definedName name="_MEB11" localSheetId="58">'Template names'!#REF!</definedName>
    <definedName name="_MEB11" localSheetId="59">'Template names'!#REF!</definedName>
    <definedName name="_MEB11" localSheetId="63">'Template names'!#REF!</definedName>
    <definedName name="_MEB11" localSheetId="28">'Template names'!#REF!</definedName>
    <definedName name="_MEB11">'Template names'!#REF!</definedName>
    <definedName name="_MEB12" localSheetId="32">'Template names'!#REF!</definedName>
    <definedName name="_MEB12" localSheetId="33">'Template names'!#REF!</definedName>
    <definedName name="_MEB12" localSheetId="34">'Template names'!#REF!</definedName>
    <definedName name="_MEB12" localSheetId="58">'Template names'!#REF!</definedName>
    <definedName name="_MEB12" localSheetId="59">'Template names'!#REF!</definedName>
    <definedName name="_MEB12" localSheetId="63">'Template names'!#REF!</definedName>
    <definedName name="_MEB12" localSheetId="28">'Template names'!#REF!</definedName>
    <definedName name="_MEB12">'Template names'!#REF!</definedName>
    <definedName name="_MEB2" localSheetId="32">'Template names'!#REF!</definedName>
    <definedName name="_MEB2" localSheetId="33">'Template names'!#REF!</definedName>
    <definedName name="_MEB2" localSheetId="34">'Template names'!#REF!</definedName>
    <definedName name="_MEB2" localSheetId="58">'Template names'!#REF!</definedName>
    <definedName name="_MEB2" localSheetId="59">'Template names'!#REF!</definedName>
    <definedName name="_MEB2" localSheetId="63">'Template names'!#REF!</definedName>
    <definedName name="_MEB2" localSheetId="28">'Template names'!#REF!</definedName>
    <definedName name="_MEB2">'Template names'!#REF!</definedName>
    <definedName name="_MEB3" localSheetId="32">'Template names'!#REF!</definedName>
    <definedName name="_MEB3" localSheetId="33">'Template names'!#REF!</definedName>
    <definedName name="_MEB3" localSheetId="34">'Template names'!#REF!</definedName>
    <definedName name="_MEB3" localSheetId="58">'Template names'!#REF!</definedName>
    <definedName name="_MEB3" localSheetId="59">'Template names'!#REF!</definedName>
    <definedName name="_MEB3" localSheetId="63">'Template names'!#REF!</definedName>
    <definedName name="_MEB3" localSheetId="28">'Template names'!#REF!</definedName>
    <definedName name="_MEB3">'Template names'!#REF!</definedName>
    <definedName name="_MEB4" localSheetId="32">'Template names'!#REF!</definedName>
    <definedName name="_MEB4" localSheetId="33">'Template names'!#REF!</definedName>
    <definedName name="_MEB4" localSheetId="34">'Template names'!#REF!</definedName>
    <definedName name="_MEB4" localSheetId="58">'Template names'!#REF!</definedName>
    <definedName name="_MEB4" localSheetId="59">'Template names'!#REF!</definedName>
    <definedName name="_MEB4" localSheetId="63">'Template names'!#REF!</definedName>
    <definedName name="_MEB4" localSheetId="28">'Template names'!#REF!</definedName>
    <definedName name="_MEB4">'Template names'!#REF!</definedName>
    <definedName name="_MEB5" localSheetId="32">'Template names'!#REF!</definedName>
    <definedName name="_MEB5" localSheetId="33">'Template names'!#REF!</definedName>
    <definedName name="_MEB5" localSheetId="34">'Template names'!#REF!</definedName>
    <definedName name="_MEB5" localSheetId="58">'Template names'!#REF!</definedName>
    <definedName name="_MEB5" localSheetId="59">'Template names'!#REF!</definedName>
    <definedName name="_MEB5" localSheetId="63">'Template names'!#REF!</definedName>
    <definedName name="_MEB5" localSheetId="28">'Template names'!#REF!</definedName>
    <definedName name="_MEB5">'Template names'!#REF!</definedName>
    <definedName name="_MEB6" localSheetId="32">'Template names'!#REF!</definedName>
    <definedName name="_MEB6" localSheetId="33">'Template names'!#REF!</definedName>
    <definedName name="_MEB6" localSheetId="34">'Template names'!#REF!</definedName>
    <definedName name="_MEB6" localSheetId="58">'Template names'!#REF!</definedName>
    <definedName name="_MEB6" localSheetId="59">'Template names'!#REF!</definedName>
    <definedName name="_MEB6" localSheetId="63">'Template names'!#REF!</definedName>
    <definedName name="_MEB6" localSheetId="28">'Template names'!#REF!</definedName>
    <definedName name="_MEB6">'Template names'!#REF!</definedName>
    <definedName name="_MEB7" localSheetId="32">'Template names'!#REF!</definedName>
    <definedName name="_MEB7" localSheetId="33">'Template names'!#REF!</definedName>
    <definedName name="_MEB7" localSheetId="34">'Template names'!#REF!</definedName>
    <definedName name="_MEB7" localSheetId="58">'Template names'!#REF!</definedName>
    <definedName name="_MEB7" localSheetId="59">'Template names'!#REF!</definedName>
    <definedName name="_MEB7" localSheetId="63">'Template names'!#REF!</definedName>
    <definedName name="_MEB7" localSheetId="28">'Template names'!#REF!</definedName>
    <definedName name="_MEB7">'Template names'!#REF!</definedName>
    <definedName name="_MEB8" localSheetId="32">'Template names'!#REF!</definedName>
    <definedName name="_MEB8" localSheetId="33">'Template names'!#REF!</definedName>
    <definedName name="_MEB8" localSheetId="34">'Template names'!#REF!</definedName>
    <definedName name="_MEB8" localSheetId="58">'Template names'!#REF!</definedName>
    <definedName name="_MEB8" localSheetId="59">'Template names'!#REF!</definedName>
    <definedName name="_MEB8" localSheetId="63">'Template names'!#REF!</definedName>
    <definedName name="_MEB8" localSheetId="28">'Template names'!#REF!</definedName>
    <definedName name="_MEB8">'Template names'!#REF!</definedName>
    <definedName name="_MEB9" localSheetId="32">'Template names'!#REF!</definedName>
    <definedName name="_MEB9" localSheetId="33">'Template names'!#REF!</definedName>
    <definedName name="_MEB9" localSheetId="34">'Template names'!#REF!</definedName>
    <definedName name="_MEB9" localSheetId="58">'Template names'!#REF!</definedName>
    <definedName name="_MEB9" localSheetId="59">'Template names'!#REF!</definedName>
    <definedName name="_MEB9" localSheetId="63">'Template names'!#REF!</definedName>
    <definedName name="_MEB9" localSheetId="28">'Template names'!#REF!</definedName>
    <definedName name="_MEB9">'Template names'!#REF!</definedName>
    <definedName name="_MER1" localSheetId="32">'Template names'!#REF!</definedName>
    <definedName name="_MER1" localSheetId="33">'Template names'!#REF!</definedName>
    <definedName name="_MER1" localSheetId="34">'Template names'!#REF!</definedName>
    <definedName name="_MER1" localSheetId="58">'Template names'!#REF!</definedName>
    <definedName name="_MER1" localSheetId="59">'Template names'!#REF!</definedName>
    <definedName name="_MER1" localSheetId="63">'Template names'!#REF!</definedName>
    <definedName name="_MER1" localSheetId="28">'Template names'!#REF!</definedName>
    <definedName name="_MER1">'Template names'!#REF!</definedName>
    <definedName name="_MER10" localSheetId="32">'Template names'!#REF!</definedName>
    <definedName name="_MER10" localSheetId="33">'Template names'!#REF!</definedName>
    <definedName name="_MER10" localSheetId="34">'Template names'!#REF!</definedName>
    <definedName name="_MER10" localSheetId="58">'Template names'!#REF!</definedName>
    <definedName name="_MER10" localSheetId="59">'Template names'!#REF!</definedName>
    <definedName name="_MER10" localSheetId="63">'Template names'!#REF!</definedName>
    <definedName name="_MER10" localSheetId="28">'Template names'!#REF!</definedName>
    <definedName name="_MER10">'Template names'!#REF!</definedName>
    <definedName name="_MER11" localSheetId="32">'Template names'!#REF!</definedName>
    <definedName name="_MER11" localSheetId="33">'Template names'!#REF!</definedName>
    <definedName name="_MER11" localSheetId="34">'Template names'!#REF!</definedName>
    <definedName name="_MER11" localSheetId="58">'Template names'!#REF!</definedName>
    <definedName name="_MER11" localSheetId="59">'Template names'!#REF!</definedName>
    <definedName name="_MER11" localSheetId="63">'Template names'!#REF!</definedName>
    <definedName name="_MER11" localSheetId="28">'Template names'!#REF!</definedName>
    <definedName name="_MER11">'Template names'!#REF!</definedName>
    <definedName name="_MER2" localSheetId="32">'Template names'!#REF!</definedName>
    <definedName name="_MER2" localSheetId="33">'Template names'!#REF!</definedName>
    <definedName name="_MER2" localSheetId="34">'Template names'!#REF!</definedName>
    <definedName name="_MER2" localSheetId="58">'Template names'!#REF!</definedName>
    <definedName name="_MER2" localSheetId="59">'Template names'!#REF!</definedName>
    <definedName name="_MER2" localSheetId="63">'Template names'!#REF!</definedName>
    <definedName name="_MER2" localSheetId="28">'Template names'!#REF!</definedName>
    <definedName name="_MER2">'Template names'!#REF!</definedName>
    <definedName name="_MER3" localSheetId="32">'Template names'!#REF!</definedName>
    <definedName name="_MER3" localSheetId="33">'Template names'!#REF!</definedName>
    <definedName name="_MER3" localSheetId="34">'Template names'!#REF!</definedName>
    <definedName name="_MER3" localSheetId="58">'Template names'!#REF!</definedName>
    <definedName name="_MER3" localSheetId="59">'Template names'!#REF!</definedName>
    <definedName name="_MER3" localSheetId="63">'Template names'!#REF!</definedName>
    <definedName name="_MER3" localSheetId="28">'Template names'!#REF!</definedName>
    <definedName name="_MER3">'Template names'!#REF!</definedName>
    <definedName name="_MER4" localSheetId="32">'Template names'!#REF!</definedName>
    <definedName name="_MER4" localSheetId="33">'Template names'!#REF!</definedName>
    <definedName name="_MER4" localSheetId="34">'Template names'!#REF!</definedName>
    <definedName name="_MER4" localSheetId="58">'Template names'!#REF!</definedName>
    <definedName name="_MER4" localSheetId="59">'Template names'!#REF!</definedName>
    <definedName name="_MER4" localSheetId="63">'Template names'!#REF!</definedName>
    <definedName name="_MER4" localSheetId="28">'Template names'!#REF!</definedName>
    <definedName name="_MER4">'Template names'!#REF!</definedName>
    <definedName name="_MER5" localSheetId="32">'Template names'!#REF!</definedName>
    <definedName name="_MER5" localSheetId="33">'Template names'!#REF!</definedName>
    <definedName name="_MER5" localSheetId="34">'Template names'!#REF!</definedName>
    <definedName name="_MER5" localSheetId="58">'Template names'!#REF!</definedName>
    <definedName name="_MER5" localSheetId="59">'Template names'!#REF!</definedName>
    <definedName name="_MER5" localSheetId="63">'Template names'!#REF!</definedName>
    <definedName name="_MER5" localSheetId="28">'Template names'!#REF!</definedName>
    <definedName name="_MER5">'Template names'!#REF!</definedName>
    <definedName name="_MER6" localSheetId="32">'Template names'!#REF!</definedName>
    <definedName name="_MER6" localSheetId="33">'Template names'!#REF!</definedName>
    <definedName name="_MER6" localSheetId="34">'Template names'!#REF!</definedName>
    <definedName name="_MER6" localSheetId="58">'Template names'!#REF!</definedName>
    <definedName name="_MER6" localSheetId="59">'Template names'!#REF!</definedName>
    <definedName name="_MER6" localSheetId="63">'Template names'!#REF!</definedName>
    <definedName name="_MER6" localSheetId="28">'Template names'!#REF!</definedName>
    <definedName name="_MER6">'Template names'!#REF!</definedName>
    <definedName name="_MER7" localSheetId="32">'Template names'!#REF!</definedName>
    <definedName name="_MER7" localSheetId="33">'Template names'!#REF!</definedName>
    <definedName name="_MER7" localSheetId="34">'Template names'!#REF!</definedName>
    <definedName name="_MER7" localSheetId="58">'Template names'!#REF!</definedName>
    <definedName name="_MER7" localSheetId="59">'Template names'!#REF!</definedName>
    <definedName name="_MER7" localSheetId="63">'Template names'!#REF!</definedName>
    <definedName name="_MER7" localSheetId="28">'Template names'!#REF!</definedName>
    <definedName name="_MER7">'Template names'!#REF!</definedName>
    <definedName name="_MER8" localSheetId="32">'Template names'!#REF!</definedName>
    <definedName name="_MER8" localSheetId="33">'Template names'!#REF!</definedName>
    <definedName name="_MER8" localSheetId="34">'Template names'!#REF!</definedName>
    <definedName name="_MER8" localSheetId="58">'Template names'!#REF!</definedName>
    <definedName name="_MER8" localSheetId="59">'Template names'!#REF!</definedName>
    <definedName name="_MER8" localSheetId="63">'Template names'!#REF!</definedName>
    <definedName name="_MER8" localSheetId="28">'Template names'!#REF!</definedName>
    <definedName name="_MER8">'Template names'!#REF!</definedName>
    <definedName name="_MER9" localSheetId="32">'Template names'!#REF!</definedName>
    <definedName name="_MER9" localSheetId="33">'Template names'!#REF!</definedName>
    <definedName name="_MER9" localSheetId="34">'Template names'!#REF!</definedName>
    <definedName name="_MER9" localSheetId="58">'Template names'!#REF!</definedName>
    <definedName name="_MER9" localSheetId="59">'Template names'!#REF!</definedName>
    <definedName name="_MER9" localSheetId="63">'Template names'!#REF!</definedName>
    <definedName name="_MER9" localSheetId="28">'Template names'!#REF!</definedName>
    <definedName name="_MER9">'Template names'!#REF!</definedName>
    <definedName name="_rat03" localSheetId="32">#REF!</definedName>
    <definedName name="_rat03" localSheetId="33">#REF!</definedName>
    <definedName name="_rat03" localSheetId="34">#REF!</definedName>
    <definedName name="_rat03" localSheetId="58">#REF!</definedName>
    <definedName name="_rat03" localSheetId="59">#REF!</definedName>
    <definedName name="_rat03" localSheetId="63">#REF!</definedName>
    <definedName name="_rat03" localSheetId="28">#REF!</definedName>
    <definedName name="_rat03">#REF!</definedName>
    <definedName name="_rat04" localSheetId="32">#REF!</definedName>
    <definedName name="_rat04" localSheetId="33">#REF!</definedName>
    <definedName name="_rat04" localSheetId="34">#REF!</definedName>
    <definedName name="_rat04" localSheetId="58">#REF!</definedName>
    <definedName name="_rat04" localSheetId="59">#REF!</definedName>
    <definedName name="_rat04" localSheetId="63">#REF!</definedName>
    <definedName name="_rat04" localSheetId="28">#REF!</definedName>
    <definedName name="_rat04">#REF!</definedName>
    <definedName name="_rat05" localSheetId="32">#REF!</definedName>
    <definedName name="_rat05" localSheetId="33">#REF!</definedName>
    <definedName name="_rat05" localSheetId="34">#REF!</definedName>
    <definedName name="_rat05" localSheetId="58">#REF!</definedName>
    <definedName name="_rat05" localSheetId="59">#REF!</definedName>
    <definedName name="_rat05" localSheetId="63">#REF!</definedName>
    <definedName name="_rat05" localSheetId="28">#REF!</definedName>
    <definedName name="_rat05">#REF!</definedName>
    <definedName name="_rat06" localSheetId="32">#REF!</definedName>
    <definedName name="_rat06" localSheetId="33">#REF!</definedName>
    <definedName name="_rat06" localSheetId="34">#REF!</definedName>
    <definedName name="_rat06" localSheetId="58">#REF!</definedName>
    <definedName name="_rat06" localSheetId="59">#REF!</definedName>
    <definedName name="_rat06" localSheetId="63">#REF!</definedName>
    <definedName name="_rat06" localSheetId="28">#REF!</definedName>
    <definedName name="_rat06">#REF!</definedName>
    <definedName name="_rat07" localSheetId="32">#REF!</definedName>
    <definedName name="_rat07" localSheetId="33">#REF!</definedName>
    <definedName name="_rat07" localSheetId="34">#REF!</definedName>
    <definedName name="_rat07" localSheetId="58">#REF!</definedName>
    <definedName name="_rat07" localSheetId="59">#REF!</definedName>
    <definedName name="_rat07" localSheetId="63">#REF!</definedName>
    <definedName name="_rat07" localSheetId="28">#REF!</definedName>
    <definedName name="_rat07">#REF!</definedName>
    <definedName name="_rat08" localSheetId="32">#REF!</definedName>
    <definedName name="_rat08" localSheetId="33">#REF!</definedName>
    <definedName name="_rat08" localSheetId="34">#REF!</definedName>
    <definedName name="_rat08" localSheetId="58">#REF!</definedName>
    <definedName name="_rat08" localSheetId="59">#REF!</definedName>
    <definedName name="_rat08" localSheetId="63">#REF!</definedName>
    <definedName name="_rat08" localSheetId="28">#REF!</definedName>
    <definedName name="_rat08">#REF!</definedName>
    <definedName name="_rat09" localSheetId="32">#REF!</definedName>
    <definedName name="_rat09" localSheetId="33">#REF!</definedName>
    <definedName name="_rat09" localSheetId="34">#REF!</definedName>
    <definedName name="_rat09" localSheetId="58">#REF!</definedName>
    <definedName name="_rat09" localSheetId="59">#REF!</definedName>
    <definedName name="_rat09" localSheetId="63">#REF!</definedName>
    <definedName name="_rat09" localSheetId="28">#REF!</definedName>
    <definedName name="_rat09">#REF!</definedName>
    <definedName name="_rat10" localSheetId="32">#REF!</definedName>
    <definedName name="_rat10" localSheetId="33">#REF!</definedName>
    <definedName name="_rat10" localSheetId="34">#REF!</definedName>
    <definedName name="_rat10" localSheetId="58">#REF!</definedName>
    <definedName name="_rat10" localSheetId="59">#REF!</definedName>
    <definedName name="_rat10" localSheetId="63">#REF!</definedName>
    <definedName name="_rat10" localSheetId="28">#REF!</definedName>
    <definedName name="_rat10">#REF!</definedName>
    <definedName name="_rat11" localSheetId="32">#REF!</definedName>
    <definedName name="_rat11" localSheetId="33">#REF!</definedName>
    <definedName name="_rat11" localSheetId="34">#REF!</definedName>
    <definedName name="_rat11" localSheetId="58">#REF!</definedName>
    <definedName name="_rat11" localSheetId="59">#REF!</definedName>
    <definedName name="_rat11" localSheetId="63">#REF!</definedName>
    <definedName name="_rat11" localSheetId="28">#REF!</definedName>
    <definedName name="_rat11">#REF!</definedName>
    <definedName name="_rat12" localSheetId="32">#REF!</definedName>
    <definedName name="_rat12" localSheetId="33">#REF!</definedName>
    <definedName name="_rat12" localSheetId="34">#REF!</definedName>
    <definedName name="_rat12" localSheetId="58">#REF!</definedName>
    <definedName name="_rat12" localSheetId="59">#REF!</definedName>
    <definedName name="_rat12" localSheetId="63">#REF!</definedName>
    <definedName name="_rat12" localSheetId="28">#REF!</definedName>
    <definedName name="_rat12">#REF!</definedName>
    <definedName name="_rat13" localSheetId="32">#REF!</definedName>
    <definedName name="_rat13" localSheetId="33">#REF!</definedName>
    <definedName name="_rat13" localSheetId="34">#REF!</definedName>
    <definedName name="_rat13" localSheetId="58">#REF!</definedName>
    <definedName name="_rat13" localSheetId="59">#REF!</definedName>
    <definedName name="_rat13" localSheetId="63">#REF!</definedName>
    <definedName name="_rat13" localSheetId="28">#REF!</definedName>
    <definedName name="_rat13">#REF!</definedName>
    <definedName name="_rgr05" localSheetId="32">#REF!</definedName>
    <definedName name="_rgr05" localSheetId="33">#REF!</definedName>
    <definedName name="_rgr05" localSheetId="34">#REF!</definedName>
    <definedName name="_rgr05" localSheetId="58">#REF!</definedName>
    <definedName name="_rgr05" localSheetId="59">#REF!</definedName>
    <definedName name="_rgr05" localSheetId="63">#REF!</definedName>
    <definedName name="_rgr05" localSheetId="28">#REF!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2">#REF!</definedName>
    <definedName name="_rmc05" localSheetId="33">#REF!</definedName>
    <definedName name="_rmc05" localSheetId="34">#REF!</definedName>
    <definedName name="_rmc05" localSheetId="58">#REF!</definedName>
    <definedName name="_rmc05" localSheetId="59">#REF!</definedName>
    <definedName name="_rmc05" localSheetId="63">#REF!</definedName>
    <definedName name="_rmc05" localSheetId="28">#REF!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dc05" localSheetId="32">#REF!</definedName>
    <definedName name="_sdc05" localSheetId="33">#REF!</definedName>
    <definedName name="_sdc05" localSheetId="34">#REF!</definedName>
    <definedName name="_sdc05" localSheetId="58">#REF!</definedName>
    <definedName name="_sdc05" localSheetId="59">#REF!</definedName>
    <definedName name="_sdc05" localSheetId="63">#REF!</definedName>
    <definedName name="_sdc05" localSheetId="28">#REF!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2">#REF!</definedName>
    <definedName name="_wc05" localSheetId="33">#REF!</definedName>
    <definedName name="_wc05" localSheetId="34">#REF!</definedName>
    <definedName name="_wc05" localSheetId="58">#REF!</definedName>
    <definedName name="_wc05" localSheetId="59">#REF!</definedName>
    <definedName name="_wc05" localSheetId="63">#REF!</definedName>
    <definedName name="_wc05" localSheetId="28">#REF!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32">'Template names'!#REF!</definedName>
    <definedName name="ADJ10plus" localSheetId="33">'Template names'!#REF!</definedName>
    <definedName name="ADJ10plus" localSheetId="34">'Template names'!#REF!</definedName>
    <definedName name="ADJ10plus" localSheetId="58">'Template names'!#REF!</definedName>
    <definedName name="ADJ10plus" localSheetId="59">'Template names'!#REF!</definedName>
    <definedName name="ADJ10plus" localSheetId="63">'Template names'!#REF!</definedName>
    <definedName name="ADJ10plus" localSheetId="28">'Template names'!#REF!</definedName>
    <definedName name="ADJ10plus">'Template names'!#REF!</definedName>
    <definedName name="ADJ18A" localSheetId="32">'Template names'!#REF!</definedName>
    <definedName name="ADJ18A" localSheetId="33">'Template names'!#REF!</definedName>
    <definedName name="ADJ18A" localSheetId="34">'Template names'!#REF!</definedName>
    <definedName name="ADJ18A" localSheetId="58">'Template names'!#REF!</definedName>
    <definedName name="ADJ18A" localSheetId="59">'Template names'!#REF!</definedName>
    <definedName name="ADJ18A" localSheetId="63">'Template names'!#REF!</definedName>
    <definedName name="ADJ18A" localSheetId="28">'Template names'!#REF!</definedName>
    <definedName name="ADJ18A">'Template names'!#REF!</definedName>
    <definedName name="ADJ18B" localSheetId="32">'Template names'!#REF!</definedName>
    <definedName name="ADJ18B" localSheetId="33">'Template names'!#REF!</definedName>
    <definedName name="ADJ18B" localSheetId="34">'Template names'!#REF!</definedName>
    <definedName name="ADJ18B" localSheetId="58">'Template names'!#REF!</definedName>
    <definedName name="ADJ18B" localSheetId="59">'Template names'!#REF!</definedName>
    <definedName name="ADJ18B" localSheetId="63">'Template names'!#REF!</definedName>
    <definedName name="ADJ18B" localSheetId="28">'Template names'!#REF!</definedName>
    <definedName name="ADJ18B">'Template names'!#REF!</definedName>
    <definedName name="ADJ19B" localSheetId="32">'Template names'!#REF!</definedName>
    <definedName name="ADJ19B" localSheetId="33">'Template names'!#REF!</definedName>
    <definedName name="ADJ19B" localSheetId="34">'Template names'!#REF!</definedName>
    <definedName name="ADJ19B" localSheetId="58">'Template names'!#REF!</definedName>
    <definedName name="ADJ19B" localSheetId="59">'Template names'!#REF!</definedName>
    <definedName name="ADJ19B" localSheetId="63">'Template names'!#REF!</definedName>
    <definedName name="ADJ19B" localSheetId="28">'Template names'!#REF!</definedName>
    <definedName name="ADJ19B">'Template names'!#REF!</definedName>
    <definedName name="ADJ8A" localSheetId="32">'Template names'!#REF!</definedName>
    <definedName name="ADJ8A" localSheetId="33">'Template names'!#REF!</definedName>
    <definedName name="ADJ8A" localSheetId="34">'Template names'!#REF!</definedName>
    <definedName name="ADJ8A" localSheetId="58">'Template names'!#REF!</definedName>
    <definedName name="ADJ8A" localSheetId="59">'Template names'!#REF!</definedName>
    <definedName name="ADJ8A" localSheetId="63">'Template names'!#REF!</definedName>
    <definedName name="ADJ8A" localSheetId="28">'Template names'!#REF!</definedName>
    <definedName name="ADJ8A">'Template names'!#REF!</definedName>
    <definedName name="ADJ8B" localSheetId="32">'Template names'!#REF!</definedName>
    <definedName name="ADJ8B" localSheetId="33">'Template names'!#REF!</definedName>
    <definedName name="ADJ8B" localSheetId="34">'Template names'!#REF!</definedName>
    <definedName name="ADJ8B" localSheetId="58">'Template names'!#REF!</definedName>
    <definedName name="ADJ8B" localSheetId="59">'Template names'!#REF!</definedName>
    <definedName name="ADJ8B" localSheetId="63">'Template names'!#REF!</definedName>
    <definedName name="ADJ8B" localSheetId="28">'Template names'!#REF!</definedName>
    <definedName name="ADJ8B">'Template names'!#REF!</definedName>
    <definedName name="ADJP1" localSheetId="32">'Template names'!#REF!</definedName>
    <definedName name="ADJP1" localSheetId="33">'Template names'!#REF!</definedName>
    <definedName name="ADJP1" localSheetId="34">'Template names'!#REF!</definedName>
    <definedName name="ADJP1" localSheetId="58">'Template names'!#REF!</definedName>
    <definedName name="ADJP1" localSheetId="59">'Template names'!#REF!</definedName>
    <definedName name="ADJP1" localSheetId="63">'Template names'!#REF!</definedName>
    <definedName name="ADJP1" localSheetId="28">'Template names'!#REF!</definedName>
    <definedName name="ADJP1">'Template names'!#REF!</definedName>
    <definedName name="adjsum" localSheetId="32">'Template names'!#REF!</definedName>
    <definedName name="adjsum" localSheetId="33">'Template names'!#REF!</definedName>
    <definedName name="adjsum" localSheetId="34">'Template names'!#REF!</definedName>
    <definedName name="adjsum" localSheetId="58">'Template names'!#REF!</definedName>
    <definedName name="adjsum" localSheetId="59">'Template names'!#REF!</definedName>
    <definedName name="adjsum" localSheetId="63">'Template names'!#REF!</definedName>
    <definedName name="adjsum" localSheetId="28">'Template names'!#REF!</definedName>
    <definedName name="adjsum">'Template names'!#REF!</definedName>
    <definedName name="ADJTB1" localSheetId="32">'Template names'!#REF!</definedName>
    <definedName name="ADJTB1" localSheetId="33">'Template names'!#REF!</definedName>
    <definedName name="ADJTB1" localSheetId="34">'Template names'!#REF!</definedName>
    <definedName name="ADJTB1" localSheetId="58">'Template names'!#REF!</definedName>
    <definedName name="ADJTB1" localSheetId="59">'Template names'!#REF!</definedName>
    <definedName name="ADJTB1" localSheetId="63">'Template names'!#REF!</definedName>
    <definedName name="ADJTB1" localSheetId="28">'Template names'!#REF!</definedName>
    <definedName name="ADJTB1">'Template names'!#REF!</definedName>
    <definedName name="ADJXX" localSheetId="32">'Template names'!#REF!</definedName>
    <definedName name="ADJXX" localSheetId="33">'Template names'!#REF!</definedName>
    <definedName name="ADJXX" localSheetId="34">'Template names'!#REF!</definedName>
    <definedName name="ADJXX" localSheetId="58">'Template names'!#REF!</definedName>
    <definedName name="ADJXX" localSheetId="59">'Template names'!#REF!</definedName>
    <definedName name="ADJXX" localSheetId="63">'Template names'!#REF!</definedName>
    <definedName name="ADJXX" localSheetId="28">'Template names'!#REF!</definedName>
    <definedName name="ADJXX">'Template names'!#REF!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class1">'Lookup and lists'!$Z$16:$Z$40</definedName>
    <definedName name="Asset_sub_class">'Lookup and lists'!$AA$15:$AA$59</definedName>
    <definedName name="asset_subclass1">'Lookup and lists'!$AB$16:$AB$124</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2">#REF!</definedName>
    <definedName name="balloon" localSheetId="33">#REF!</definedName>
    <definedName name="balloon" localSheetId="34">#REF!</definedName>
    <definedName name="balloon" localSheetId="58">#REF!</definedName>
    <definedName name="balloon" localSheetId="59">#REF!</definedName>
    <definedName name="balloon" localSheetId="63">#REF!</definedName>
    <definedName name="balloon" localSheetId="28">#REF!</definedName>
    <definedName name="balloon">#REF!</definedName>
    <definedName name="basedesc">'Template names'!$D$39:$D$39</definedName>
    <definedName name="baseindex">'Template names'!$B$88:$B$89</definedName>
    <definedName name="Bus" localSheetId="32">#REF!</definedName>
    <definedName name="Bus" localSheetId="33">#REF!</definedName>
    <definedName name="Bus" localSheetId="34">#REF!</definedName>
    <definedName name="Bus" localSheetId="58">#REF!</definedName>
    <definedName name="Bus" localSheetId="59">#REF!</definedName>
    <definedName name="Bus" localSheetId="63">#REF!</definedName>
    <definedName name="Bus" localSheetId="28">#REF!</definedName>
    <definedName name="Bus">#REF!</definedName>
    <definedName name="capexfactor" localSheetId="32">#REF!</definedName>
    <definedName name="capexfactor" localSheetId="33">#REF!</definedName>
    <definedName name="capexfactor" localSheetId="34">#REF!</definedName>
    <definedName name="capexfactor" localSheetId="58">#REF!</definedName>
    <definedName name="capexfactor" localSheetId="59">#REF!</definedName>
    <definedName name="capexfactor" localSheetId="63">#REF!</definedName>
    <definedName name="capexfactor" localSheetId="28">#REF!</definedName>
    <definedName name="capexfactor">#REF!</definedName>
    <definedName name="capexlimit06">#REF!</definedName>
    <definedName name="capexlimit07">#REF!</definedName>
    <definedName name="capexlimit08">#REF!</definedName>
    <definedName name="capexlimit09">#REF!</definedName>
    <definedName name="capexrate04" localSheetId="32">#REF!</definedName>
    <definedName name="capexrate04" localSheetId="33">#REF!</definedName>
    <definedName name="capexrate04" localSheetId="34">#REF!</definedName>
    <definedName name="capexrate04" localSheetId="58">#REF!</definedName>
    <definedName name="capexrate04" localSheetId="59">#REF!</definedName>
    <definedName name="capexrate04" localSheetId="63">#REF!</definedName>
    <definedName name="capexrate04" localSheetId="28">#REF!</definedName>
    <definedName name="capexrate04">#REF!</definedName>
    <definedName name="capexrate05" localSheetId="32">#REF!</definedName>
    <definedName name="capexrate05" localSheetId="33">#REF!</definedName>
    <definedName name="capexrate05" localSheetId="34">#REF!</definedName>
    <definedName name="capexrate05" localSheetId="58">#REF!</definedName>
    <definedName name="capexrate05" localSheetId="59">#REF!</definedName>
    <definedName name="capexrate05" localSheetId="63">#REF!</definedName>
    <definedName name="capexrate05" localSheetId="28">#REF!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names'!$B$157</definedName>
    <definedName name="ChartA10">'Template names'!$B$166</definedName>
    <definedName name="ChartA11">'Template names'!$B$167</definedName>
    <definedName name="ChartA12">'Template names'!$B$168</definedName>
    <definedName name="ChartA13">'Template names'!$B$169</definedName>
    <definedName name="ChartA2">'Template names'!$B$158</definedName>
    <definedName name="ChartA3">'Template names'!$B$159</definedName>
    <definedName name="ChartA4">'Template names'!$B$160</definedName>
    <definedName name="ChartA5">'Template names'!$B$161</definedName>
    <definedName name="ChartA6">'Template names'!$B$162</definedName>
    <definedName name="ChartA7">'Template names'!$B$163</definedName>
    <definedName name="ChartA8">'Template names'!$B$164</definedName>
    <definedName name="ChartA9">'Template names'!$B$165</definedName>
    <definedName name="choosebase">'Template names'!$B$89:$B$90</definedName>
    <definedName name="Consolques">'Template names'!$A$95</definedName>
    <definedName name="cpix04" localSheetId="32">#REF!</definedName>
    <definedName name="cpix04" localSheetId="33">#REF!</definedName>
    <definedName name="cpix04" localSheetId="34">#REF!</definedName>
    <definedName name="cpix04" localSheetId="58">#REF!</definedName>
    <definedName name="cpix04" localSheetId="59">#REF!</definedName>
    <definedName name="cpix04" localSheetId="63">#REF!</definedName>
    <definedName name="cpix04" localSheetId="28">#REF!</definedName>
    <definedName name="cpix04">#REF!</definedName>
    <definedName name="cpix05" localSheetId="32">#REF!</definedName>
    <definedName name="cpix05" localSheetId="33">#REF!</definedName>
    <definedName name="cpix05" localSheetId="34">#REF!</definedName>
    <definedName name="cpix05" localSheetId="58">#REF!</definedName>
    <definedName name="cpix05" localSheetId="59">#REF!</definedName>
    <definedName name="cpix05" localSheetId="63">#REF!</definedName>
    <definedName name="cpix05" localSheetId="28">#REF!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2">#REF!</definedName>
    <definedName name="credit06" localSheetId="33">#REF!</definedName>
    <definedName name="credit06" localSheetId="34">#REF!</definedName>
    <definedName name="credit06" localSheetId="58">#REF!</definedName>
    <definedName name="credit06" localSheetId="59">#REF!</definedName>
    <definedName name="credit06" localSheetId="63">#REF!</definedName>
    <definedName name="credit06" localSheetId="28">#REF!</definedName>
    <definedName name="credit06">#REF!</definedName>
    <definedName name="date">[1]Data!$B$2</definedName>
    <definedName name="debt03" localSheetId="32">#REF!</definedName>
    <definedName name="debt03" localSheetId="33">#REF!</definedName>
    <definedName name="debt03" localSheetId="34">#REF!</definedName>
    <definedName name="debt03" localSheetId="58">#REF!</definedName>
    <definedName name="debt03" localSheetId="59">#REF!</definedName>
    <definedName name="debt03" localSheetId="63">#REF!</definedName>
    <definedName name="debt03" localSheetId="28">#REF!</definedName>
    <definedName name="debt03">#REF!</definedName>
    <definedName name="debt04" localSheetId="32">#REF!</definedName>
    <definedName name="debt04" localSheetId="33">#REF!</definedName>
    <definedName name="debt04" localSheetId="34">#REF!</definedName>
    <definedName name="debt04" localSheetId="58">#REF!</definedName>
    <definedName name="debt04" localSheetId="59">#REF!</definedName>
    <definedName name="debt04" localSheetId="63">#REF!</definedName>
    <definedName name="debt04" localSheetId="28">#REF!</definedName>
    <definedName name="debt04">#REF!</definedName>
    <definedName name="debt05" localSheetId="32">#REF!</definedName>
    <definedName name="debt05" localSheetId="33">#REF!</definedName>
    <definedName name="debt05" localSheetId="34">#REF!</definedName>
    <definedName name="debt05" localSheetId="58">#REF!</definedName>
    <definedName name="debt05" localSheetId="59">#REF!</definedName>
    <definedName name="debt05" localSheetId="63">#REF!</definedName>
    <definedName name="debt05" localSheetId="28">#REF!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2">#REF!</definedName>
    <definedName name="debtrev04" localSheetId="33">#REF!</definedName>
    <definedName name="debtrev04" localSheetId="34">#REF!</definedName>
    <definedName name="debtrev04" localSheetId="58">#REF!</definedName>
    <definedName name="debtrev04" localSheetId="59">#REF!</definedName>
    <definedName name="debtrev04" localSheetId="63">#REF!</definedName>
    <definedName name="debtrev04" localSheetId="28">#REF!</definedName>
    <definedName name="debtrev04">#REF!</definedName>
    <definedName name="debtrev05" localSheetId="32">#REF!</definedName>
    <definedName name="debtrev05" localSheetId="33">#REF!</definedName>
    <definedName name="debtrev05" localSheetId="34">#REF!</definedName>
    <definedName name="debtrev05" localSheetId="58">#REF!</definedName>
    <definedName name="debtrev05" localSheetId="59">#REF!</definedName>
    <definedName name="debtrev05" localSheetId="63">#REF!</definedName>
    <definedName name="debtrev05" localSheetId="28">#REF!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2">#REF!</definedName>
    <definedName name="ecchoice" localSheetId="33">#REF!</definedName>
    <definedName name="ecchoice" localSheetId="34">#REF!</definedName>
    <definedName name="ecchoice" localSheetId="58">#REF!</definedName>
    <definedName name="ecchoice" localSheetId="59">#REF!</definedName>
    <definedName name="ecchoice" localSheetId="63">#REF!</definedName>
    <definedName name="ecchoice" localSheetId="28">#REF!</definedName>
    <definedName name="ecchoice">#REF!</definedName>
    <definedName name="elec05" localSheetId="32">#REF!</definedName>
    <definedName name="elec05" localSheetId="33">#REF!</definedName>
    <definedName name="elec05" localSheetId="34">#REF!</definedName>
    <definedName name="elec05" localSheetId="58">#REF!</definedName>
    <definedName name="elec05" localSheetId="59">#REF!</definedName>
    <definedName name="elec05" localSheetId="63">#REF!</definedName>
    <definedName name="elec05" localSheetId="28">#REF!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2">#REF!</definedName>
    <definedName name="eskom07" localSheetId="33">#REF!</definedName>
    <definedName name="eskom07" localSheetId="34">#REF!</definedName>
    <definedName name="eskom07" localSheetId="58">#REF!</definedName>
    <definedName name="eskom07" localSheetId="59">#REF!</definedName>
    <definedName name="eskom07" localSheetId="63">#REF!</definedName>
    <definedName name="eskom07" localSheetId="28">#REF!</definedName>
    <definedName name="eskom07">#REF!</definedName>
    <definedName name="FinYear">Instructions!$X$36</definedName>
    <definedName name="finyears" localSheetId="32">#REF!</definedName>
    <definedName name="finyears" localSheetId="33">#REF!</definedName>
    <definedName name="finyears" localSheetId="34">#REF!</definedName>
    <definedName name="finyears" localSheetId="58">#REF!</definedName>
    <definedName name="finyears" localSheetId="59">#REF!</definedName>
    <definedName name="finyears" localSheetId="63">#REF!</definedName>
    <definedName name="finyears" localSheetId="28">#REF!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2">#REF!</definedName>
    <definedName name="hhgr05" localSheetId="33">#REF!</definedName>
    <definedName name="hhgr05" localSheetId="34">#REF!</definedName>
    <definedName name="hhgr05" localSheetId="58">#REF!</definedName>
    <definedName name="hhgr05" localSheetId="59">#REF!</definedName>
    <definedName name="hhgr05" localSheetId="63">#REF!</definedName>
    <definedName name="hhgr05" localSheetId="28">#REF!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2">#REF!</definedName>
    <definedName name="incentive" localSheetId="33">#REF!</definedName>
    <definedName name="incentive" localSheetId="34">#REF!</definedName>
    <definedName name="incentive" localSheetId="58">#REF!</definedName>
    <definedName name="incentive" localSheetId="59">#REF!</definedName>
    <definedName name="incentive" localSheetId="63">#REF!</definedName>
    <definedName name="incentive" localSheetId="28">#REF!</definedName>
    <definedName name="incentive">#REF!</definedName>
    <definedName name="infra">#REF!</definedName>
    <definedName name="Infrarenewal">#REF!</definedName>
    <definedName name="infrastratnum">#REF!</definedName>
    <definedName name="Instructions">#REF!</definedName>
    <definedName name="inventory" localSheetId="32">#REF!</definedName>
    <definedName name="inventory" localSheetId="33">#REF!</definedName>
    <definedName name="inventory" localSheetId="34">#REF!</definedName>
    <definedName name="inventory" localSheetId="58">#REF!</definedName>
    <definedName name="inventory" localSheetId="59">#REF!</definedName>
    <definedName name="inventory" localSheetId="63">#REF!</definedName>
    <definedName name="inventory" localSheetId="28">#REF!</definedName>
    <definedName name="inventory">#REF!</definedName>
    <definedName name="IUDF">'Lookup and lists'!$AC$16:$AC$19</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2">#REF!</definedName>
    <definedName name="longterm" localSheetId="33">#REF!</definedName>
    <definedName name="longterm" localSheetId="34">#REF!</definedName>
    <definedName name="longterm" localSheetId="58">#REF!</definedName>
    <definedName name="longterm" localSheetId="59">#REF!</definedName>
    <definedName name="longterm" localSheetId="63">#REF!</definedName>
    <definedName name="longterm" localSheetId="28">#REF!</definedName>
    <definedName name="longterm">#REF!</definedName>
    <definedName name="MEAB1" localSheetId="32">'Template names'!#REF!</definedName>
    <definedName name="MEAB1" localSheetId="33">'Template names'!#REF!</definedName>
    <definedName name="MEAB1" localSheetId="34">'Template names'!#REF!</definedName>
    <definedName name="MEAB1" localSheetId="58">'Template names'!#REF!</definedName>
    <definedName name="MEAB1" localSheetId="59">'Template names'!#REF!</definedName>
    <definedName name="MEAB1" localSheetId="63">'Template names'!#REF!</definedName>
    <definedName name="MEAB1" localSheetId="28">'Template names'!#REF!</definedName>
    <definedName name="MEAB1">'Template names'!#REF!</definedName>
    <definedName name="MEAB10" localSheetId="32">'Template names'!#REF!</definedName>
    <definedName name="MEAB10" localSheetId="33">'Template names'!#REF!</definedName>
    <definedName name="MEAB10" localSheetId="34">'Template names'!#REF!</definedName>
    <definedName name="MEAB10" localSheetId="58">'Template names'!#REF!</definedName>
    <definedName name="MEAB10" localSheetId="59">'Template names'!#REF!</definedName>
    <definedName name="MEAB10" localSheetId="63">'Template names'!#REF!</definedName>
    <definedName name="MEAB10" localSheetId="28">'Template names'!#REF!</definedName>
    <definedName name="MEAB10">'Template names'!#REF!</definedName>
    <definedName name="MEAB11" localSheetId="32">'Template names'!#REF!</definedName>
    <definedName name="MEAB11" localSheetId="33">'Template names'!#REF!</definedName>
    <definedName name="MEAB11" localSheetId="34">'Template names'!#REF!</definedName>
    <definedName name="MEAB11" localSheetId="58">'Template names'!#REF!</definedName>
    <definedName name="MEAB11" localSheetId="59">'Template names'!#REF!</definedName>
    <definedName name="MEAB11" localSheetId="63">'Template names'!#REF!</definedName>
    <definedName name="MEAB11" localSheetId="28">'Template names'!#REF!</definedName>
    <definedName name="MEAB11">'Template names'!#REF!</definedName>
    <definedName name="MEAB2" localSheetId="32">'Template names'!#REF!</definedName>
    <definedName name="MEAB2" localSheetId="33">'Template names'!#REF!</definedName>
    <definedName name="MEAB2" localSheetId="34">'Template names'!#REF!</definedName>
    <definedName name="MEAB2" localSheetId="58">'Template names'!#REF!</definedName>
    <definedName name="MEAB2" localSheetId="59">'Template names'!#REF!</definedName>
    <definedName name="MEAB2" localSheetId="63">'Template names'!#REF!</definedName>
    <definedName name="MEAB2" localSheetId="28">'Template names'!#REF!</definedName>
    <definedName name="MEAB2">'Template names'!#REF!</definedName>
    <definedName name="MEAB3" localSheetId="32">'Template names'!#REF!</definedName>
    <definedName name="MEAB3" localSheetId="33">'Template names'!#REF!</definedName>
    <definedName name="MEAB3" localSheetId="34">'Template names'!#REF!</definedName>
    <definedName name="MEAB3" localSheetId="58">'Template names'!#REF!</definedName>
    <definedName name="MEAB3" localSheetId="59">'Template names'!#REF!</definedName>
    <definedName name="MEAB3" localSheetId="63">'Template names'!#REF!</definedName>
    <definedName name="MEAB3" localSheetId="28">'Template names'!#REF!</definedName>
    <definedName name="MEAB3">'Template names'!#REF!</definedName>
    <definedName name="MEAB4" localSheetId="32">'Template names'!#REF!</definedName>
    <definedName name="MEAB4" localSheetId="33">'Template names'!#REF!</definedName>
    <definedName name="MEAB4" localSheetId="34">'Template names'!#REF!</definedName>
    <definedName name="MEAB4" localSheetId="58">'Template names'!#REF!</definedName>
    <definedName name="MEAB4" localSheetId="59">'Template names'!#REF!</definedName>
    <definedName name="MEAB4" localSheetId="63">'Template names'!#REF!</definedName>
    <definedName name="MEAB4" localSheetId="28">'Template names'!#REF!</definedName>
    <definedName name="MEAB4">'Template names'!#REF!</definedName>
    <definedName name="MEAB5" localSheetId="32">'Template names'!#REF!</definedName>
    <definedName name="MEAB5" localSheetId="33">'Template names'!#REF!</definedName>
    <definedName name="MEAB5" localSheetId="34">'Template names'!#REF!</definedName>
    <definedName name="MEAB5" localSheetId="58">'Template names'!#REF!</definedName>
    <definedName name="MEAB5" localSheetId="59">'Template names'!#REF!</definedName>
    <definedName name="MEAB5" localSheetId="63">'Template names'!#REF!</definedName>
    <definedName name="MEAB5" localSheetId="28">'Template names'!#REF!</definedName>
    <definedName name="MEAB5">'Template names'!#REF!</definedName>
    <definedName name="MEAB6" localSheetId="32">'Template names'!#REF!</definedName>
    <definedName name="MEAB6" localSheetId="33">'Template names'!#REF!</definedName>
    <definedName name="MEAB6" localSheetId="34">'Template names'!#REF!</definedName>
    <definedName name="MEAB6" localSheetId="58">'Template names'!#REF!</definedName>
    <definedName name="MEAB6" localSheetId="59">'Template names'!#REF!</definedName>
    <definedName name="MEAB6" localSheetId="63">'Template names'!#REF!</definedName>
    <definedName name="MEAB6" localSheetId="28">'Template names'!#REF!</definedName>
    <definedName name="MEAB6">'Template names'!#REF!</definedName>
    <definedName name="MEAB7" localSheetId="32">'Template names'!#REF!</definedName>
    <definedName name="MEAB7" localSheetId="33">'Template names'!#REF!</definedName>
    <definedName name="MEAB7" localSheetId="34">'Template names'!#REF!</definedName>
    <definedName name="MEAB7" localSheetId="58">'Template names'!#REF!</definedName>
    <definedName name="MEAB7" localSheetId="59">'Template names'!#REF!</definedName>
    <definedName name="MEAB7" localSheetId="63">'Template names'!#REF!</definedName>
    <definedName name="MEAB7" localSheetId="28">'Template names'!#REF!</definedName>
    <definedName name="MEAB7">'Template names'!#REF!</definedName>
    <definedName name="MEAB8" localSheetId="32">'Template names'!#REF!</definedName>
    <definedName name="MEAB8" localSheetId="33">'Template names'!#REF!</definedName>
    <definedName name="MEAB8" localSheetId="34">'Template names'!#REF!</definedName>
    <definedName name="MEAB8" localSheetId="58">'Template names'!#REF!</definedName>
    <definedName name="MEAB8" localSheetId="59">'Template names'!#REF!</definedName>
    <definedName name="MEAB8" localSheetId="63">'Template names'!#REF!</definedName>
    <definedName name="MEAB8" localSheetId="28">'Template names'!#REF!</definedName>
    <definedName name="MEAB8">'Template names'!#REF!</definedName>
    <definedName name="MEAB9" localSheetId="32">'Template names'!#REF!</definedName>
    <definedName name="MEAB9" localSheetId="33">'Template names'!#REF!</definedName>
    <definedName name="MEAB9" localSheetId="34">'Template names'!#REF!</definedName>
    <definedName name="MEAB9" localSheetId="58">'Template names'!#REF!</definedName>
    <definedName name="MEAB9" localSheetId="59">'Template names'!#REF!</definedName>
    <definedName name="MEAB9" localSheetId="63">'Template names'!#REF!</definedName>
    <definedName name="MEAB9" localSheetId="28">'Template names'!#REF!</definedName>
    <definedName name="MEAB9">'Template names'!#REF!</definedName>
    <definedName name="MEABsum" localSheetId="32">'Template names'!#REF!</definedName>
    <definedName name="MEABsum" localSheetId="33">'Template names'!#REF!</definedName>
    <definedName name="MEABsum" localSheetId="34">'Template names'!#REF!</definedName>
    <definedName name="MEABsum" localSheetId="58">'Template names'!#REF!</definedName>
    <definedName name="MEABsum" localSheetId="59">'Template names'!#REF!</definedName>
    <definedName name="MEABsum" localSheetId="63">'Template names'!#REF!</definedName>
    <definedName name="MEABsum" localSheetId="28">'Template names'!#REF!</definedName>
    <definedName name="MEABsum">'Template names'!#REF!</definedName>
    <definedName name="MEB1A" localSheetId="32">'Template names'!#REF!</definedName>
    <definedName name="MEB1A" localSheetId="33">'Template names'!#REF!</definedName>
    <definedName name="MEB1A" localSheetId="34">'Template names'!#REF!</definedName>
    <definedName name="MEB1A" localSheetId="58">'Template names'!#REF!</definedName>
    <definedName name="MEB1A" localSheetId="59">'Template names'!#REF!</definedName>
    <definedName name="MEB1A" localSheetId="63">'Template names'!#REF!</definedName>
    <definedName name="MEB1A" localSheetId="28">'Template names'!#REF!</definedName>
    <definedName name="MEB1A">'Template names'!#REF!</definedName>
    <definedName name="MEBsum" localSheetId="32">'Template names'!#REF!</definedName>
    <definedName name="MEBsum" localSheetId="33">'Template names'!#REF!</definedName>
    <definedName name="MEBsum" localSheetId="34">'Template names'!#REF!</definedName>
    <definedName name="MEBsum" localSheetId="58">'Template names'!#REF!</definedName>
    <definedName name="MEBsum" localSheetId="59">'Template names'!#REF!</definedName>
    <definedName name="MEBsum" localSheetId="63">'Template names'!#REF!</definedName>
    <definedName name="MEBsum" localSheetId="28">'Template names'!#REF!</definedName>
    <definedName name="MEBsum">'Template names'!#REF!</definedName>
    <definedName name="MERsum" localSheetId="32">'Template names'!#REF!</definedName>
    <definedName name="MERsum" localSheetId="33">'Template names'!#REF!</definedName>
    <definedName name="MERsum" localSheetId="34">'Template names'!#REF!</definedName>
    <definedName name="MERsum" localSheetId="58">'Template names'!#REF!</definedName>
    <definedName name="MERsum" localSheetId="59">'Template names'!#REF!</definedName>
    <definedName name="MERsum" localSheetId="63">'Template names'!#REF!</definedName>
    <definedName name="MERsum" localSheetId="28">'Template names'!#REF!</definedName>
    <definedName name="MERsum">'Template names'!#REF!</definedName>
    <definedName name="month">[1]Data!$B$1</definedName>
    <definedName name="MTREF">Instructions!$X$34</definedName>
    <definedName name="MTSF">'Lookup and lists'!$AD$16:$AD$29</definedName>
    <definedName name="muni">'Template names'!$B$93</definedName>
    <definedName name="MuniEntities">'Template names'!$B$94</definedName>
    <definedName name="MuniType">'Template names'!$D$94</definedName>
    <definedName name="nersa07" localSheetId="32">#REF!</definedName>
    <definedName name="nersa07" localSheetId="33">#REF!</definedName>
    <definedName name="nersa07" localSheetId="34">#REF!</definedName>
    <definedName name="nersa07" localSheetId="58">#REF!</definedName>
    <definedName name="nersa07" localSheetId="59">#REF!</definedName>
    <definedName name="nersa07" localSheetId="63">#REF!</definedName>
    <definedName name="nersa07" localSheetId="28">#REF!</definedName>
    <definedName name="nersa07">#REF!</definedName>
    <definedName name="nersa08" localSheetId="32">#REF!</definedName>
    <definedName name="nersa08" localSheetId="33">#REF!</definedName>
    <definedName name="nersa08" localSheetId="34">#REF!</definedName>
    <definedName name="nersa08" localSheetId="58">#REF!</definedName>
    <definedName name="nersa08" localSheetId="59">#REF!</definedName>
    <definedName name="nersa08" localSheetId="63">#REF!</definedName>
    <definedName name="nersa08" localSheetId="28">#REF!</definedName>
    <definedName name="nersa08">#REF!</definedName>
    <definedName name="nethhgr05" localSheetId="32">#REF!</definedName>
    <definedName name="nethhgr05" localSheetId="33">#REF!</definedName>
    <definedName name="nethhgr05" localSheetId="34">#REF!</definedName>
    <definedName name="nethhgr05" localSheetId="58">#REF!</definedName>
    <definedName name="nethhgr05" localSheetId="59">#REF!</definedName>
    <definedName name="nethhgr05" localSheetId="63">#REF!</definedName>
    <definedName name="nethhgr05" localSheetId="28">#REF!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[2]Names!$B$89</definedName>
    <definedName name="Orgstructurevotes">'Org structure'!$C$2</definedName>
    <definedName name="poorgr06">#REF!</definedName>
    <definedName name="_xlnm.Print_Area" localSheetId="19">'A10-SerDel'!$A$1:$K$89</definedName>
    <definedName name="_xlnm.Print_Area" localSheetId="6">'A1-Sum'!$A$1:$K$66</definedName>
    <definedName name="_xlnm.Print_Area" localSheetId="7">'A2-FinPerf SC'!$A$1:$K$54</definedName>
    <definedName name="_xlnm.Print_Area" localSheetId="10">A3A!$A$1:$K$345</definedName>
    <definedName name="_xlnm.Print_Area" localSheetId="9">'A3-FinPerf V'!$A$1:$K$43</definedName>
    <definedName name="_xlnm.Print_Area" localSheetId="11">'A4-FinPerf RE'!$A$1:$X$55</definedName>
    <definedName name="_xlnm.Print_Area" localSheetId="12">'A5-Capex'!$A$1:$L$84</definedName>
    <definedName name="_xlnm.Print_Area" localSheetId="15">'A6-FinPos'!$A$1:$L$54</definedName>
    <definedName name="_xlnm.Print_Area" localSheetId="18">'A9-Asset'!$A$1:$K$215</definedName>
    <definedName name="_xlnm.Print_Area" localSheetId="5">Contacts!$A$1:$D$140</definedName>
    <definedName name="_xlnm.Print_Area" localSheetId="1">Instructions!$A$1:$M$47</definedName>
    <definedName name="_xlnm.Print_Area" localSheetId="20">'SA1'!$A$1:$L$179</definedName>
    <definedName name="_xlnm.Print_Area" localSheetId="30">'SA11'!$A$1:$K$73</definedName>
    <definedName name="_xlnm.Print_Area" localSheetId="31">SA12a!$A$1:$R$56</definedName>
    <definedName name="_xlnm.Print_Area" localSheetId="32">SA12b!$A$1:$R$56</definedName>
    <definedName name="_xlnm.Print_Area" localSheetId="33">SA13a!$A$1:$R$90</definedName>
    <definedName name="_xlnm.Print_Area" localSheetId="34">SA13b!$A$1:$R$53</definedName>
    <definedName name="_xlnm.Print_Area" localSheetId="35">'SA14'!$A$1:$L$53</definedName>
    <definedName name="_xlnm.Print_Area" localSheetId="36">'SA15'!$A$1:$K$35</definedName>
    <definedName name="_xlnm.Print_Area" localSheetId="37">'SA16'!$A$1:$O$31</definedName>
    <definedName name="_xlnm.Print_Area" localSheetId="38">'SA17'!$A$1:$K$71</definedName>
    <definedName name="_xlnm.Print_Area" localSheetId="39">'SA18'!$A$1:$K$53</definedName>
    <definedName name="_xlnm.Print_Area" localSheetId="40">'SA19'!$A$1:$K$49</definedName>
    <definedName name="_xlnm.Print_Area" localSheetId="21">'SA2'!$A$1:$R$43</definedName>
    <definedName name="_xlnm.Print_Area" localSheetId="41">'SA20'!$A$1:$K$60</definedName>
    <definedName name="_xlnm.Print_Area" localSheetId="42">'SA21'!$A$1:$L$71</definedName>
    <definedName name="_xlnm.Print_Area" localSheetId="43">'SA22'!$A$1:$K$120</definedName>
    <definedName name="_xlnm.Print_Area" localSheetId="44">'SA23'!$A$1:$I$70</definedName>
    <definedName name="_xlnm.Print_Area" localSheetId="45">'SA24'!$A$1:$K$51</definedName>
    <definedName name="_xlnm.Print_Area" localSheetId="46">'SA25'!$A$1:$Q$47</definedName>
    <definedName name="_xlnm.Print_Area" localSheetId="47">'SA26'!$A$1:$Q$47</definedName>
    <definedName name="_xlnm.Print_Area" localSheetId="48">'SA27'!$A$1:$Q$55</definedName>
    <definedName name="_xlnm.Print_Area" localSheetId="49">'SA28'!$A$1:$Q$44</definedName>
    <definedName name="_xlnm.Print_Area" localSheetId="50">'SA29'!$A$1:$Q$40</definedName>
    <definedName name="_xlnm.Print_Area" localSheetId="22">'SA3'!$A$1:$L$76</definedName>
    <definedName name="_xlnm.Print_Area" localSheetId="51">'SA30'!$A$1:$P$57</definedName>
    <definedName name="_xlnm.Print_Area" localSheetId="52">'SA31'!$A$1:$K$42</definedName>
    <definedName name="_xlnm.Print_Area" localSheetId="53">'SA32'!$A$1:$F$27</definedName>
    <definedName name="_xlnm.Print_Area" localSheetId="54">'SA33'!$A$1:$O$48</definedName>
    <definedName name="_xlnm.Print_Area" localSheetId="55">SA34a!$A$1:$K$173</definedName>
    <definedName name="_xlnm.Print_Area" localSheetId="56">SA34b!$A$1:$K$175</definedName>
    <definedName name="_xlnm.Print_Area" localSheetId="59">SA34e!$A$1:$K$175</definedName>
    <definedName name="_xlnm.Print_Area" localSheetId="60">'SA35'!$A$1:$I$57</definedName>
    <definedName name="_xlnm.Print_Area" localSheetId="61">'SA36'!$A$1:$Q$44</definedName>
    <definedName name="_xlnm.Print_Area" localSheetId="62">'SA37'!$A$1:$R$26</definedName>
    <definedName name="_xlnm.Print_Area" localSheetId="63">'SA38'!$A$1:$O$45</definedName>
    <definedName name="_xlnm.Print_Area" localSheetId="23">'SA4'!$A$1:$M$27</definedName>
    <definedName name="_xlnm.Print_Area" localSheetId="24">'SA5'!$A$1:$M$27</definedName>
    <definedName name="_xlnm.Print_Area" localSheetId="25">'SA6'!$A$1:$M$27</definedName>
    <definedName name="_xlnm.Print_Area" localSheetId="26">'SA7'!$A$1:$K$89</definedName>
    <definedName name="_xlnm.Print_Area" localSheetId="27">'SA8'!$A$1:$L$42</definedName>
    <definedName name="_xlnm.Print_Area" localSheetId="28">'SA9'!$A$1:$M$310</definedName>
    <definedName name="_xlnm.Print_Titles" localSheetId="10">A3A!$1:$3</definedName>
    <definedName name="_xlnm.Print_Titles" localSheetId="9">'A3-FinPerf V'!$1:$3</definedName>
    <definedName name="_xlnm.Print_Titles" localSheetId="12">'A5-Capex'!$1:$3</definedName>
    <definedName name="proptax07">#REF!</definedName>
    <definedName name="Rand000" localSheetId="32">#REF!</definedName>
    <definedName name="Rand000" localSheetId="33">#REF!</definedName>
    <definedName name="Rand000" localSheetId="34">#REF!</definedName>
    <definedName name="Rand000" localSheetId="58">#REF!</definedName>
    <definedName name="Rand000" localSheetId="59">#REF!</definedName>
    <definedName name="Rand000" localSheetId="63">#REF!</definedName>
    <definedName name="Rand000" localSheetId="28">#REF!</definedName>
    <definedName name="Rand000">#REF!</definedName>
    <definedName name="RandM">'Template names'!$B$70</definedName>
    <definedName name="REDHHGR06" localSheetId="32">#REF!</definedName>
    <definedName name="REDHHGR06" localSheetId="33">#REF!</definedName>
    <definedName name="REDHHGR06" localSheetId="34">#REF!</definedName>
    <definedName name="REDHHGR06" localSheetId="58">#REF!</definedName>
    <definedName name="REDHHGR06" localSheetId="59">#REF!</definedName>
    <definedName name="REDHHGR06" localSheetId="63">#REF!</definedName>
    <definedName name="REDHHGR06" localSheetId="28">#REF!</definedName>
    <definedName name="REDHHGR06">#REF!</definedName>
    <definedName name="redhhgr07" localSheetId="32">#REF!</definedName>
    <definedName name="redhhgr07" localSheetId="33">#REF!</definedName>
    <definedName name="redhhgr07" localSheetId="34">#REF!</definedName>
    <definedName name="redhhgr07" localSheetId="58">#REF!</definedName>
    <definedName name="redhhgr07" localSheetId="59">#REF!</definedName>
    <definedName name="redhhgr07" localSheetId="63">#REF!</definedName>
    <definedName name="redhhgr07" localSheetId="28">#REF!</definedName>
    <definedName name="redhhgr07">#REF!</definedName>
    <definedName name="redrev06" localSheetId="32">#REF!</definedName>
    <definedName name="redrev06" localSheetId="33">#REF!</definedName>
    <definedName name="redrev06" localSheetId="34">#REF!</definedName>
    <definedName name="redrev06" localSheetId="58">#REF!</definedName>
    <definedName name="redrev06" localSheetId="59">#REF!</definedName>
    <definedName name="redrev06" localSheetId="63">#REF!</definedName>
    <definedName name="redrev06" localSheetId="28">#REF!</definedName>
    <definedName name="redrev06">#REF!</definedName>
    <definedName name="redrev07" localSheetId="32">#REF!</definedName>
    <definedName name="redrev07" localSheetId="33">#REF!</definedName>
    <definedName name="redrev07" localSheetId="34">#REF!</definedName>
    <definedName name="redrev07" localSheetId="58">#REF!</definedName>
    <definedName name="redrev07" localSheetId="59">#REF!</definedName>
    <definedName name="redrev07" localSheetId="63">#REF!</definedName>
    <definedName name="redrev07" localSheetId="28">#REF!</definedName>
    <definedName name="redrev07">#REF!</definedName>
    <definedName name="Reds" localSheetId="32">#REF!</definedName>
    <definedName name="Reds" localSheetId="33">#REF!</definedName>
    <definedName name="Reds" localSheetId="34">#REF!</definedName>
    <definedName name="Reds" localSheetId="58">#REF!</definedName>
    <definedName name="Reds" localSheetId="59">#REF!</definedName>
    <definedName name="Reds" localSheetId="63">#REF!</definedName>
    <definedName name="Reds" localSheetId="28">#REF!</definedName>
    <definedName name="Reds">#REF!</definedName>
    <definedName name="renewyears">#REF!</definedName>
    <definedName name="Request0506" localSheetId="32">#REF!</definedName>
    <definedName name="Request0506" localSheetId="33">#REF!</definedName>
    <definedName name="Request0506" localSheetId="34">#REF!</definedName>
    <definedName name="Request0506" localSheetId="58">#REF!</definedName>
    <definedName name="Request0506" localSheetId="59">#REF!</definedName>
    <definedName name="Request0506" localSheetId="63">#REF!</definedName>
    <definedName name="Request0506" localSheetId="28">#REF!</definedName>
    <definedName name="Request0506">#REF!</definedName>
    <definedName name="resiprop">#REF!</definedName>
    <definedName name="result">'Template names'!$B$35</definedName>
    <definedName name="rmcRED06" localSheetId="32">#REF!</definedName>
    <definedName name="rmcRED06" localSheetId="33">#REF!</definedName>
    <definedName name="rmcRED06" localSheetId="34">#REF!</definedName>
    <definedName name="rmcRED06" localSheetId="58">#REF!</definedName>
    <definedName name="rmcRED06" localSheetId="59">#REF!</definedName>
    <definedName name="rmcRED06" localSheetId="63">#REF!</definedName>
    <definedName name="rmcRED06" localSheetId="28">#REF!</definedName>
    <definedName name="rmcRED06">#REF!</definedName>
    <definedName name="rmcred07" localSheetId="32">#REF!</definedName>
    <definedName name="rmcred07" localSheetId="33">#REF!</definedName>
    <definedName name="rmcred07" localSheetId="34">#REF!</definedName>
    <definedName name="rmcred07" localSheetId="58">#REF!</definedName>
    <definedName name="rmcred07" localSheetId="59">#REF!</definedName>
    <definedName name="rmcred07" localSheetId="63">#REF!</definedName>
    <definedName name="rmcred07" localSheetId="28">#REF!</definedName>
    <definedName name="rmcred07">#REF!</definedName>
    <definedName name="roundfactor" localSheetId="32">#REF!</definedName>
    <definedName name="roundfactor" localSheetId="33">#REF!</definedName>
    <definedName name="roundfactor" localSheetId="34">#REF!</definedName>
    <definedName name="roundfactor" localSheetId="58">#REF!</definedName>
    <definedName name="roundfactor" localSheetId="59">#REF!</definedName>
    <definedName name="roundfactor" localSheetId="63">#REF!</definedName>
    <definedName name="roundfactor" localSheetId="28">#REF!</definedName>
    <definedName name="roundfactor">#REF!</definedName>
    <definedName name="S71A" localSheetId="32">'Template names'!#REF!</definedName>
    <definedName name="S71A" localSheetId="33">'Template names'!#REF!</definedName>
    <definedName name="S71A" localSheetId="34">'Template names'!#REF!</definedName>
    <definedName name="S71A" localSheetId="58">'Template names'!#REF!</definedName>
    <definedName name="S71A" localSheetId="59">'Template names'!#REF!</definedName>
    <definedName name="S71A" localSheetId="63">'Template names'!#REF!</definedName>
    <definedName name="S71A" localSheetId="28">'Template names'!#REF!</definedName>
    <definedName name="S71A">'Template names'!#REF!</definedName>
    <definedName name="S71B" localSheetId="32">'Template names'!#REF!</definedName>
    <definedName name="S71B" localSheetId="33">'Template names'!#REF!</definedName>
    <definedName name="S71B" localSheetId="34">'Template names'!#REF!</definedName>
    <definedName name="S71B" localSheetId="58">'Template names'!#REF!</definedName>
    <definedName name="S71B" localSheetId="59">'Template names'!#REF!</definedName>
    <definedName name="S71B" localSheetId="63">'Template names'!#REF!</definedName>
    <definedName name="S71B" localSheetId="28">'Template names'!#REF!</definedName>
    <definedName name="S71B">'Template names'!#REF!</definedName>
    <definedName name="s71B8" localSheetId="32">'Template names'!#REF!</definedName>
    <definedName name="s71B8" localSheetId="33">'Template names'!#REF!</definedName>
    <definedName name="s71B8" localSheetId="34">'Template names'!#REF!</definedName>
    <definedName name="s71B8" localSheetId="58">'Template names'!#REF!</definedName>
    <definedName name="s71B8" localSheetId="59">'Template names'!#REF!</definedName>
    <definedName name="s71B8" localSheetId="63">'Template names'!#REF!</definedName>
    <definedName name="s71B8" localSheetId="28">'Template names'!#REF!</definedName>
    <definedName name="s71B8">'Template names'!#REF!</definedName>
    <definedName name="s71B9" localSheetId="32">'Template names'!#REF!</definedName>
    <definedName name="s71B9" localSheetId="33">'Template names'!#REF!</definedName>
    <definedName name="s71B9" localSheetId="34">'Template names'!#REF!</definedName>
    <definedName name="s71B9" localSheetId="58">'Template names'!#REF!</definedName>
    <definedName name="s71B9" localSheetId="59">'Template names'!#REF!</definedName>
    <definedName name="s71B9" localSheetId="63">'Template names'!#REF!</definedName>
    <definedName name="s71B9" localSheetId="28">'Template names'!#REF!</definedName>
    <definedName name="s71B9">'Template names'!#REF!</definedName>
    <definedName name="S71C" localSheetId="32">'Template names'!#REF!</definedName>
    <definedName name="S71C" localSheetId="33">'Template names'!#REF!</definedName>
    <definedName name="S71C" localSheetId="34">'Template names'!#REF!</definedName>
    <definedName name="S71C" localSheetId="58">'Template names'!#REF!</definedName>
    <definedName name="S71C" localSheetId="59">'Template names'!#REF!</definedName>
    <definedName name="S71C" localSheetId="63">'Template names'!#REF!</definedName>
    <definedName name="S71C" localSheetId="28">'Template names'!#REF!</definedName>
    <definedName name="S71C">'Template names'!#REF!</definedName>
    <definedName name="S71D" localSheetId="32">'Template names'!#REF!</definedName>
    <definedName name="S71D" localSheetId="33">'Template names'!#REF!</definedName>
    <definedName name="S71D" localSheetId="34">'Template names'!#REF!</definedName>
    <definedName name="S71D" localSheetId="58">'Template names'!#REF!</definedName>
    <definedName name="S71D" localSheetId="59">'Template names'!#REF!</definedName>
    <definedName name="S71D" localSheetId="63">'Template names'!#REF!</definedName>
    <definedName name="S71D" localSheetId="28">'Template names'!#REF!</definedName>
    <definedName name="S71D">'Template names'!#REF!</definedName>
    <definedName name="S71E" localSheetId="32">'Template names'!#REF!</definedName>
    <definedName name="S71E" localSheetId="33">'Template names'!#REF!</definedName>
    <definedName name="S71E" localSheetId="34">'Template names'!#REF!</definedName>
    <definedName name="S71E" localSheetId="58">'Template names'!#REF!</definedName>
    <definedName name="S71E" localSheetId="59">'Template names'!#REF!</definedName>
    <definedName name="S71E" localSheetId="63">'Template names'!#REF!</definedName>
    <definedName name="S71E" localSheetId="28">'Template names'!#REF!</definedName>
    <definedName name="S71E">'Template names'!#REF!</definedName>
    <definedName name="S71F" localSheetId="32">'Template names'!#REF!</definedName>
    <definedName name="S71F" localSheetId="33">'Template names'!#REF!</definedName>
    <definedName name="S71F" localSheetId="34">'Template names'!#REF!</definedName>
    <definedName name="S71F" localSheetId="58">'Template names'!#REF!</definedName>
    <definedName name="S71F" localSheetId="59">'Template names'!#REF!</definedName>
    <definedName name="S71F" localSheetId="63">'Template names'!#REF!</definedName>
    <definedName name="S71F" localSheetId="28">'Template names'!#REF!</definedName>
    <definedName name="S71F">'Template names'!#REF!</definedName>
    <definedName name="S71G" localSheetId="32">'Template names'!#REF!</definedName>
    <definedName name="S71G" localSheetId="33">'Template names'!#REF!</definedName>
    <definedName name="S71G" localSheetId="34">'Template names'!#REF!</definedName>
    <definedName name="S71G" localSheetId="58">'Template names'!#REF!</definedName>
    <definedName name="S71G" localSheetId="59">'Template names'!#REF!</definedName>
    <definedName name="S71G" localSheetId="63">'Template names'!#REF!</definedName>
    <definedName name="S71G" localSheetId="28">'Template names'!#REF!</definedName>
    <definedName name="S71G">'Template names'!#REF!</definedName>
    <definedName name="S71H" localSheetId="32">'Template names'!#REF!</definedName>
    <definedName name="S71H" localSheetId="33">'Template names'!#REF!</definedName>
    <definedName name="S71H" localSheetId="34">'Template names'!#REF!</definedName>
    <definedName name="S71H" localSheetId="58">'Template names'!#REF!</definedName>
    <definedName name="S71H" localSheetId="59">'Template names'!#REF!</definedName>
    <definedName name="S71H" localSheetId="63">'Template names'!#REF!</definedName>
    <definedName name="S71H" localSheetId="28">'Template names'!#REF!</definedName>
    <definedName name="S71H">'Template names'!#REF!</definedName>
    <definedName name="S71I" localSheetId="32">'Template names'!#REF!</definedName>
    <definedName name="S71I" localSheetId="33">'Template names'!#REF!</definedName>
    <definedName name="S71I" localSheetId="34">'Template names'!#REF!</definedName>
    <definedName name="S71I" localSheetId="58">'Template names'!#REF!</definedName>
    <definedName name="S71I" localSheetId="59">'Template names'!#REF!</definedName>
    <definedName name="S71I" localSheetId="63">'Template names'!#REF!</definedName>
    <definedName name="S71I" localSheetId="28">'Template names'!#REF!</definedName>
    <definedName name="S71I">'Template names'!#REF!</definedName>
    <definedName name="S71J" localSheetId="32">'Template names'!#REF!</definedName>
    <definedName name="S71J" localSheetId="33">'Template names'!#REF!</definedName>
    <definedName name="S71J" localSheetId="34">'Template names'!#REF!</definedName>
    <definedName name="S71J" localSheetId="58">'Template names'!#REF!</definedName>
    <definedName name="S71J" localSheetId="59">'Template names'!#REF!</definedName>
    <definedName name="S71J" localSheetId="63">'Template names'!#REF!</definedName>
    <definedName name="S71J" localSheetId="28">'Template names'!#REF!</definedName>
    <definedName name="S71J">'Template names'!#REF!</definedName>
    <definedName name="S71K" localSheetId="32">'Template names'!#REF!</definedName>
    <definedName name="S71K" localSheetId="33">'Template names'!#REF!</definedName>
    <definedName name="S71K" localSheetId="34">'Template names'!#REF!</definedName>
    <definedName name="S71K" localSheetId="58">'Template names'!#REF!</definedName>
    <definedName name="S71K" localSheetId="59">'Template names'!#REF!</definedName>
    <definedName name="S71K" localSheetId="63">'Template names'!#REF!</definedName>
    <definedName name="S71K" localSheetId="28">'Template names'!#REF!</definedName>
    <definedName name="S71K">'Template names'!#REF!</definedName>
    <definedName name="S71L" localSheetId="32">'Template names'!#REF!</definedName>
    <definedName name="S71L" localSheetId="33">'Template names'!#REF!</definedName>
    <definedName name="S71L" localSheetId="34">'Template names'!#REF!</definedName>
    <definedName name="S71L" localSheetId="58">'Template names'!#REF!</definedName>
    <definedName name="S71L" localSheetId="59">'Template names'!#REF!</definedName>
    <definedName name="S71L" localSheetId="63">'Template names'!#REF!</definedName>
    <definedName name="S71L" localSheetId="28">'Template names'!#REF!</definedName>
    <definedName name="S71L">'Template names'!#REF!</definedName>
    <definedName name="S71M" localSheetId="32">'Template names'!#REF!</definedName>
    <definedName name="S71M" localSheetId="33">'Template names'!#REF!</definedName>
    <definedName name="S71M" localSheetId="34">'Template names'!#REF!</definedName>
    <definedName name="S71M" localSheetId="58">'Template names'!#REF!</definedName>
    <definedName name="S71M" localSheetId="59">'Template names'!#REF!</definedName>
    <definedName name="S71M" localSheetId="63">'Template names'!#REF!</definedName>
    <definedName name="S71M" localSheetId="28">'Template names'!#REF!</definedName>
    <definedName name="S71M">'Template names'!#REF!</definedName>
    <definedName name="S71N" localSheetId="32">'Template names'!#REF!</definedName>
    <definedName name="S71N" localSheetId="33">'Template names'!#REF!</definedName>
    <definedName name="S71N" localSheetId="34">'Template names'!#REF!</definedName>
    <definedName name="S71N" localSheetId="58">'Template names'!#REF!</definedName>
    <definedName name="S71N" localSheetId="59">'Template names'!#REF!</definedName>
    <definedName name="S71N" localSheetId="63">'Template names'!#REF!</definedName>
    <definedName name="S71N" localSheetId="28">'Template names'!#REF!</definedName>
    <definedName name="S71N">'Template names'!#REF!</definedName>
    <definedName name="S71O" localSheetId="32">'Template names'!#REF!</definedName>
    <definedName name="S71O" localSheetId="33">'Template names'!#REF!</definedName>
    <definedName name="S71O" localSheetId="34">'Template names'!#REF!</definedName>
    <definedName name="S71O" localSheetId="58">'Template names'!#REF!</definedName>
    <definedName name="S71O" localSheetId="59">'Template names'!#REF!</definedName>
    <definedName name="S71O" localSheetId="63">'Template names'!#REF!</definedName>
    <definedName name="S71O" localSheetId="28">'Template names'!#REF!</definedName>
    <definedName name="S71O">'Template names'!#REF!</definedName>
    <definedName name="S71P" localSheetId="32">'Template names'!#REF!</definedName>
    <definedName name="S71P" localSheetId="33">'Template names'!#REF!</definedName>
    <definedName name="S71P" localSheetId="34">'Template names'!#REF!</definedName>
    <definedName name="S71P" localSheetId="58">'Template names'!#REF!</definedName>
    <definedName name="S71P" localSheetId="59">'Template names'!#REF!</definedName>
    <definedName name="S71P" localSheetId="63">'Template names'!#REF!</definedName>
    <definedName name="S71P" localSheetId="28">'Template names'!#REF!</definedName>
    <definedName name="S71P">'Template names'!#REF!</definedName>
    <definedName name="S71Q" localSheetId="32">'Template names'!#REF!</definedName>
    <definedName name="S71Q" localSheetId="33">'Template names'!#REF!</definedName>
    <definedName name="S71Q" localSheetId="34">'Template names'!#REF!</definedName>
    <definedName name="S71Q" localSheetId="58">'Template names'!#REF!</definedName>
    <definedName name="S71Q" localSheetId="59">'Template names'!#REF!</definedName>
    <definedName name="S71Q" localSheetId="63">'Template names'!#REF!</definedName>
    <definedName name="S71Q" localSheetId="28">'Template names'!#REF!</definedName>
    <definedName name="S71Q">'Template names'!#REF!</definedName>
    <definedName name="S71SDBIP" localSheetId="32">'Template names'!#REF!</definedName>
    <definedName name="S71SDBIP" localSheetId="33">'Template names'!#REF!</definedName>
    <definedName name="S71SDBIP" localSheetId="34">'Template names'!#REF!</definedName>
    <definedName name="S71SDBIP" localSheetId="58">'Template names'!#REF!</definedName>
    <definedName name="S71SDBIP" localSheetId="59">'Template names'!#REF!</definedName>
    <definedName name="S71SDBIP" localSheetId="63">'Template names'!#REF!</definedName>
    <definedName name="S71SDBIP" localSheetId="28">'Template names'!#REF!</definedName>
    <definedName name="S71SDBIP">'Template names'!#REF!</definedName>
    <definedName name="s71sum" localSheetId="32">'Template names'!#REF!</definedName>
    <definedName name="s71sum" localSheetId="33">'Template names'!#REF!</definedName>
    <definedName name="s71sum" localSheetId="34">'Template names'!#REF!</definedName>
    <definedName name="s71sum" localSheetId="58">'Template names'!#REF!</definedName>
    <definedName name="s71sum" localSheetId="59">'Template names'!#REF!</definedName>
    <definedName name="s71sum" localSheetId="63">'Template names'!#REF!</definedName>
    <definedName name="s71sum" localSheetId="28">'Template names'!#REF!</definedName>
    <definedName name="s71sum">'Template names'!#REF!</definedName>
    <definedName name="Scale">#REF!</definedName>
    <definedName name="scenario" localSheetId="32">#REF!</definedName>
    <definedName name="scenario" localSheetId="33">#REF!</definedName>
    <definedName name="scenario" localSheetId="34">#REF!</definedName>
    <definedName name="scenario" localSheetId="58">#REF!</definedName>
    <definedName name="scenario" localSheetId="59">#REF!</definedName>
    <definedName name="scenario" localSheetId="63">#REF!</definedName>
    <definedName name="scenario" localSheetId="28">#REF!</definedName>
    <definedName name="scenario">#REF!</definedName>
    <definedName name="SDBIP1" localSheetId="32">'Template names'!#REF!</definedName>
    <definedName name="SDBIP1" localSheetId="33">'Template names'!#REF!</definedName>
    <definedName name="SDBIP1" localSheetId="34">'Template names'!#REF!</definedName>
    <definedName name="SDBIP1" localSheetId="58">'Template names'!#REF!</definedName>
    <definedName name="SDBIP1" localSheetId="59">'Template names'!#REF!</definedName>
    <definedName name="SDBIP1" localSheetId="63">'Template names'!#REF!</definedName>
    <definedName name="SDBIP1" localSheetId="28">'Template names'!#REF!</definedName>
    <definedName name="SDBIP1">'Template names'!#REF!</definedName>
    <definedName name="SDBIP10" localSheetId="32">'Template names'!#REF!</definedName>
    <definedName name="SDBIP10" localSheetId="33">'Template names'!#REF!</definedName>
    <definedName name="SDBIP10" localSheetId="34">'Template names'!#REF!</definedName>
    <definedName name="SDBIP10" localSheetId="58">'Template names'!#REF!</definedName>
    <definedName name="SDBIP10" localSheetId="59">'Template names'!#REF!</definedName>
    <definedName name="SDBIP10" localSheetId="63">'Template names'!#REF!</definedName>
    <definedName name="SDBIP10" localSheetId="28">'Template names'!#REF!</definedName>
    <definedName name="SDBIP10">'Template names'!#REF!</definedName>
    <definedName name="SDBIP2" localSheetId="32">'Template names'!#REF!</definedName>
    <definedName name="SDBIP2" localSheetId="33">'Template names'!#REF!</definedName>
    <definedName name="SDBIP2" localSheetId="34">'Template names'!#REF!</definedName>
    <definedName name="SDBIP2" localSheetId="58">'Template names'!#REF!</definedName>
    <definedName name="SDBIP2" localSheetId="59">'Template names'!#REF!</definedName>
    <definedName name="SDBIP2" localSheetId="63">'Template names'!#REF!</definedName>
    <definedName name="SDBIP2" localSheetId="28">'Template names'!#REF!</definedName>
    <definedName name="SDBIP2">'Template names'!#REF!</definedName>
    <definedName name="SDBIP3" localSheetId="32">'Template names'!#REF!</definedName>
    <definedName name="SDBIP3" localSheetId="33">'Template names'!#REF!</definedName>
    <definedName name="SDBIP3" localSheetId="34">'Template names'!#REF!</definedName>
    <definedName name="SDBIP3" localSheetId="58">'Template names'!#REF!</definedName>
    <definedName name="SDBIP3" localSheetId="59">'Template names'!#REF!</definedName>
    <definedName name="SDBIP3" localSheetId="63">'Template names'!#REF!</definedName>
    <definedName name="SDBIP3" localSheetId="28">'Template names'!#REF!</definedName>
    <definedName name="SDBIP3">'Template names'!#REF!</definedName>
    <definedName name="SDBIP4" localSheetId="32">'Template names'!#REF!</definedName>
    <definedName name="SDBIP4" localSheetId="33">'Template names'!#REF!</definedName>
    <definedName name="SDBIP4" localSheetId="34">'Template names'!#REF!</definedName>
    <definedName name="SDBIP4" localSheetId="58">'Template names'!#REF!</definedName>
    <definedName name="SDBIP4" localSheetId="59">'Template names'!#REF!</definedName>
    <definedName name="SDBIP4" localSheetId="63">'Template names'!#REF!</definedName>
    <definedName name="SDBIP4" localSheetId="28">'Template names'!#REF!</definedName>
    <definedName name="SDBIP4">'Template names'!#REF!</definedName>
    <definedName name="SDBIP8" localSheetId="32">'Template names'!#REF!</definedName>
    <definedName name="SDBIP8" localSheetId="33">'Template names'!#REF!</definedName>
    <definedName name="SDBIP8" localSheetId="34">'Template names'!#REF!</definedName>
    <definedName name="SDBIP8" localSheetId="58">'Template names'!#REF!</definedName>
    <definedName name="SDBIP8" localSheetId="59">'Template names'!#REF!</definedName>
    <definedName name="SDBIP8" localSheetId="63">'Template names'!#REF!</definedName>
    <definedName name="SDBIP8" localSheetId="28">'Template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3" localSheetId="32">'Template names'!#REF!</definedName>
    <definedName name="TabC3" localSheetId="33">'Template names'!#REF!</definedName>
    <definedName name="TabC3" localSheetId="34">'Template names'!#REF!</definedName>
    <definedName name="TabC3" localSheetId="58">'Template names'!#REF!</definedName>
    <definedName name="TabC3" localSheetId="59">'Template names'!#REF!</definedName>
    <definedName name="TabC3" localSheetId="63">'Template names'!#REF!</definedName>
    <definedName name="TabC3" localSheetId="28">'Template names'!#REF!</definedName>
    <definedName name="TabC3">'Template names'!#REF!</definedName>
    <definedName name="TabC4" localSheetId="32">'Template names'!#REF!</definedName>
    <definedName name="TabC4" localSheetId="33">'Template names'!#REF!</definedName>
    <definedName name="TabC4" localSheetId="34">'Template names'!#REF!</definedName>
    <definedName name="TabC4" localSheetId="58">'Template names'!#REF!</definedName>
    <definedName name="TabC4" localSheetId="59">'Template names'!#REF!</definedName>
    <definedName name="TabC4" localSheetId="63">'Template names'!#REF!</definedName>
    <definedName name="TabC4" localSheetId="28">'Template names'!#REF!</definedName>
    <definedName name="TabC4">'Template names'!#REF!</definedName>
    <definedName name="TabC5" localSheetId="32">'Template names'!#REF!</definedName>
    <definedName name="TabC5" localSheetId="33">'Template names'!#REF!</definedName>
    <definedName name="TabC5" localSheetId="34">'Template names'!#REF!</definedName>
    <definedName name="TabC5" localSheetId="58">'Template names'!#REF!</definedName>
    <definedName name="TabC5" localSheetId="59">'Template names'!#REF!</definedName>
    <definedName name="TabC5" localSheetId="63">'Template names'!#REF!</definedName>
    <definedName name="TabC5" localSheetId="28">'Template names'!#REF!</definedName>
    <definedName name="TabC5">'Template names'!#REF!</definedName>
    <definedName name="TabC6" localSheetId="32">'Template names'!#REF!</definedName>
    <definedName name="TabC6" localSheetId="33">'Template names'!#REF!</definedName>
    <definedName name="TabC6" localSheetId="34">'Template names'!#REF!</definedName>
    <definedName name="TabC6" localSheetId="58">'Template names'!#REF!</definedName>
    <definedName name="TabC6" localSheetId="59">'Template names'!#REF!</definedName>
    <definedName name="TabC6" localSheetId="63">'Template names'!#REF!</definedName>
    <definedName name="TabC6" localSheetId="28">'Template names'!#REF!</definedName>
    <definedName name="TabC6">'Template names'!#REF!</definedName>
    <definedName name="Tabc7" localSheetId="32">'Template names'!#REF!</definedName>
    <definedName name="Tabc7" localSheetId="33">'Template names'!#REF!</definedName>
    <definedName name="Tabc7" localSheetId="34">'Template names'!#REF!</definedName>
    <definedName name="Tabc7" localSheetId="58">'Template names'!#REF!</definedName>
    <definedName name="Tabc7" localSheetId="59">'Template names'!#REF!</definedName>
    <definedName name="Tabc7" localSheetId="63">'Template names'!#REF!</definedName>
    <definedName name="Tabc7" localSheetId="28">'Template names'!#REF!</definedName>
    <definedName name="Tabc7">'Template names'!#REF!</definedName>
    <definedName name="Tabc8" localSheetId="32">'Template names'!#REF!</definedName>
    <definedName name="Tabc8" localSheetId="33">'Template names'!#REF!</definedName>
    <definedName name="Tabc8" localSheetId="34">'Template names'!#REF!</definedName>
    <definedName name="Tabc8" localSheetId="58">'Template names'!#REF!</definedName>
    <definedName name="Tabc8" localSheetId="59">'Template names'!#REF!</definedName>
    <definedName name="Tabc8" localSheetId="63">'Template names'!#REF!</definedName>
    <definedName name="Tabc8" localSheetId="28">'Template names'!#REF!</definedName>
    <definedName name="Tabc8">'Template names'!#REF!</definedName>
    <definedName name="Tabc9" localSheetId="32">'Template names'!#REF!</definedName>
    <definedName name="Tabc9" localSheetId="33">'Template names'!#REF!</definedName>
    <definedName name="Tabc9" localSheetId="34">'Template names'!#REF!</definedName>
    <definedName name="Tabc9" localSheetId="58">'Template names'!#REF!</definedName>
    <definedName name="Tabc9" localSheetId="59">'Template names'!#REF!</definedName>
    <definedName name="Tabc9" localSheetId="63">'Template names'!#REF!</definedName>
    <definedName name="Tabc9" localSheetId="28">'Template names'!#REF!</definedName>
    <definedName name="Tabc9">'Template names'!#REF!</definedName>
    <definedName name="Tablc8" localSheetId="32">'Template names'!#REF!</definedName>
    <definedName name="Tablc8" localSheetId="33">'Template names'!#REF!</definedName>
    <definedName name="Tablc8" localSheetId="34">'Template names'!#REF!</definedName>
    <definedName name="Tablc8" localSheetId="58">'Template names'!#REF!</definedName>
    <definedName name="Tablc8" localSheetId="59">'Template names'!#REF!</definedName>
    <definedName name="Tablc8" localSheetId="63">'Template names'!#REF!</definedName>
    <definedName name="Tablc8" localSheetId="28">'Template names'!#REF!</definedName>
    <definedName name="Tablc8">'Template names'!#REF!</definedName>
    <definedName name="TableA1">'Template names'!$B$111</definedName>
    <definedName name="TableA10">'Template names'!$B$120</definedName>
    <definedName name="TableA11">'Template names'!$B$121</definedName>
    <definedName name="TableA12a">'Template names'!$B$122</definedName>
    <definedName name="TableA12b">'Template names'!$B$123</definedName>
    <definedName name="TableA13a">'Template names'!$B$124</definedName>
    <definedName name="TableA13b">'Template names'!$B$125</definedName>
    <definedName name="TableA14">'Template names'!$B$126</definedName>
    <definedName name="TableA15">'Template names'!$B$127</definedName>
    <definedName name="TableA16">'Template names'!$B$128</definedName>
    <definedName name="TableA17">'Template names'!$B$129</definedName>
    <definedName name="TableA18">'Template names'!$B$130</definedName>
    <definedName name="TableA19">'Template names'!$B$131</definedName>
    <definedName name="TableA2">'Template names'!$B$112</definedName>
    <definedName name="TableA20">'Template names'!$B$132</definedName>
    <definedName name="TableA21">'Template names'!$B$133</definedName>
    <definedName name="TableA22">'Template names'!$B$134</definedName>
    <definedName name="TableA23">'Template names'!$B$135</definedName>
    <definedName name="TableA24">'Template names'!$B$136</definedName>
    <definedName name="TableA25">'Template names'!$B$137</definedName>
    <definedName name="TableA26">'Template names'!$B$138</definedName>
    <definedName name="TableA27">'Template names'!$B$139</definedName>
    <definedName name="TableA28">'Template names'!$B$140</definedName>
    <definedName name="TableA29">'Template names'!$B$141</definedName>
    <definedName name="TableA3">'Template names'!$B$113</definedName>
    <definedName name="TableA30">'Template names'!$B$142</definedName>
    <definedName name="TableA31">'Template names'!$B$143</definedName>
    <definedName name="TableA32">'Template names'!$B$144</definedName>
    <definedName name="TableA33">'Template names'!$B$145</definedName>
    <definedName name="TableA34a">'Template names'!$B$146</definedName>
    <definedName name="TableA34b">'Template names'!$B$147</definedName>
    <definedName name="TableA34c">'Template names'!$B$148</definedName>
    <definedName name="TableA34d">'Template names'!$B$149</definedName>
    <definedName name="TableA34e">'Template names'!$B$150</definedName>
    <definedName name="TableA35">'Template names'!$B$151</definedName>
    <definedName name="TableA36">'Template names'!$B$152</definedName>
    <definedName name="TableA37">'Template names'!$B$153</definedName>
    <definedName name="TableA38">'Template names'!$E$154</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2">'Template names'!#REF!</definedName>
    <definedName name="TableD7" localSheetId="33">'Template names'!#REF!</definedName>
    <definedName name="TableD7" localSheetId="34">'Template names'!#REF!</definedName>
    <definedName name="TableD7" localSheetId="58">'Template names'!#REF!</definedName>
    <definedName name="TableD7" localSheetId="59">'Template names'!#REF!</definedName>
    <definedName name="TableD7" localSheetId="63">'Template names'!#REF!</definedName>
    <definedName name="TableD7" localSheetId="28">'Template names'!#REF!</definedName>
    <definedName name="TableD7">'Template names'!#REF!</definedName>
    <definedName name="TableD8" localSheetId="32">'Template names'!#REF!</definedName>
    <definedName name="TableD8" localSheetId="33">'Template names'!#REF!</definedName>
    <definedName name="TableD8" localSheetId="34">'Template names'!#REF!</definedName>
    <definedName name="TableD8" localSheetId="58">'Template names'!#REF!</definedName>
    <definedName name="TableD8" localSheetId="59">'Template names'!#REF!</definedName>
    <definedName name="TableD8" localSheetId="63">'Template names'!#REF!</definedName>
    <definedName name="TableD8" localSheetId="28">'Template names'!#REF!</definedName>
    <definedName name="TableD8">'Template names'!#REF!</definedName>
    <definedName name="TableE4" localSheetId="32">'Template names'!#REF!</definedName>
    <definedName name="TableE4" localSheetId="33">'Template names'!#REF!</definedName>
    <definedName name="TableE4" localSheetId="34">'Template names'!#REF!</definedName>
    <definedName name="TableE4" localSheetId="58">'Template names'!#REF!</definedName>
    <definedName name="TableE4" localSheetId="59">'Template names'!#REF!</definedName>
    <definedName name="TableE4" localSheetId="63">'Template names'!#REF!</definedName>
    <definedName name="TableE4" localSheetId="28">'Template names'!#REF!</definedName>
    <definedName name="TableE4">'Template names'!#REF!</definedName>
    <definedName name="TableE7" localSheetId="32">'Template names'!#REF!</definedName>
    <definedName name="TableE7" localSheetId="33">'Template names'!#REF!</definedName>
    <definedName name="TableE7" localSheetId="34">'Template names'!#REF!</definedName>
    <definedName name="TableE7" localSheetId="58">'Template names'!#REF!</definedName>
    <definedName name="TableE7" localSheetId="59">'Template names'!#REF!</definedName>
    <definedName name="TableE7" localSheetId="63">'Template names'!#REF!</definedName>
    <definedName name="TableE7" localSheetId="28">'Template names'!#REF!</definedName>
    <definedName name="TableE7">'Template names'!#REF!</definedName>
    <definedName name="TableE9" localSheetId="32">'Template names'!#REF!</definedName>
    <definedName name="TableE9" localSheetId="33">'Template names'!#REF!</definedName>
    <definedName name="TableE9" localSheetId="34">'Template names'!#REF!</definedName>
    <definedName name="TableE9" localSheetId="58">'Template names'!#REF!</definedName>
    <definedName name="TableE9" localSheetId="59">'Template names'!#REF!</definedName>
    <definedName name="TableE9" localSheetId="63">'Template names'!#REF!</definedName>
    <definedName name="TableE9" localSheetId="28">'Template names'!#REF!</definedName>
    <definedName name="TableE9">'Template names'!#REF!</definedName>
    <definedName name="TableF6" localSheetId="32">'Template names'!#REF!</definedName>
    <definedName name="TableF6" localSheetId="33">'Template names'!#REF!</definedName>
    <definedName name="TableF6" localSheetId="34">'Template names'!#REF!</definedName>
    <definedName name="TableF6" localSheetId="58">'Template names'!#REF!</definedName>
    <definedName name="TableF6" localSheetId="59">'Template names'!#REF!</definedName>
    <definedName name="TableF6" localSheetId="63">'Template names'!#REF!</definedName>
    <definedName name="TableF6" localSheetId="28">'Template names'!#REF!</definedName>
    <definedName name="TableF6">'Template names'!#REF!</definedName>
    <definedName name="tariffdisc05" localSheetId="32">#REF!</definedName>
    <definedName name="tariffdisc05" localSheetId="33">#REF!</definedName>
    <definedName name="tariffdisc05" localSheetId="34">#REF!</definedName>
    <definedName name="tariffdisc05" localSheetId="58">#REF!</definedName>
    <definedName name="tariffdisc05" localSheetId="59">#REF!</definedName>
    <definedName name="tariffdisc05" localSheetId="63">#REF!</definedName>
    <definedName name="tariffdisc05" localSheetId="28">#REF!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ote">'Org structure'!$A$2:$A$16</definedName>
    <definedName name="Vote1">'Org structure'!$D$3:$D$12</definedName>
    <definedName name="Vote10">'Org structure'!$D$103:$D$112</definedName>
    <definedName name="Vote11">'Org structure'!$D$114:$D$123</definedName>
    <definedName name="Vote12">'Org structure'!$D$125:$D$134</definedName>
    <definedName name="Vote13">'Org structure'!$D$136:$D$145</definedName>
    <definedName name="Vote14">'Org structure'!$D$147:$D$156</definedName>
    <definedName name="Vote15">'Org structure'!$D$158:$D$167</definedName>
    <definedName name="Vote2">'Org structure'!$D$14:$D$23</definedName>
    <definedName name="Vote3">'Org structure'!$D$25:$D$34</definedName>
    <definedName name="Vote4">'Org structure'!$D$36:$D$45</definedName>
    <definedName name="Vote5">'Org structure'!$D$47:$D$56</definedName>
    <definedName name="Vote6">'Org structure'!$D$59:$D$68</definedName>
    <definedName name="Vote7">'Org structure'!$D$70:$D$79</definedName>
    <definedName name="Vote8">'Org structure'!$D$81:$D$90</definedName>
    <definedName name="Vote9">'Org structure'!$D$92:$D$101</definedName>
    <definedName name="yrend">[1]Data!$B$3</definedName>
  </definedNames>
  <calcPr calcId="181029"/>
  <fileRecoveryPr autoRecover="0"/>
</workbook>
</file>

<file path=xl/calcChain.xml><?xml version="1.0" encoding="utf-8"?>
<calcChain xmlns="http://schemas.openxmlformats.org/spreadsheetml/2006/main">
  <c r="B48" i="95" l="1"/>
  <c r="B44" i="95"/>
  <c r="B43" i="95"/>
  <c r="B41" i="95"/>
  <c r="B38" i="95"/>
  <c r="B37" i="95"/>
  <c r="B36" i="95"/>
  <c r="F35" i="95"/>
  <c r="B35" i="95"/>
  <c r="B23" i="95"/>
  <c r="J18" i="95"/>
  <c r="G18" i="95"/>
  <c r="B18" i="95"/>
  <c r="B10" i="95"/>
  <c r="B12" i="95"/>
  <c r="B14" i="95"/>
  <c r="B15" i="95"/>
  <c r="B16" i="95"/>
  <c r="B17" i="95"/>
  <c r="C10" i="137"/>
  <c r="I33" i="134" l="1"/>
  <c r="G159" i="134"/>
  <c r="H159" i="134"/>
  <c r="I8" i="142" l="1"/>
  <c r="J8" i="142" s="1"/>
  <c r="K8" i="142" s="1"/>
  <c r="F8" i="142"/>
  <c r="G251" i="363"/>
  <c r="J159" i="349" l="1"/>
  <c r="K159" i="349" s="1"/>
  <c r="J153" i="349"/>
  <c r="K153" i="349" s="1"/>
  <c r="J150" i="349"/>
  <c r="K150" i="349" s="1"/>
  <c r="J123" i="349"/>
  <c r="K123" i="349" s="1"/>
  <c r="J120" i="349"/>
  <c r="K120" i="349" s="1"/>
  <c r="J100" i="349"/>
  <c r="K100" i="349" s="1"/>
  <c r="J95" i="349"/>
  <c r="K95" i="349" s="1"/>
  <c r="J88" i="349"/>
  <c r="K88" i="349" s="1"/>
  <c r="J46" i="349"/>
  <c r="K46" i="349" s="1"/>
  <c r="J43" i="349"/>
  <c r="K43" i="349" s="1"/>
  <c r="J40" i="349"/>
  <c r="K40" i="349" s="1"/>
  <c r="J39" i="349"/>
  <c r="K39" i="349" s="1"/>
  <c r="J36" i="349"/>
  <c r="K36" i="349" s="1"/>
  <c r="J31" i="349"/>
  <c r="K31" i="349" s="1"/>
  <c r="J29" i="349"/>
  <c r="K29" i="349" s="1"/>
  <c r="J23" i="349"/>
  <c r="K23" i="349" s="1"/>
  <c r="J14" i="349"/>
  <c r="K14" i="349" s="1"/>
  <c r="J11" i="349"/>
  <c r="K11" i="349" s="1"/>
  <c r="J10" i="349"/>
  <c r="K10" i="349" s="1"/>
  <c r="K8" i="349"/>
  <c r="J8" i="349"/>
  <c r="I31" i="349"/>
  <c r="I24" i="349"/>
  <c r="J24" i="349" s="1"/>
  <c r="K24" i="349" s="1"/>
  <c r="I25" i="349"/>
  <c r="J25" i="349" s="1"/>
  <c r="K25" i="349" s="1"/>
  <c r="I156" i="349"/>
  <c r="J156" i="349" s="1"/>
  <c r="K156" i="349" s="1"/>
  <c r="D156" i="358" l="1"/>
  <c r="D210" i="343" l="1"/>
  <c r="D156" i="134" l="1"/>
  <c r="E14" i="131"/>
  <c r="D36" i="128"/>
  <c r="E45" i="126"/>
  <c r="D45" i="126"/>
  <c r="E62" i="342" l="1"/>
  <c r="E231" i="342"/>
  <c r="E67" i="342"/>
  <c r="E235" i="342"/>
  <c r="E190" i="342"/>
  <c r="E54" i="342"/>
  <c r="E223" i="342"/>
  <c r="E234" i="342"/>
  <c r="E175" i="342"/>
  <c r="D234" i="342" l="1"/>
  <c r="D231" i="342"/>
  <c r="D209" i="342"/>
  <c r="D190" i="342"/>
  <c r="D52" i="342"/>
  <c r="D28" i="342"/>
  <c r="D66" i="342"/>
  <c r="D62" i="342"/>
  <c r="E26" i="131" l="1"/>
  <c r="E15" i="131"/>
  <c r="E36" i="128"/>
  <c r="E9" i="129"/>
  <c r="D9" i="129"/>
  <c r="E19" i="128"/>
  <c r="E18" i="128"/>
  <c r="E17" i="128"/>
  <c r="D18" i="128"/>
  <c r="D17" i="128"/>
  <c r="E13" i="128"/>
  <c r="E12" i="128"/>
  <c r="H10" i="351"/>
  <c r="H12" i="351"/>
  <c r="G225" i="351"/>
  <c r="D129" i="351"/>
  <c r="E134" i="351"/>
  <c r="D134" i="351"/>
  <c r="E190" i="351"/>
  <c r="D190" i="351"/>
  <c r="E30" i="351"/>
  <c r="E12" i="351"/>
  <c r="D12" i="351"/>
  <c r="E53" i="255" l="1"/>
  <c r="D53" i="255"/>
  <c r="E61" i="255"/>
  <c r="D61" i="255"/>
  <c r="E54" i="255"/>
  <c r="D54" i="255"/>
  <c r="E134" i="255"/>
  <c r="D134" i="255" l="1"/>
  <c r="D26" i="131" l="1"/>
  <c r="D15" i="131"/>
  <c r="D13" i="128" l="1"/>
  <c r="D12" i="128"/>
  <c r="J68" i="253" l="1"/>
  <c r="K68" i="253" s="1"/>
  <c r="I66" i="253"/>
  <c r="J66" i="253" s="1"/>
  <c r="K66" i="253" s="1"/>
  <c r="I25" i="136" l="1"/>
  <c r="J25" i="136" s="1"/>
  <c r="K25" i="136" s="1"/>
  <c r="I23" i="136"/>
  <c r="J23" i="136" s="1"/>
  <c r="K23" i="136" s="1"/>
  <c r="I22" i="136"/>
  <c r="J22" i="136" s="1"/>
  <c r="K22" i="136" s="1"/>
  <c r="J19" i="136"/>
  <c r="K19" i="136" s="1"/>
  <c r="I18" i="136"/>
  <c r="J18" i="136" s="1"/>
  <c r="K18" i="136" s="1"/>
  <c r="J17" i="136"/>
  <c r="K17" i="136" s="1"/>
  <c r="I16" i="136"/>
  <c r="J16" i="136" s="1"/>
  <c r="K16" i="136" s="1"/>
  <c r="G77" i="349"/>
  <c r="H77" i="349"/>
  <c r="J12" i="128"/>
  <c r="K12" i="128" s="1"/>
  <c r="L12" i="128" s="1"/>
  <c r="J18" i="128"/>
  <c r="K35" i="128"/>
  <c r="L35" i="128" s="1"/>
  <c r="P50" i="95"/>
  <c r="O50" i="95"/>
  <c r="O44" i="95"/>
  <c r="P44" i="95" s="1"/>
  <c r="O43" i="95"/>
  <c r="P43" i="95" s="1"/>
  <c r="O42" i="95"/>
  <c r="P42" i="95" s="1"/>
  <c r="O41" i="95"/>
  <c r="P41" i="95" s="1"/>
  <c r="O40" i="95"/>
  <c r="P40" i="95" s="1"/>
  <c r="O39" i="95"/>
  <c r="P39" i="95" s="1"/>
  <c r="O38" i="95"/>
  <c r="P38" i="95" s="1"/>
  <c r="O37" i="95"/>
  <c r="P37" i="95" s="1"/>
  <c r="O36" i="95"/>
  <c r="P36" i="95" s="1"/>
  <c r="O35" i="95"/>
  <c r="P35" i="95" s="1"/>
  <c r="O23" i="95"/>
  <c r="P23" i="95" s="1"/>
  <c r="O18" i="95"/>
  <c r="P18" i="95" s="1"/>
  <c r="O17" i="95"/>
  <c r="P17" i="95" s="1"/>
  <c r="O16" i="95"/>
  <c r="P16" i="95" s="1"/>
  <c r="O15" i="95"/>
  <c r="P15" i="95" s="1"/>
  <c r="O14" i="95"/>
  <c r="P14" i="95" s="1"/>
  <c r="O12" i="95"/>
  <c r="P12" i="95" s="1"/>
  <c r="O10" i="95"/>
  <c r="P10" i="95" s="1"/>
  <c r="J22" i="129"/>
  <c r="K22" i="129" s="1"/>
  <c r="L22" i="129" s="1"/>
  <c r="J17" i="129"/>
  <c r="K17" i="129" s="1"/>
  <c r="L17" i="129" s="1"/>
  <c r="J16" i="129"/>
  <c r="K16" i="129" s="1"/>
  <c r="L16" i="129" s="1"/>
  <c r="J9" i="129"/>
  <c r="K9" i="129" s="1"/>
  <c r="L9" i="129" s="1"/>
  <c r="L47" i="128"/>
  <c r="K42" i="128"/>
  <c r="L42" i="128" s="1"/>
  <c r="J38" i="128"/>
  <c r="K38" i="128" s="1"/>
  <c r="L38" i="128" s="1"/>
  <c r="J17" i="128"/>
  <c r="K7" i="128"/>
  <c r="L7" i="128" s="1"/>
  <c r="I13" i="128"/>
  <c r="H13" i="128"/>
  <c r="G13" i="128"/>
  <c r="F13" i="128"/>
  <c r="L61" i="126"/>
  <c r="K61" i="126"/>
  <c r="J61" i="126"/>
  <c r="L49" i="126"/>
  <c r="J49" i="126"/>
  <c r="L55" i="126"/>
  <c r="K55" i="126"/>
  <c r="J55" i="126"/>
  <c r="L59" i="126"/>
  <c r="J59" i="126"/>
  <c r="L58" i="126"/>
  <c r="K58" i="126"/>
  <c r="J58" i="126"/>
  <c r="F53" i="126"/>
  <c r="K222" i="343"/>
  <c r="K59" i="126" s="1"/>
  <c r="K233" i="343"/>
  <c r="K231" i="343" s="1"/>
  <c r="L231" i="343"/>
  <c r="J231" i="343"/>
  <c r="I231" i="343"/>
  <c r="H231" i="343"/>
  <c r="G231" i="343"/>
  <c r="F231" i="343"/>
  <c r="E231" i="343"/>
  <c r="D231" i="343"/>
  <c r="C231" i="343"/>
  <c r="A62" i="343"/>
  <c r="A232" i="343" s="1"/>
  <c r="K18" i="127"/>
  <c r="K17" i="127"/>
  <c r="L17" i="127" s="1"/>
  <c r="K16" i="127"/>
  <c r="L16" i="127" s="1"/>
  <c r="K15" i="127"/>
  <c r="L15" i="127" s="1"/>
  <c r="K14" i="127"/>
  <c r="L14" i="127" s="1"/>
  <c r="K13" i="127"/>
  <c r="L13" i="127" s="1"/>
  <c r="K12" i="127"/>
  <c r="L12" i="127" s="1"/>
  <c r="K11" i="127"/>
  <c r="L11" i="127" s="1"/>
  <c r="L18" i="127"/>
  <c r="K38" i="127"/>
  <c r="L38" i="127" s="1"/>
  <c r="K28" i="127"/>
  <c r="L28" i="127" s="1"/>
  <c r="K26" i="127"/>
  <c r="K18" i="128" s="1"/>
  <c r="K25" i="127"/>
  <c r="L25" i="127" s="1"/>
  <c r="K163" i="255"/>
  <c r="L163" i="255" s="1"/>
  <c r="K134" i="255"/>
  <c r="L134" i="255" s="1"/>
  <c r="K96" i="255"/>
  <c r="L96" i="255" s="1"/>
  <c r="K24" i="305"/>
  <c r="L24" i="305" s="1"/>
  <c r="K86" i="255"/>
  <c r="L86" i="255" s="1"/>
  <c r="K79" i="255"/>
  <c r="L79" i="255" s="1"/>
  <c r="K53" i="255"/>
  <c r="L53" i="255" s="1"/>
  <c r="K38" i="255"/>
  <c r="L38" i="255" s="1"/>
  <c r="K30" i="255"/>
  <c r="L30" i="255" s="1"/>
  <c r="K24" i="255"/>
  <c r="L24" i="255" s="1"/>
  <c r="K18" i="255"/>
  <c r="L18" i="255" s="1"/>
  <c r="K12" i="255"/>
  <c r="L12" i="255" s="1"/>
  <c r="K287" i="363"/>
  <c r="L287" i="363" s="1"/>
  <c r="M287" i="363" s="1"/>
  <c r="M286" i="363"/>
  <c r="L286" i="363"/>
  <c r="K275" i="363"/>
  <c r="L275" i="363" s="1"/>
  <c r="M275" i="363" s="1"/>
  <c r="L274" i="363"/>
  <c r="M274" i="363" s="1"/>
  <c r="K263" i="363"/>
  <c r="L263" i="363" s="1"/>
  <c r="M263" i="363" s="1"/>
  <c r="L262" i="363"/>
  <c r="M262" i="363" s="1"/>
  <c r="L251" i="363"/>
  <c r="M251" i="363" s="1"/>
  <c r="L250" i="363"/>
  <c r="M250" i="363" s="1"/>
  <c r="K251" i="363"/>
  <c r="K8" i="255"/>
  <c r="L8" i="255" s="1"/>
  <c r="K7" i="255"/>
  <c r="L7" i="255" s="1"/>
  <c r="J235" i="342"/>
  <c r="K235" i="342" s="1"/>
  <c r="K49" i="126" l="1"/>
  <c r="L26" i="127"/>
  <c r="L18" i="128" s="1"/>
  <c r="J211" i="342"/>
  <c r="K211" i="342" s="1"/>
  <c r="J208" i="342"/>
  <c r="K208" i="342" s="1"/>
  <c r="J204" i="342"/>
  <c r="K204" i="342" s="1"/>
  <c r="J201" i="342"/>
  <c r="K201" i="342" s="1"/>
  <c r="J198" i="342"/>
  <c r="K198" i="342" s="1"/>
  <c r="J199" i="342"/>
  <c r="K199" i="342" s="1"/>
  <c r="J193" i="342"/>
  <c r="K193" i="342" s="1"/>
  <c r="J192" i="342"/>
  <c r="K192" i="342" s="1"/>
  <c r="J191" i="342"/>
  <c r="K191" i="342" s="1"/>
  <c r="J190" i="342"/>
  <c r="K190" i="342" s="1"/>
  <c r="J189" i="342"/>
  <c r="K189" i="342" s="1"/>
  <c r="J188" i="342"/>
  <c r="K188" i="342" s="1"/>
  <c r="J186" i="342"/>
  <c r="K186" i="342" s="1"/>
  <c r="J239" i="342"/>
  <c r="K239" i="342" s="1"/>
  <c r="J237" i="342"/>
  <c r="K237" i="342" s="1"/>
  <c r="J234" i="342"/>
  <c r="K234" i="342" s="1"/>
  <c r="J233" i="342"/>
  <c r="K233" i="342" s="1"/>
  <c r="J232" i="342"/>
  <c r="K232" i="342" s="1"/>
  <c r="J231" i="342"/>
  <c r="K231" i="342" s="1"/>
  <c r="J228" i="342"/>
  <c r="K228" i="342" s="1"/>
  <c r="K227" i="342"/>
  <c r="J226" i="342"/>
  <c r="K226" i="342" s="1"/>
  <c r="J225" i="342"/>
  <c r="K225" i="342" s="1"/>
  <c r="J224" i="342"/>
  <c r="K224" i="342" s="1"/>
  <c r="J223" i="342"/>
  <c r="K223" i="342" s="1"/>
  <c r="J222" i="342"/>
  <c r="K222" i="342" s="1"/>
  <c r="J221" i="342"/>
  <c r="K221" i="342" s="1"/>
  <c r="J220" i="342"/>
  <c r="K220" i="342" s="1"/>
  <c r="J219" i="342"/>
  <c r="K219" i="342" s="1"/>
  <c r="J217" i="342"/>
  <c r="K217" i="342" s="1"/>
  <c r="J216" i="342"/>
  <c r="K216" i="342" s="1"/>
  <c r="J215" i="342"/>
  <c r="K215" i="342" s="1"/>
  <c r="J214" i="342"/>
  <c r="K214" i="342" s="1"/>
  <c r="J209" i="342"/>
  <c r="K209" i="342" s="1"/>
  <c r="J210" i="342"/>
  <c r="K210" i="342" s="1"/>
  <c r="J50" i="342"/>
  <c r="K50" i="342" s="1"/>
  <c r="J62" i="342"/>
  <c r="K62" i="342" s="1"/>
  <c r="K32" i="342"/>
  <c r="J32" i="342"/>
  <c r="J53" i="342"/>
  <c r="K53" i="342" s="1"/>
  <c r="K71" i="342"/>
  <c r="J70" i="342"/>
  <c r="K70" i="342" s="1"/>
  <c r="K69" i="342"/>
  <c r="J68" i="342"/>
  <c r="K68" i="342" s="1"/>
  <c r="J67" i="342"/>
  <c r="K67" i="342" s="1"/>
  <c r="J66" i="342"/>
  <c r="K66" i="342" s="1"/>
  <c r="J65" i="342"/>
  <c r="K65" i="342" s="1"/>
  <c r="J64" i="342"/>
  <c r="K64" i="342" s="1"/>
  <c r="J63" i="342"/>
  <c r="K63" i="342" s="1"/>
  <c r="J57" i="342"/>
  <c r="K57" i="342" s="1"/>
  <c r="J56" i="342"/>
  <c r="K56" i="342" s="1"/>
  <c r="K54" i="342"/>
  <c r="J54" i="342"/>
  <c r="J52" i="342"/>
  <c r="K52" i="342" s="1"/>
  <c r="J51" i="342"/>
  <c r="K51" i="342" s="1"/>
  <c r="J47" i="342"/>
  <c r="K47" i="342" s="1"/>
  <c r="K46" i="342"/>
  <c r="J46" i="342"/>
  <c r="J42" i="342"/>
  <c r="K42" i="342" s="1"/>
  <c r="J39" i="342"/>
  <c r="K39" i="342" s="1"/>
  <c r="J29" i="342"/>
  <c r="K29" i="342" s="1"/>
  <c r="J21" i="342"/>
  <c r="K21" i="342" s="1"/>
  <c r="J41" i="342"/>
  <c r="K41" i="342" s="1"/>
  <c r="J6" i="342"/>
  <c r="K6" i="342" s="1"/>
  <c r="I60" i="342"/>
  <c r="H60" i="342"/>
  <c r="G60" i="342"/>
  <c r="F60" i="342"/>
  <c r="E60" i="342"/>
  <c r="D60" i="342"/>
  <c r="C60" i="342"/>
  <c r="C72" i="342"/>
  <c r="A71" i="342"/>
  <c r="A70" i="342"/>
  <c r="A69" i="342"/>
  <c r="A68" i="342"/>
  <c r="A67" i="342"/>
  <c r="A66" i="342"/>
  <c r="A65" i="342"/>
  <c r="A64" i="342"/>
  <c r="A63" i="342"/>
  <c r="A62" i="342"/>
  <c r="A61" i="342"/>
  <c r="A7" i="347"/>
  <c r="I130" i="351"/>
  <c r="J130" i="351" s="1"/>
  <c r="K130" i="351" s="1"/>
  <c r="J140" i="351"/>
  <c r="K140" i="351" s="1"/>
  <c r="J134" i="351"/>
  <c r="K134" i="351" s="1"/>
  <c r="J135" i="351"/>
  <c r="K135" i="351" s="1"/>
  <c r="J133" i="351"/>
  <c r="K133" i="351" s="1"/>
  <c r="J154" i="351"/>
  <c r="K154" i="351" s="1"/>
  <c r="J165" i="351"/>
  <c r="K165" i="351" s="1"/>
  <c r="J175" i="351"/>
  <c r="K175" i="351" s="1"/>
  <c r="J174" i="351"/>
  <c r="K174" i="351" s="1"/>
  <c r="J210" i="351"/>
  <c r="K210" i="351" s="1"/>
  <c r="J177" i="351"/>
  <c r="K177" i="351" s="1"/>
  <c r="J204" i="351"/>
  <c r="K204" i="351" s="1"/>
  <c r="J205" i="351"/>
  <c r="K205" i="351" s="1"/>
  <c r="J241" i="351"/>
  <c r="K241" i="351" s="1"/>
  <c r="J237" i="351"/>
  <c r="K237" i="351" s="1"/>
  <c r="J236" i="351"/>
  <c r="K236" i="351" s="1"/>
  <c r="J230" i="351"/>
  <c r="K230" i="351" s="1"/>
  <c r="J231" i="351"/>
  <c r="K231" i="351" s="1"/>
  <c r="J232" i="351"/>
  <c r="K232" i="351" s="1"/>
  <c r="J227" i="351"/>
  <c r="K227" i="351" s="1"/>
  <c r="J226" i="351"/>
  <c r="K226" i="351" s="1"/>
  <c r="J222" i="351"/>
  <c r="K222" i="351" s="1"/>
  <c r="J211" i="351"/>
  <c r="K211" i="351" s="1"/>
  <c r="J190" i="351"/>
  <c r="K190" i="351" s="1"/>
  <c r="J186" i="351"/>
  <c r="K186" i="351" s="1"/>
  <c r="J182" i="351"/>
  <c r="K182" i="351" s="1"/>
  <c r="J181" i="351"/>
  <c r="K181" i="351" s="1"/>
  <c r="J162" i="351"/>
  <c r="K162" i="351" s="1"/>
  <c r="J152" i="351"/>
  <c r="K152" i="351" s="1"/>
  <c r="J143" i="351"/>
  <c r="K143" i="351" s="1"/>
  <c r="K136" i="351"/>
  <c r="J136" i="351"/>
  <c r="J132" i="351"/>
  <c r="K132" i="351" s="1"/>
  <c r="J139" i="351"/>
  <c r="K139" i="351" s="1"/>
  <c r="J137" i="351"/>
  <c r="K137" i="351" s="1"/>
  <c r="K146" i="351"/>
  <c r="J146" i="351"/>
  <c r="J199" i="351"/>
  <c r="K199" i="351" s="1"/>
  <c r="J245" i="351"/>
  <c r="K245" i="351" s="1"/>
  <c r="J129" i="351"/>
  <c r="K129" i="351" s="1"/>
  <c r="J89" i="351"/>
  <c r="K89" i="351" s="1"/>
  <c r="J82" i="351"/>
  <c r="J123" i="351"/>
  <c r="K123" i="351" s="1"/>
  <c r="J119" i="351"/>
  <c r="K119" i="351" s="1"/>
  <c r="K60" i="342" l="1"/>
  <c r="J60" i="342"/>
  <c r="J115" i="351" l="1"/>
  <c r="K115" i="351" s="1"/>
  <c r="J109" i="351"/>
  <c r="K109" i="351" s="1"/>
  <c r="J105" i="351" l="1"/>
  <c r="K105" i="351" s="1"/>
  <c r="J100" i="351" l="1"/>
  <c r="K100" i="351" s="1"/>
  <c r="J101" i="351"/>
  <c r="K101" i="351" s="1"/>
  <c r="J88" i="351"/>
  <c r="K88" i="351" s="1"/>
  <c r="J83" i="351"/>
  <c r="K83" i="351" s="1"/>
  <c r="K82" i="351"/>
  <c r="J68" i="351"/>
  <c r="K68" i="351" s="1"/>
  <c r="J64" i="351"/>
  <c r="K64" i="351" s="1"/>
  <c r="J61" i="351"/>
  <c r="K61" i="351" s="1"/>
  <c r="J60" i="351"/>
  <c r="K60" i="351" s="1"/>
  <c r="J59" i="351"/>
  <c r="K59" i="351" s="1"/>
  <c r="J53" i="351"/>
  <c r="K53" i="351" s="1"/>
  <c r="J43" i="351"/>
  <c r="K43" i="351" s="1"/>
  <c r="J40" i="351"/>
  <c r="K40" i="351" s="1"/>
  <c r="J32" i="351"/>
  <c r="K32" i="351" s="1"/>
  <c r="J30" i="351"/>
  <c r="K30" i="351" s="1"/>
  <c r="J22" i="351"/>
  <c r="K22" i="351" s="1"/>
  <c r="J18" i="351"/>
  <c r="K18" i="351" s="1"/>
  <c r="J12" i="351"/>
  <c r="K12" i="351" s="1"/>
  <c r="J10" i="351" l="1"/>
  <c r="K10" i="351" s="1"/>
  <c r="J7" i="351"/>
  <c r="K7" i="351" s="1"/>
  <c r="H134" i="351"/>
  <c r="G134" i="351"/>
  <c r="F134" i="351"/>
  <c r="H30" i="351"/>
  <c r="H22" i="351"/>
  <c r="H21" i="351"/>
  <c r="F12" i="351"/>
  <c r="F23" i="351"/>
  <c r="H8" i="351"/>
  <c r="H7" i="351"/>
  <c r="D57" i="347"/>
  <c r="N50" i="95" l="1"/>
  <c r="B50" i="95" s="1"/>
  <c r="N19" i="95" l="1"/>
  <c r="N7" i="95"/>
  <c r="N8" i="95"/>
  <c r="N13" i="95"/>
  <c r="N11" i="95"/>
  <c r="N9" i="95"/>
  <c r="N6" i="95"/>
  <c r="N5" i="95"/>
  <c r="B5" i="95" s="1"/>
  <c r="G20" i="128"/>
  <c r="L31" i="237"/>
  <c r="K31" i="237"/>
  <c r="J31" i="237"/>
  <c r="I31" i="237"/>
  <c r="H31" i="237"/>
  <c r="G31" i="237"/>
  <c r="F31" i="237"/>
  <c r="E31" i="237"/>
  <c r="D31" i="237"/>
  <c r="C31" i="237"/>
  <c r="I52" i="294"/>
  <c r="H52" i="294"/>
  <c r="G52" i="294"/>
  <c r="F52" i="294"/>
  <c r="E52" i="294"/>
  <c r="D52" i="294"/>
  <c r="C52" i="294"/>
  <c r="K28" i="301"/>
  <c r="J28" i="301"/>
  <c r="I28" i="301"/>
  <c r="H28" i="301"/>
  <c r="G28" i="301"/>
  <c r="F28" i="301"/>
  <c r="E28" i="301"/>
  <c r="D28" i="301"/>
  <c r="C28" i="301"/>
  <c r="L20" i="95"/>
  <c r="L32" i="95" s="1"/>
  <c r="K20" i="95"/>
  <c r="K32" i="95" s="1"/>
  <c r="J20" i="95"/>
  <c r="J32" i="95" s="1"/>
  <c r="I20" i="95"/>
  <c r="H20" i="95"/>
  <c r="G20" i="95"/>
  <c r="F20" i="95"/>
  <c r="E20" i="95"/>
  <c r="E32" i="95"/>
  <c r="D20" i="95"/>
  <c r="D32" i="95" s="1"/>
  <c r="C20" i="95"/>
  <c r="C32" i="95" s="1"/>
  <c r="Q21" i="246"/>
  <c r="P21" i="246"/>
  <c r="O21" i="246"/>
  <c r="N21" i="246"/>
  <c r="M21" i="246"/>
  <c r="L21" i="246"/>
  <c r="K21" i="246"/>
  <c r="J21" i="246"/>
  <c r="I21" i="246"/>
  <c r="H21" i="246"/>
  <c r="G21" i="246"/>
  <c r="F21" i="246"/>
  <c r="E21" i="246"/>
  <c r="D21" i="246"/>
  <c r="C21" i="246"/>
  <c r="A212" i="351"/>
  <c r="A211" i="351"/>
  <c r="A210" i="351"/>
  <c r="A184" i="351"/>
  <c r="A183" i="351"/>
  <c r="A182" i="351"/>
  <c r="A181" i="351"/>
  <c r="A180" i="351"/>
  <c r="A179" i="351"/>
  <c r="B308" i="344"/>
  <c r="M2" i="296"/>
  <c r="Q37" i="368"/>
  <c r="P37" i="368"/>
  <c r="O37" i="368"/>
  <c r="N37" i="368"/>
  <c r="M37" i="368"/>
  <c r="Q36" i="368"/>
  <c r="P36" i="368"/>
  <c r="O36" i="368"/>
  <c r="N36" i="368"/>
  <c r="M36" i="368"/>
  <c r="Q23" i="368"/>
  <c r="P23" i="368"/>
  <c r="O23" i="368"/>
  <c r="N23" i="368"/>
  <c r="M23" i="368"/>
  <c r="N23" i="256"/>
  <c r="M23" i="256"/>
  <c r="A172" i="351"/>
  <c r="A173" i="351"/>
  <c r="A174" i="351"/>
  <c r="A175" i="351"/>
  <c r="A171" i="351"/>
  <c r="I44" i="337"/>
  <c r="I43" i="337"/>
  <c r="I42" i="337"/>
  <c r="I41" i="337"/>
  <c r="I40" i="337"/>
  <c r="I39" i="337"/>
  <c r="I38" i="337"/>
  <c r="I37" i="337"/>
  <c r="K75" i="367"/>
  <c r="K80" i="248" s="1"/>
  <c r="J75" i="367"/>
  <c r="I75" i="367"/>
  <c r="I80" i="248" s="1"/>
  <c r="H75" i="367"/>
  <c r="H80" i="248" s="1"/>
  <c r="G75" i="367"/>
  <c r="G80" i="248" s="1"/>
  <c r="F75" i="367"/>
  <c r="F80" i="248" s="1"/>
  <c r="E75" i="367"/>
  <c r="E80" i="248"/>
  <c r="D75" i="367"/>
  <c r="D80" i="248" s="1"/>
  <c r="K75" i="358"/>
  <c r="J75" i="358"/>
  <c r="J74" i="358" s="1"/>
  <c r="I75" i="358"/>
  <c r="H75" i="358"/>
  <c r="G75" i="358"/>
  <c r="F75" i="358"/>
  <c r="E75" i="358"/>
  <c r="D75" i="358"/>
  <c r="K75" i="349"/>
  <c r="J75" i="349"/>
  <c r="J180" i="248" s="1"/>
  <c r="I75" i="349"/>
  <c r="H75" i="349"/>
  <c r="G75" i="349"/>
  <c r="G180" i="248" s="1"/>
  <c r="F75" i="349"/>
  <c r="E75" i="349"/>
  <c r="E180" i="248" s="1"/>
  <c r="E182" i="248" s="1"/>
  <c r="D75" i="349"/>
  <c r="K75" i="350"/>
  <c r="J75" i="350"/>
  <c r="J48" i="248" s="1"/>
  <c r="I75" i="350"/>
  <c r="I48" i="248" s="1"/>
  <c r="H75" i="350"/>
  <c r="H48" i="248" s="1"/>
  <c r="G75" i="350"/>
  <c r="G48" i="248" s="1"/>
  <c r="F75" i="350"/>
  <c r="F48" i="248" s="1"/>
  <c r="E75" i="350"/>
  <c r="E48" i="248" s="1"/>
  <c r="E50" i="248" s="1"/>
  <c r="D75" i="350"/>
  <c r="D48" i="248" s="1"/>
  <c r="K75" i="134"/>
  <c r="K16" i="248" s="1"/>
  <c r="J75" i="134"/>
  <c r="I75" i="134"/>
  <c r="H75" i="134"/>
  <c r="G75" i="134"/>
  <c r="G16" i="248" s="1"/>
  <c r="F75" i="134"/>
  <c r="F16" i="248" s="1"/>
  <c r="E75" i="134"/>
  <c r="D75" i="134"/>
  <c r="D16" i="248" s="1"/>
  <c r="C16" i="134"/>
  <c r="E154" i="100"/>
  <c r="F154" i="100"/>
  <c r="A38" i="368"/>
  <c r="A2" i="133"/>
  <c r="A2" i="351"/>
  <c r="K239" i="351"/>
  <c r="K47" i="133" s="1"/>
  <c r="Q47" i="298" s="1"/>
  <c r="J239" i="351"/>
  <c r="J47" i="133"/>
  <c r="P47" i="298" s="1"/>
  <c r="I239" i="351"/>
  <c r="I47" i="133" s="1"/>
  <c r="O47" i="298" s="1"/>
  <c r="N47" i="298" s="1"/>
  <c r="H239" i="351"/>
  <c r="H47" i="133"/>
  <c r="G239" i="351"/>
  <c r="G47" i="133" s="1"/>
  <c r="F239" i="351"/>
  <c r="F47" i="133" s="1"/>
  <c r="E239" i="351"/>
  <c r="E47" i="133" s="1"/>
  <c r="D239" i="351"/>
  <c r="D47" i="133"/>
  <c r="C239" i="351"/>
  <c r="C47" i="133"/>
  <c r="A245" i="351"/>
  <c r="A244" i="351"/>
  <c r="A243" i="351"/>
  <c r="A242" i="351"/>
  <c r="A241" i="351"/>
  <c r="A240" i="351"/>
  <c r="K234" i="351"/>
  <c r="K46" i="133" s="1"/>
  <c r="Q46" i="298" s="1"/>
  <c r="J234" i="351"/>
  <c r="J46" i="133" s="1"/>
  <c r="P46" i="298" s="1"/>
  <c r="I234" i="351"/>
  <c r="I46" i="133" s="1"/>
  <c r="O46" i="298" s="1"/>
  <c r="N46" i="298" s="1"/>
  <c r="H234" i="351"/>
  <c r="H46" i="133" s="1"/>
  <c r="G234" i="351"/>
  <c r="G46" i="133"/>
  <c r="F234" i="351"/>
  <c r="F46" i="133" s="1"/>
  <c r="E234" i="351"/>
  <c r="E46" i="133" s="1"/>
  <c r="D234" i="351"/>
  <c r="C234" i="351"/>
  <c r="C46" i="133" s="1"/>
  <c r="A238" i="351"/>
  <c r="A237" i="351"/>
  <c r="A236" i="351"/>
  <c r="A235" i="351"/>
  <c r="K229" i="351"/>
  <c r="J229" i="351"/>
  <c r="J45" i="133" s="1"/>
  <c r="P45" i="298" s="1"/>
  <c r="I229" i="351"/>
  <c r="I45" i="133" s="1"/>
  <c r="O45" i="298" s="1"/>
  <c r="N45" i="298" s="1"/>
  <c r="H229" i="351"/>
  <c r="H45" i="133" s="1"/>
  <c r="G229" i="351"/>
  <c r="G45" i="133" s="1"/>
  <c r="F229" i="351"/>
  <c r="F45" i="133" s="1"/>
  <c r="E229" i="351"/>
  <c r="D229" i="351"/>
  <c r="D45" i="133" s="1"/>
  <c r="C229" i="351"/>
  <c r="C45" i="133" s="1"/>
  <c r="A233" i="351"/>
  <c r="A232" i="351"/>
  <c r="A231" i="351"/>
  <c r="A230" i="351"/>
  <c r="K225" i="351"/>
  <c r="K44" i="133"/>
  <c r="Q44" i="298" s="1"/>
  <c r="J225" i="351"/>
  <c r="J44" i="133" s="1"/>
  <c r="P44" i="298" s="1"/>
  <c r="I225" i="351"/>
  <c r="I44" i="133" s="1"/>
  <c r="O44" i="298" s="1"/>
  <c r="N44" i="298" s="1"/>
  <c r="H225" i="351"/>
  <c r="H44" i="133" s="1"/>
  <c r="G44" i="133"/>
  <c r="F225" i="351"/>
  <c r="F44" i="133" s="1"/>
  <c r="E225" i="351"/>
  <c r="E44" i="133" s="1"/>
  <c r="D225" i="351"/>
  <c r="D44" i="133" s="1"/>
  <c r="C225" i="351"/>
  <c r="C44" i="133" s="1"/>
  <c r="A228" i="351"/>
  <c r="A227" i="351"/>
  <c r="A226" i="351"/>
  <c r="K221" i="351"/>
  <c r="K43" i="133" s="1"/>
  <c r="J221" i="351"/>
  <c r="J43" i="133" s="1"/>
  <c r="I221" i="351"/>
  <c r="I43" i="133" s="1"/>
  <c r="H221" i="351"/>
  <c r="H43" i="133" s="1"/>
  <c r="G221" i="351"/>
  <c r="F221" i="351"/>
  <c r="F43" i="133" s="1"/>
  <c r="E221" i="351"/>
  <c r="E43" i="133" s="1"/>
  <c r="D221" i="351"/>
  <c r="D43" i="133"/>
  <c r="C221" i="351"/>
  <c r="C43" i="133" s="1"/>
  <c r="A224" i="351"/>
  <c r="K213" i="351"/>
  <c r="K41" i="133" s="1"/>
  <c r="Q41" i="298" s="1"/>
  <c r="J213" i="351"/>
  <c r="J41" i="133"/>
  <c r="P41" i="298" s="1"/>
  <c r="I213" i="351"/>
  <c r="I41" i="133"/>
  <c r="O41" i="298" s="1"/>
  <c r="N41" i="298" s="1"/>
  <c r="H213" i="351"/>
  <c r="H41" i="133" s="1"/>
  <c r="G213" i="351"/>
  <c r="G41" i="133" s="1"/>
  <c r="F213" i="351"/>
  <c r="E213" i="351"/>
  <c r="E41" i="133" s="1"/>
  <c r="D213" i="351"/>
  <c r="D41" i="133" s="1"/>
  <c r="C213" i="351"/>
  <c r="C41" i="133"/>
  <c r="A219" i="351"/>
  <c r="A218" i="351"/>
  <c r="A217" i="351"/>
  <c r="A216" i="351"/>
  <c r="A215" i="351"/>
  <c r="A214" i="351"/>
  <c r="K197" i="351"/>
  <c r="K39" i="133" s="1"/>
  <c r="J197" i="351"/>
  <c r="J39" i="133" s="1"/>
  <c r="I197" i="351"/>
  <c r="H197" i="351"/>
  <c r="G197" i="351"/>
  <c r="G39" i="133" s="1"/>
  <c r="F197" i="351"/>
  <c r="F39" i="133" s="1"/>
  <c r="E197" i="351"/>
  <c r="E39" i="133" s="1"/>
  <c r="D197" i="351"/>
  <c r="D39" i="133" s="1"/>
  <c r="C197" i="351"/>
  <c r="C39" i="133" s="1"/>
  <c r="A207" i="351"/>
  <c r="A206" i="351"/>
  <c r="A205" i="351"/>
  <c r="A204" i="351"/>
  <c r="A203" i="351"/>
  <c r="A202" i="351"/>
  <c r="A201" i="351"/>
  <c r="A200" i="351"/>
  <c r="A199" i="351"/>
  <c r="A198" i="351"/>
  <c r="K148" i="351"/>
  <c r="K33" i="133" s="1"/>
  <c r="Q33" i="298" s="1"/>
  <c r="J148" i="351"/>
  <c r="I148" i="351"/>
  <c r="I33" i="133" s="1"/>
  <c r="H148" i="351"/>
  <c r="H33" i="133" s="1"/>
  <c r="G148" i="351"/>
  <c r="G33" i="133" s="1"/>
  <c r="F148" i="351"/>
  <c r="F33" i="133" s="1"/>
  <c r="E148" i="351"/>
  <c r="E33" i="133" s="1"/>
  <c r="D148" i="351"/>
  <c r="C148" i="351"/>
  <c r="C33" i="133" s="1"/>
  <c r="K188" i="351"/>
  <c r="K37" i="133" s="1"/>
  <c r="Q37" i="298" s="1"/>
  <c r="J188" i="351"/>
  <c r="J37" i="133" s="1"/>
  <c r="P37" i="298" s="1"/>
  <c r="I188" i="351"/>
  <c r="I37" i="133" s="1"/>
  <c r="O37" i="298" s="1"/>
  <c r="N37" i="298" s="1"/>
  <c r="H188" i="351"/>
  <c r="H37" i="133" s="1"/>
  <c r="G188" i="351"/>
  <c r="G37" i="133" s="1"/>
  <c r="F188" i="351"/>
  <c r="F37" i="133" s="1"/>
  <c r="E188" i="351"/>
  <c r="E37" i="133" s="1"/>
  <c r="D188" i="351"/>
  <c r="D37" i="133" s="1"/>
  <c r="C188" i="351"/>
  <c r="C37" i="133" s="1"/>
  <c r="A195" i="351"/>
  <c r="A194" i="351"/>
  <c r="A193" i="351"/>
  <c r="A192" i="351"/>
  <c r="A191" i="351"/>
  <c r="A190" i="351"/>
  <c r="A189" i="351"/>
  <c r="C185" i="351"/>
  <c r="D185" i="351"/>
  <c r="D36" i="133"/>
  <c r="E185" i="351"/>
  <c r="E36" i="133" s="1"/>
  <c r="F185" i="351"/>
  <c r="F36" i="133" s="1"/>
  <c r="G185" i="351"/>
  <c r="G36" i="133" s="1"/>
  <c r="H185" i="351"/>
  <c r="H36" i="133" s="1"/>
  <c r="I185" i="351"/>
  <c r="J185" i="351"/>
  <c r="J36" i="133" s="1"/>
  <c r="P36" i="298" s="1"/>
  <c r="K185" i="351"/>
  <c r="K36" i="133" s="1"/>
  <c r="Q36" i="298" s="1"/>
  <c r="A187" i="351"/>
  <c r="A186" i="351"/>
  <c r="K170" i="351"/>
  <c r="K34" i="133" s="1"/>
  <c r="Q34" i="298" s="1"/>
  <c r="J170" i="351"/>
  <c r="J34" i="133" s="1"/>
  <c r="P34" i="298" s="1"/>
  <c r="I170" i="351"/>
  <c r="I34" i="133" s="1"/>
  <c r="O34" i="298" s="1"/>
  <c r="N34" i="298" s="1"/>
  <c r="H170" i="351"/>
  <c r="H34" i="133" s="1"/>
  <c r="G170" i="351"/>
  <c r="G34" i="133" s="1"/>
  <c r="F170" i="351"/>
  <c r="E170" i="351"/>
  <c r="D170" i="351"/>
  <c r="D34" i="133" s="1"/>
  <c r="C170" i="351"/>
  <c r="C34" i="133" s="1"/>
  <c r="A169" i="351"/>
  <c r="A168" i="351"/>
  <c r="A167" i="351"/>
  <c r="A166" i="351"/>
  <c r="A165" i="351"/>
  <c r="A164" i="351"/>
  <c r="A163" i="351"/>
  <c r="A162" i="351"/>
  <c r="A161" i="351"/>
  <c r="A160" i="351"/>
  <c r="A159" i="351"/>
  <c r="A158" i="351"/>
  <c r="A157" i="351"/>
  <c r="A156" i="351"/>
  <c r="A155" i="351"/>
  <c r="A154" i="351"/>
  <c r="A153" i="351"/>
  <c r="A152" i="351"/>
  <c r="A151" i="351"/>
  <c r="A150" i="351"/>
  <c r="A149" i="351"/>
  <c r="K131" i="351"/>
  <c r="K30" i="133" s="1"/>
  <c r="Q30" i="298" s="1"/>
  <c r="J131" i="351"/>
  <c r="J30" i="133" s="1"/>
  <c r="P30" i="298" s="1"/>
  <c r="I131" i="351"/>
  <c r="H131" i="351"/>
  <c r="G131" i="351"/>
  <c r="G30" i="133" s="1"/>
  <c r="F131" i="351"/>
  <c r="F30" i="133" s="1"/>
  <c r="E131" i="351"/>
  <c r="D131" i="351"/>
  <c r="D30" i="133" s="1"/>
  <c r="C131" i="351"/>
  <c r="C30" i="133"/>
  <c r="A144" i="351"/>
  <c r="A143" i="351"/>
  <c r="A142" i="351"/>
  <c r="A141" i="351"/>
  <c r="A140" i="351"/>
  <c r="A139" i="351"/>
  <c r="A138" i="351"/>
  <c r="A137" i="351"/>
  <c r="A136" i="351"/>
  <c r="A135" i="351"/>
  <c r="A134" i="351"/>
  <c r="A133" i="351"/>
  <c r="A132" i="351"/>
  <c r="K99" i="351"/>
  <c r="K20" i="133" s="1"/>
  <c r="J99" i="351"/>
  <c r="I99" i="351"/>
  <c r="I20" i="133" s="1"/>
  <c r="H99" i="351"/>
  <c r="H20" i="133" s="1"/>
  <c r="G99" i="351"/>
  <c r="G20" i="133" s="1"/>
  <c r="F99" i="351"/>
  <c r="E99" i="351"/>
  <c r="E20" i="133" s="1"/>
  <c r="D99" i="351"/>
  <c r="D20" i="133" s="1"/>
  <c r="K112" i="351"/>
  <c r="K23" i="133"/>
  <c r="Q23" i="298" s="1"/>
  <c r="J112" i="351"/>
  <c r="I112" i="351"/>
  <c r="I23" i="133" s="1"/>
  <c r="O23" i="298" s="1"/>
  <c r="N23" i="298" s="1"/>
  <c r="H112" i="351"/>
  <c r="H23" i="133" s="1"/>
  <c r="G112" i="351"/>
  <c r="G23" i="133" s="1"/>
  <c r="F112" i="351"/>
  <c r="F23" i="133" s="1"/>
  <c r="E112" i="351"/>
  <c r="E23" i="133" s="1"/>
  <c r="D112" i="351"/>
  <c r="D23" i="133"/>
  <c r="C112" i="351"/>
  <c r="C23" i="133" s="1"/>
  <c r="K103" i="351"/>
  <c r="K21" i="133" s="1"/>
  <c r="Q21" i="298" s="1"/>
  <c r="J103" i="351"/>
  <c r="J21" i="133" s="1"/>
  <c r="P21" i="298" s="1"/>
  <c r="I103" i="351"/>
  <c r="I21" i="133" s="1"/>
  <c r="O21" i="298" s="1"/>
  <c r="N21" i="298" s="1"/>
  <c r="H103" i="351"/>
  <c r="H21" i="133" s="1"/>
  <c r="G103" i="351"/>
  <c r="G21" i="133" s="1"/>
  <c r="F103" i="351"/>
  <c r="F21" i="133" s="1"/>
  <c r="E103" i="351"/>
  <c r="E21" i="133" s="1"/>
  <c r="D103" i="351"/>
  <c r="D21" i="133" s="1"/>
  <c r="C103" i="351"/>
  <c r="C21" i="133" s="1"/>
  <c r="C99" i="351"/>
  <c r="C20" i="133" s="1"/>
  <c r="K91" i="351"/>
  <c r="K18" i="133"/>
  <c r="Q18" i="298" s="1"/>
  <c r="J91" i="351"/>
  <c r="J18" i="133" s="1"/>
  <c r="P18" i="298" s="1"/>
  <c r="I91" i="351"/>
  <c r="I18" i="133" s="1"/>
  <c r="O18" i="298" s="1"/>
  <c r="N18" i="298" s="1"/>
  <c r="H91" i="351"/>
  <c r="H18" i="133"/>
  <c r="G91" i="351"/>
  <c r="G18" i="133"/>
  <c r="F91" i="351"/>
  <c r="F18" i="133" s="1"/>
  <c r="E91" i="351"/>
  <c r="E18" i="133"/>
  <c r="D91" i="351"/>
  <c r="D18" i="133" s="1"/>
  <c r="C91" i="351"/>
  <c r="C18" i="133" s="1"/>
  <c r="K75" i="351"/>
  <c r="K16" i="133" s="1"/>
  <c r="J75" i="351"/>
  <c r="J16" i="133" s="1"/>
  <c r="I75" i="351"/>
  <c r="I16" i="133" s="1"/>
  <c r="H75" i="351"/>
  <c r="H16" i="133" s="1"/>
  <c r="G75" i="351"/>
  <c r="G16" i="133" s="1"/>
  <c r="F75" i="351"/>
  <c r="F16" i="133" s="1"/>
  <c r="E75" i="351"/>
  <c r="E16" i="133" s="1"/>
  <c r="D75" i="351"/>
  <c r="D16" i="133"/>
  <c r="C75" i="351"/>
  <c r="C16" i="133" s="1"/>
  <c r="K26" i="351"/>
  <c r="K10" i="133" s="1"/>
  <c r="J26" i="351"/>
  <c r="J10" i="133" s="1"/>
  <c r="I26" i="351"/>
  <c r="I10" i="133" s="1"/>
  <c r="H26" i="351"/>
  <c r="H10" i="133" s="1"/>
  <c r="G26" i="351"/>
  <c r="G10" i="133" s="1"/>
  <c r="F26" i="351"/>
  <c r="E26" i="351"/>
  <c r="E10" i="133" s="1"/>
  <c r="D26" i="351"/>
  <c r="C26" i="351"/>
  <c r="C10" i="133" s="1"/>
  <c r="K48" i="351"/>
  <c r="K11" i="133" s="1"/>
  <c r="Q11" i="298" s="1"/>
  <c r="J48" i="351"/>
  <c r="J11" i="133" s="1"/>
  <c r="P11" i="298" s="1"/>
  <c r="I48" i="351"/>
  <c r="I11" i="133" s="1"/>
  <c r="O11" i="298" s="1"/>
  <c r="N11" i="298" s="1"/>
  <c r="H48" i="351"/>
  <c r="H11" i="133" s="1"/>
  <c r="G48" i="351"/>
  <c r="G11" i="133"/>
  <c r="F48" i="351"/>
  <c r="E48" i="351"/>
  <c r="D48" i="351"/>
  <c r="D11" i="133" s="1"/>
  <c r="C48" i="351"/>
  <c r="K63" i="351"/>
  <c r="K13" i="133" s="1"/>
  <c r="Q13" i="298" s="1"/>
  <c r="J63" i="351"/>
  <c r="I63" i="351"/>
  <c r="I13" i="133" s="1"/>
  <c r="O13" i="298" s="1"/>
  <c r="N13" i="298" s="1"/>
  <c r="H63" i="351"/>
  <c r="G63" i="351"/>
  <c r="G13" i="133" s="1"/>
  <c r="F63" i="351"/>
  <c r="F13" i="133" s="1"/>
  <c r="E63" i="351"/>
  <c r="E13" i="133" s="1"/>
  <c r="D63" i="351"/>
  <c r="D13" i="133" s="1"/>
  <c r="C63" i="351"/>
  <c r="C13" i="133" s="1"/>
  <c r="K66" i="351"/>
  <c r="J66" i="351"/>
  <c r="I66" i="351"/>
  <c r="H66" i="351"/>
  <c r="H14" i="133" s="1"/>
  <c r="G66" i="351"/>
  <c r="G14" i="133" s="1"/>
  <c r="F66" i="351"/>
  <c r="F14" i="133" s="1"/>
  <c r="E66" i="351"/>
  <c r="E14" i="133" s="1"/>
  <c r="D66" i="351"/>
  <c r="D14" i="133" s="1"/>
  <c r="C66" i="351"/>
  <c r="C14" i="133" s="1"/>
  <c r="K9" i="351"/>
  <c r="K7" i="133" s="1"/>
  <c r="Q7" i="298" s="1"/>
  <c r="J9" i="351"/>
  <c r="J7" i="133" s="1"/>
  <c r="P7" i="298" s="1"/>
  <c r="I9" i="351"/>
  <c r="I7" i="133" s="1"/>
  <c r="G9" i="351"/>
  <c r="G7" i="133" s="1"/>
  <c r="F9" i="351"/>
  <c r="F7" i="133" s="1"/>
  <c r="E9" i="351"/>
  <c r="E7" i="133" s="1"/>
  <c r="D9" i="351"/>
  <c r="D7" i="133" s="1"/>
  <c r="C9" i="351"/>
  <c r="C7" i="133" s="1"/>
  <c r="E141" i="100"/>
  <c r="E139" i="100"/>
  <c r="F141" i="100"/>
  <c r="F139" i="100"/>
  <c r="E104" i="100"/>
  <c r="F101" i="100"/>
  <c r="F104" i="100"/>
  <c r="E101" i="100"/>
  <c r="A5" i="298"/>
  <c r="A6" i="298"/>
  <c r="A7" i="298"/>
  <c r="A8" i="298"/>
  <c r="A9" i="298"/>
  <c r="A10" i="298"/>
  <c r="A11" i="298"/>
  <c r="A12" i="298"/>
  <c r="A13" i="298"/>
  <c r="A14" i="298"/>
  <c r="A15" i="298"/>
  <c r="A16" i="298"/>
  <c r="A17" i="298"/>
  <c r="A18" i="298"/>
  <c r="A19" i="298"/>
  <c r="A20" i="298"/>
  <c r="A21" i="298"/>
  <c r="A22" i="298"/>
  <c r="A23" i="298"/>
  <c r="A24" i="298"/>
  <c r="K91" i="248"/>
  <c r="J91" i="248"/>
  <c r="I91" i="248"/>
  <c r="H91" i="248"/>
  <c r="G91" i="248"/>
  <c r="F91" i="248"/>
  <c r="E91" i="248"/>
  <c r="D91" i="248"/>
  <c r="C91" i="248"/>
  <c r="E147" i="100"/>
  <c r="E150" i="100"/>
  <c r="F150" i="100"/>
  <c r="A171" i="367"/>
  <c r="K164" i="367"/>
  <c r="K99" i="248" s="1"/>
  <c r="J164" i="367"/>
  <c r="J99" i="248" s="1"/>
  <c r="I164" i="367"/>
  <c r="I99" i="248"/>
  <c r="H164" i="367"/>
  <c r="H99" i="248" s="1"/>
  <c r="G164" i="367"/>
  <c r="G99" i="248" s="1"/>
  <c r="F164" i="367"/>
  <c r="F99" i="248" s="1"/>
  <c r="E164" i="367"/>
  <c r="E99" i="248" s="1"/>
  <c r="D164" i="367"/>
  <c r="D99" i="248"/>
  <c r="C164" i="367"/>
  <c r="C99" i="248" s="1"/>
  <c r="K161" i="367"/>
  <c r="K98" i="248" s="1"/>
  <c r="J161" i="367"/>
  <c r="J98" i="248"/>
  <c r="I161" i="367"/>
  <c r="I98" i="248" s="1"/>
  <c r="H161" i="367"/>
  <c r="H98" i="248" s="1"/>
  <c r="G161" i="367"/>
  <c r="G98" i="248" s="1"/>
  <c r="F161" i="367"/>
  <c r="F98" i="248" s="1"/>
  <c r="E161" i="367"/>
  <c r="E98" i="248"/>
  <c r="D161" i="367"/>
  <c r="D98" i="248" s="1"/>
  <c r="C161" i="367"/>
  <c r="C98" i="248" s="1"/>
  <c r="K158" i="367"/>
  <c r="K97" i="248"/>
  <c r="J158" i="367"/>
  <c r="J97" i="248" s="1"/>
  <c r="I158" i="367"/>
  <c r="I97" i="248" s="1"/>
  <c r="H158" i="367"/>
  <c r="H97" i="248" s="1"/>
  <c r="G158" i="367"/>
  <c r="G97" i="248" s="1"/>
  <c r="F158" i="367"/>
  <c r="F97" i="248"/>
  <c r="E158" i="367"/>
  <c r="E97" i="248" s="1"/>
  <c r="D158" i="367"/>
  <c r="D97" i="248" s="1"/>
  <c r="C158" i="367"/>
  <c r="C97" i="248"/>
  <c r="K155" i="367"/>
  <c r="K96" i="248" s="1"/>
  <c r="J155" i="367"/>
  <c r="J96" i="248" s="1"/>
  <c r="I155" i="367"/>
  <c r="I96" i="248" s="1"/>
  <c r="H155" i="367"/>
  <c r="H96" i="248" s="1"/>
  <c r="G155" i="367"/>
  <c r="G96" i="248"/>
  <c r="F155" i="367"/>
  <c r="F96" i="248" s="1"/>
  <c r="E155" i="367"/>
  <c r="E96" i="248" s="1"/>
  <c r="D155" i="367"/>
  <c r="D96" i="248"/>
  <c r="C155" i="367"/>
  <c r="C96" i="248" s="1"/>
  <c r="K152" i="367"/>
  <c r="K95" i="248" s="1"/>
  <c r="J152" i="367"/>
  <c r="J95" i="248" s="1"/>
  <c r="I152" i="367"/>
  <c r="I95" i="248" s="1"/>
  <c r="H152" i="367"/>
  <c r="H95" i="248"/>
  <c r="G152" i="367"/>
  <c r="G95" i="248" s="1"/>
  <c r="F152" i="367"/>
  <c r="F95" i="248" s="1"/>
  <c r="E152" i="367"/>
  <c r="E95" i="248"/>
  <c r="D152" i="367"/>
  <c r="D95" i="248" s="1"/>
  <c r="C152" i="367"/>
  <c r="C95" i="248" s="1"/>
  <c r="K149" i="367"/>
  <c r="K94" i="248" s="1"/>
  <c r="J149" i="367"/>
  <c r="J94" i="248" s="1"/>
  <c r="J126" i="248" s="1"/>
  <c r="I149" i="367"/>
  <c r="I94" i="248"/>
  <c r="H149" i="367"/>
  <c r="H94" i="248" s="1"/>
  <c r="G149" i="367"/>
  <c r="G94" i="248" s="1"/>
  <c r="F149" i="367"/>
  <c r="F94" i="248"/>
  <c r="E149" i="367"/>
  <c r="E94" i="248" s="1"/>
  <c r="D149" i="367"/>
  <c r="D94" i="248" s="1"/>
  <c r="C149" i="367"/>
  <c r="C94" i="248" s="1"/>
  <c r="K141" i="367"/>
  <c r="K92" i="248" s="1"/>
  <c r="J141" i="367"/>
  <c r="J92" i="248" s="1"/>
  <c r="I141" i="367"/>
  <c r="I139" i="367"/>
  <c r="H141" i="367"/>
  <c r="G141" i="367"/>
  <c r="G92" i="248"/>
  <c r="F141" i="367"/>
  <c r="F92" i="248" s="1"/>
  <c r="E141" i="367"/>
  <c r="E92" i="248" s="1"/>
  <c r="D141" i="367"/>
  <c r="D139" i="367" s="1"/>
  <c r="C141" i="367"/>
  <c r="C92" i="248"/>
  <c r="K136" i="367"/>
  <c r="K90" i="248" s="1"/>
  <c r="J136" i="367"/>
  <c r="J90" i="248" s="1"/>
  <c r="I136" i="367"/>
  <c r="I90" i="248" s="1"/>
  <c r="H136" i="367"/>
  <c r="H90" i="248" s="1"/>
  <c r="G136" i="367"/>
  <c r="G90" i="248" s="1"/>
  <c r="F136" i="367"/>
  <c r="F90" i="248" s="1"/>
  <c r="E136" i="367"/>
  <c r="E90" i="248" s="1"/>
  <c r="D136" i="367"/>
  <c r="D90" i="248"/>
  <c r="C136" i="367"/>
  <c r="C90" i="248" s="1"/>
  <c r="K131" i="367"/>
  <c r="K88" i="248" s="1"/>
  <c r="J131" i="367"/>
  <c r="J88" i="248" s="1"/>
  <c r="I131" i="367"/>
  <c r="I88" i="248"/>
  <c r="H131" i="367"/>
  <c r="H88" i="248" s="1"/>
  <c r="G131" i="367"/>
  <c r="F131" i="367"/>
  <c r="F88" i="248"/>
  <c r="E131" i="367"/>
  <c r="E88" i="248" s="1"/>
  <c r="E120" i="248" s="1"/>
  <c r="D131" i="367"/>
  <c r="D88" i="248" s="1"/>
  <c r="C131" i="367"/>
  <c r="C88" i="248"/>
  <c r="K119" i="367"/>
  <c r="K87" i="248"/>
  <c r="J119" i="367"/>
  <c r="J87" i="248"/>
  <c r="I119" i="367"/>
  <c r="I87" i="248" s="1"/>
  <c r="H119" i="367"/>
  <c r="G119" i="367"/>
  <c r="G87" i="248" s="1"/>
  <c r="F119" i="367"/>
  <c r="F87" i="248" s="1"/>
  <c r="E119" i="367"/>
  <c r="E87" i="248" s="1"/>
  <c r="D119" i="367"/>
  <c r="C119" i="367"/>
  <c r="C87" i="248" s="1"/>
  <c r="K114" i="367"/>
  <c r="K85" i="248" s="1"/>
  <c r="J114" i="367"/>
  <c r="J85" i="248" s="1"/>
  <c r="I114" i="367"/>
  <c r="I85" i="248"/>
  <c r="H114" i="367"/>
  <c r="G114" i="367"/>
  <c r="G85" i="248"/>
  <c r="F114" i="367"/>
  <c r="F85" i="248"/>
  <c r="E114" i="367"/>
  <c r="E85" i="248"/>
  <c r="D114" i="367"/>
  <c r="D85" i="248" s="1"/>
  <c r="C114" i="367"/>
  <c r="C85" i="248" s="1"/>
  <c r="K111" i="367"/>
  <c r="K84" i="248"/>
  <c r="J111" i="367"/>
  <c r="J110" i="367" s="1"/>
  <c r="I111" i="367"/>
  <c r="I84" i="248" s="1"/>
  <c r="H111" i="367"/>
  <c r="H84" i="248"/>
  <c r="G111" i="367"/>
  <c r="G84" i="248"/>
  <c r="F111" i="367"/>
  <c r="F84" i="248"/>
  <c r="E111" i="367"/>
  <c r="E84" i="248" s="1"/>
  <c r="D111" i="367"/>
  <c r="C111" i="367"/>
  <c r="C84" i="248" s="1"/>
  <c r="K103" i="367"/>
  <c r="K83" i="248" s="1"/>
  <c r="J103" i="367"/>
  <c r="J83" i="248"/>
  <c r="I103" i="367"/>
  <c r="I83" i="248" s="1"/>
  <c r="H103" i="367"/>
  <c r="H83" i="248" s="1"/>
  <c r="G103" i="367"/>
  <c r="G83" i="248" s="1"/>
  <c r="F103" i="367"/>
  <c r="F83" i="248"/>
  <c r="E103" i="367"/>
  <c r="E83" i="248" s="1"/>
  <c r="D103" i="367"/>
  <c r="D83" i="248" s="1"/>
  <c r="C103" i="367"/>
  <c r="C83" i="248" s="1"/>
  <c r="K98" i="367"/>
  <c r="K81" i="248"/>
  <c r="J98" i="367"/>
  <c r="J81" i="248" s="1"/>
  <c r="I98" i="367"/>
  <c r="I81" i="248" s="1"/>
  <c r="H98" i="367"/>
  <c r="H81" i="248" s="1"/>
  <c r="G98" i="367"/>
  <c r="G81" i="248" s="1"/>
  <c r="F98" i="367"/>
  <c r="F74" i="367" s="1"/>
  <c r="E98" i="367"/>
  <c r="E81" i="248" s="1"/>
  <c r="D98" i="367"/>
  <c r="D81" i="248"/>
  <c r="C98" i="367"/>
  <c r="C81" i="248"/>
  <c r="C75" i="367"/>
  <c r="K68" i="367"/>
  <c r="K78" i="248" s="1"/>
  <c r="J68" i="367"/>
  <c r="J78" i="248" s="1"/>
  <c r="I68" i="367"/>
  <c r="I78" i="248" s="1"/>
  <c r="H68" i="367"/>
  <c r="H78" i="248" s="1"/>
  <c r="G68" i="367"/>
  <c r="G78" i="248"/>
  <c r="F68" i="367"/>
  <c r="F78" i="248" s="1"/>
  <c r="E68" i="367"/>
  <c r="E78" i="248" s="1"/>
  <c r="E110" i="248" s="1"/>
  <c r="D68" i="367"/>
  <c r="D78" i="248" s="1"/>
  <c r="C68" i="367"/>
  <c r="C78" i="248"/>
  <c r="K62" i="367"/>
  <c r="K77" i="248" s="1"/>
  <c r="J62" i="367"/>
  <c r="J77" i="248" s="1"/>
  <c r="I62" i="367"/>
  <c r="I77" i="248" s="1"/>
  <c r="H62" i="367"/>
  <c r="H77" i="248"/>
  <c r="H109" i="248" s="1"/>
  <c r="G62" i="367"/>
  <c r="G77" i="248" s="1"/>
  <c r="F62" i="367"/>
  <c r="F77" i="248" s="1"/>
  <c r="E62" i="367"/>
  <c r="E77" i="248" s="1"/>
  <c r="D62" i="367"/>
  <c r="D77" i="248" s="1"/>
  <c r="C62" i="367"/>
  <c r="C77" i="248" s="1"/>
  <c r="K52" i="367"/>
  <c r="K76" i="248" s="1"/>
  <c r="J52" i="367"/>
  <c r="J76" i="248" s="1"/>
  <c r="I52" i="367"/>
  <c r="I76" i="248"/>
  <c r="H52" i="367"/>
  <c r="H76" i="248" s="1"/>
  <c r="G52" i="367"/>
  <c r="G76" i="248" s="1"/>
  <c r="F52" i="367"/>
  <c r="F76" i="248" s="1"/>
  <c r="E52" i="367"/>
  <c r="E76" i="248"/>
  <c r="D52" i="367"/>
  <c r="D76" i="248" s="1"/>
  <c r="C52" i="367"/>
  <c r="C76" i="248" s="1"/>
  <c r="K44" i="367"/>
  <c r="K75" i="248" s="1"/>
  <c r="J44" i="367"/>
  <c r="J75" i="248" s="1"/>
  <c r="I44" i="367"/>
  <c r="I75" i="248" s="1"/>
  <c r="H44" i="367"/>
  <c r="H75" i="248" s="1"/>
  <c r="G44" i="367"/>
  <c r="G75" i="248" s="1"/>
  <c r="F44" i="367"/>
  <c r="F75" i="248" s="1"/>
  <c r="E44" i="367"/>
  <c r="E75" i="248" s="1"/>
  <c r="D44" i="367"/>
  <c r="D75" i="248" s="1"/>
  <c r="C44" i="367"/>
  <c r="C75" i="248" s="1"/>
  <c r="K37" i="367"/>
  <c r="K74" i="248" s="1"/>
  <c r="J37" i="367"/>
  <c r="J74" i="248"/>
  <c r="I37" i="367"/>
  <c r="I74" i="248" s="1"/>
  <c r="H37" i="367"/>
  <c r="H74" i="248" s="1"/>
  <c r="G37" i="367"/>
  <c r="G74" i="248" s="1"/>
  <c r="F37" i="367"/>
  <c r="F74" i="248"/>
  <c r="E37" i="367"/>
  <c r="E74" i="248" s="1"/>
  <c r="D37" i="367"/>
  <c r="D74" i="248" s="1"/>
  <c r="C37" i="367"/>
  <c r="C74" i="248" s="1"/>
  <c r="K26" i="367"/>
  <c r="K73" i="248"/>
  <c r="J26" i="367"/>
  <c r="J73" i="248" s="1"/>
  <c r="I26" i="367"/>
  <c r="I73" i="248" s="1"/>
  <c r="H26" i="367"/>
  <c r="H73" i="248" s="1"/>
  <c r="G26" i="367"/>
  <c r="G73" i="248" s="1"/>
  <c r="F26" i="367"/>
  <c r="F73" i="248" s="1"/>
  <c r="E26" i="367"/>
  <c r="E73" i="248" s="1"/>
  <c r="D26" i="367"/>
  <c r="D73" i="248" s="1"/>
  <c r="C26" i="367"/>
  <c r="C73" i="248" s="1"/>
  <c r="K16" i="367"/>
  <c r="K72" i="248"/>
  <c r="J16" i="367"/>
  <c r="J72" i="248" s="1"/>
  <c r="I16" i="367"/>
  <c r="I72" i="248" s="1"/>
  <c r="H16" i="367"/>
  <c r="H72" i="248" s="1"/>
  <c r="G16" i="367"/>
  <c r="G72" i="248" s="1"/>
  <c r="F16" i="367"/>
  <c r="F72" i="248" s="1"/>
  <c r="E16" i="367"/>
  <c r="E72" i="248" s="1"/>
  <c r="D16" i="367"/>
  <c r="D72" i="248" s="1"/>
  <c r="C16" i="367"/>
  <c r="C72" i="248" s="1"/>
  <c r="K12" i="367"/>
  <c r="K71" i="248" s="1"/>
  <c r="J12" i="367"/>
  <c r="J71" i="248" s="1"/>
  <c r="I12" i="367"/>
  <c r="I71" i="248" s="1"/>
  <c r="H12" i="367"/>
  <c r="G12" i="367"/>
  <c r="G71" i="248" s="1"/>
  <c r="F12" i="367"/>
  <c r="F71" i="248" s="1"/>
  <c r="E12" i="367"/>
  <c r="E71" i="248" s="1"/>
  <c r="D12" i="367"/>
  <c r="D71" i="248" s="1"/>
  <c r="D79" i="248" s="1"/>
  <c r="C12" i="367"/>
  <c r="K7" i="367"/>
  <c r="K70" i="248" s="1"/>
  <c r="J7" i="367"/>
  <c r="J70" i="248" s="1"/>
  <c r="I7" i="367"/>
  <c r="I70" i="248" s="1"/>
  <c r="H7" i="367"/>
  <c r="H70" i="248" s="1"/>
  <c r="G7" i="367"/>
  <c r="F7" i="367"/>
  <c r="E7" i="367"/>
  <c r="E70" i="248"/>
  <c r="D7" i="367"/>
  <c r="D70" i="248" s="1"/>
  <c r="C7" i="367"/>
  <c r="C70" i="248"/>
  <c r="H3" i="367"/>
  <c r="G3" i="367"/>
  <c r="F3" i="367"/>
  <c r="E3" i="367"/>
  <c r="D3" i="367"/>
  <c r="C3" i="367"/>
  <c r="B2" i="367"/>
  <c r="A2" i="367"/>
  <c r="K191" i="248"/>
  <c r="J191" i="248"/>
  <c r="I191" i="248"/>
  <c r="H191" i="248"/>
  <c r="G191" i="248"/>
  <c r="F191" i="248"/>
  <c r="E191" i="248"/>
  <c r="D191" i="248"/>
  <c r="K59" i="248"/>
  <c r="J59" i="248"/>
  <c r="I59" i="248"/>
  <c r="H59" i="248"/>
  <c r="G59" i="248"/>
  <c r="F59" i="248"/>
  <c r="E59" i="248"/>
  <c r="D59" i="248"/>
  <c r="K27" i="248"/>
  <c r="J27" i="248"/>
  <c r="I27" i="248"/>
  <c r="H27" i="248"/>
  <c r="G27" i="248"/>
  <c r="F27" i="248"/>
  <c r="E27" i="248"/>
  <c r="E123" i="248"/>
  <c r="D27" i="248"/>
  <c r="C191" i="248"/>
  <c r="C59" i="248"/>
  <c r="C27" i="248"/>
  <c r="C8" i="248"/>
  <c r="K164" i="358"/>
  <c r="J164" i="358"/>
  <c r="I164" i="358"/>
  <c r="H164" i="358"/>
  <c r="G164" i="358"/>
  <c r="F164" i="358"/>
  <c r="E164" i="358"/>
  <c r="D164" i="358"/>
  <c r="C164" i="358"/>
  <c r="K161" i="358"/>
  <c r="J161" i="358"/>
  <c r="I161" i="358"/>
  <c r="H161" i="358"/>
  <c r="G161" i="358"/>
  <c r="F161" i="358"/>
  <c r="E161" i="358"/>
  <c r="D161" i="358"/>
  <c r="C161" i="358"/>
  <c r="K158" i="358"/>
  <c r="J158" i="358"/>
  <c r="I158" i="358"/>
  <c r="H158" i="358"/>
  <c r="G158" i="358"/>
  <c r="F158" i="358"/>
  <c r="E158" i="358"/>
  <c r="D158" i="358"/>
  <c r="C158" i="358"/>
  <c r="K155" i="358"/>
  <c r="J155" i="358"/>
  <c r="I155" i="358"/>
  <c r="H155" i="358"/>
  <c r="G155" i="358"/>
  <c r="F155" i="358"/>
  <c r="E155" i="358"/>
  <c r="D155" i="358"/>
  <c r="C155" i="358"/>
  <c r="K152" i="358"/>
  <c r="J152" i="358"/>
  <c r="I152" i="358"/>
  <c r="H152" i="358"/>
  <c r="G152" i="358"/>
  <c r="F152" i="358"/>
  <c r="E152" i="358"/>
  <c r="D152" i="358"/>
  <c r="C152" i="358"/>
  <c r="K149" i="358"/>
  <c r="J149" i="358"/>
  <c r="I149" i="358"/>
  <c r="H149" i="358"/>
  <c r="G149" i="358"/>
  <c r="F149" i="358"/>
  <c r="E149" i="358"/>
  <c r="D149" i="358"/>
  <c r="C149" i="358"/>
  <c r="K141" i="358"/>
  <c r="K139" i="358"/>
  <c r="J141" i="358"/>
  <c r="J139" i="358" s="1"/>
  <c r="I141" i="358"/>
  <c r="I139" i="358" s="1"/>
  <c r="H141" i="358"/>
  <c r="H139" i="358" s="1"/>
  <c r="G141" i="358"/>
  <c r="G139" i="358" s="1"/>
  <c r="F141" i="358"/>
  <c r="F139" i="358" s="1"/>
  <c r="E141" i="358"/>
  <c r="E139" i="358" s="1"/>
  <c r="D141" i="358"/>
  <c r="D139" i="358" s="1"/>
  <c r="C141" i="358"/>
  <c r="C139" i="358" s="1"/>
  <c r="K136" i="358"/>
  <c r="J136" i="358"/>
  <c r="I136" i="358"/>
  <c r="H136" i="358"/>
  <c r="G136" i="358"/>
  <c r="F136" i="358"/>
  <c r="E136" i="358"/>
  <c r="D136" i="358"/>
  <c r="C136" i="358"/>
  <c r="K131" i="358"/>
  <c r="J131" i="358"/>
  <c r="I131" i="358"/>
  <c r="H131" i="358"/>
  <c r="G131" i="358"/>
  <c r="F131" i="358"/>
  <c r="E131" i="358"/>
  <c r="D131" i="358"/>
  <c r="C131" i="358"/>
  <c r="K119" i="358"/>
  <c r="J119" i="358"/>
  <c r="I119" i="358"/>
  <c r="I118" i="358" s="1"/>
  <c r="H119" i="358"/>
  <c r="G119" i="358"/>
  <c r="F119" i="358"/>
  <c r="E119" i="358"/>
  <c r="D119" i="358"/>
  <c r="C119" i="358"/>
  <c r="K114" i="358"/>
  <c r="J114" i="358"/>
  <c r="I114" i="358"/>
  <c r="H114" i="358"/>
  <c r="G114" i="358"/>
  <c r="F114" i="358"/>
  <c r="E114" i="358"/>
  <c r="D114" i="358"/>
  <c r="C114" i="358"/>
  <c r="K111" i="358"/>
  <c r="J111" i="358"/>
  <c r="J110" i="358" s="1"/>
  <c r="I111" i="358"/>
  <c r="H111" i="358"/>
  <c r="G111" i="358"/>
  <c r="F111" i="358"/>
  <c r="E111" i="358"/>
  <c r="E110" i="358" s="1"/>
  <c r="D111" i="358"/>
  <c r="C111" i="358"/>
  <c r="K103" i="358"/>
  <c r="J103" i="358"/>
  <c r="I103" i="358"/>
  <c r="H103" i="358"/>
  <c r="G103" i="358"/>
  <c r="F103" i="358"/>
  <c r="E103" i="358"/>
  <c r="D103" i="358"/>
  <c r="C103" i="358"/>
  <c r="K98" i="358"/>
  <c r="J98" i="358"/>
  <c r="I98" i="358"/>
  <c r="I74" i="358" s="1"/>
  <c r="H98" i="358"/>
  <c r="H74" i="358" s="1"/>
  <c r="G98" i="358"/>
  <c r="F98" i="358"/>
  <c r="E98" i="358"/>
  <c r="E74" i="358" s="1"/>
  <c r="D98" i="358"/>
  <c r="D74" i="358" s="1"/>
  <c r="C98" i="358"/>
  <c r="C75" i="358"/>
  <c r="K68" i="358"/>
  <c r="J68" i="358"/>
  <c r="I68" i="358"/>
  <c r="H68" i="358"/>
  <c r="G68" i="358"/>
  <c r="F68" i="358"/>
  <c r="E68" i="358"/>
  <c r="D68" i="358"/>
  <c r="C68" i="358"/>
  <c r="K62" i="358"/>
  <c r="J62" i="358"/>
  <c r="I62" i="358"/>
  <c r="H62" i="358"/>
  <c r="G62" i="358"/>
  <c r="F62" i="358"/>
  <c r="E62" i="358"/>
  <c r="D62" i="358"/>
  <c r="C62" i="358"/>
  <c r="K52" i="358"/>
  <c r="J52" i="358"/>
  <c r="I52" i="358"/>
  <c r="H52" i="358"/>
  <c r="G52" i="358"/>
  <c r="F52" i="358"/>
  <c r="E52" i="358"/>
  <c r="D52" i="358"/>
  <c r="C52" i="358"/>
  <c r="K44" i="358"/>
  <c r="J44" i="358"/>
  <c r="I44" i="358"/>
  <c r="H44" i="358"/>
  <c r="G44" i="358"/>
  <c r="F44" i="358"/>
  <c r="E44" i="358"/>
  <c r="D44" i="358"/>
  <c r="C44" i="358"/>
  <c r="K37" i="358"/>
  <c r="J37" i="358"/>
  <c r="I37" i="358"/>
  <c r="H37" i="358"/>
  <c r="G37" i="358"/>
  <c r="F37" i="358"/>
  <c r="E37" i="358"/>
  <c r="D37" i="358"/>
  <c r="C37" i="358"/>
  <c r="K26" i="358"/>
  <c r="J26" i="358"/>
  <c r="I26" i="358"/>
  <c r="H26" i="358"/>
  <c r="G26" i="358"/>
  <c r="F26" i="358"/>
  <c r="E26" i="358"/>
  <c r="D26" i="358"/>
  <c r="C26" i="358"/>
  <c r="K16" i="358"/>
  <c r="J16" i="358"/>
  <c r="I16" i="358"/>
  <c r="H16" i="358"/>
  <c r="G16" i="358"/>
  <c r="F16" i="358"/>
  <c r="E16" i="358"/>
  <c r="D16" i="358"/>
  <c r="C16" i="358"/>
  <c r="K12" i="358"/>
  <c r="J12" i="358"/>
  <c r="I12" i="358"/>
  <c r="H12" i="358"/>
  <c r="G12" i="358"/>
  <c r="F12" i="358"/>
  <c r="E12" i="358"/>
  <c r="D12" i="358"/>
  <c r="C12" i="358"/>
  <c r="K7" i="358"/>
  <c r="J7" i="358"/>
  <c r="I7" i="358"/>
  <c r="H7" i="358"/>
  <c r="G7" i="358"/>
  <c r="F7" i="358"/>
  <c r="E7" i="358"/>
  <c r="D7" i="358"/>
  <c r="C7" i="358"/>
  <c r="K164" i="349"/>
  <c r="K199" i="248"/>
  <c r="J164" i="349"/>
  <c r="J199" i="248" s="1"/>
  <c r="I164" i="349"/>
  <c r="I199" i="248"/>
  <c r="H164" i="349"/>
  <c r="H199" i="248" s="1"/>
  <c r="G164" i="349"/>
  <c r="G199" i="248" s="1"/>
  <c r="F164" i="349"/>
  <c r="F199" i="248"/>
  <c r="E164" i="349"/>
  <c r="E199" i="248" s="1"/>
  <c r="D164" i="349"/>
  <c r="D199" i="248" s="1"/>
  <c r="C164" i="349"/>
  <c r="C199" i="248" s="1"/>
  <c r="K161" i="349"/>
  <c r="K198" i="248"/>
  <c r="J161" i="349"/>
  <c r="J198" i="248" s="1"/>
  <c r="I161" i="349"/>
  <c r="I198" i="248" s="1"/>
  <c r="H161" i="349"/>
  <c r="H198" i="248"/>
  <c r="G161" i="349"/>
  <c r="G198" i="248" s="1"/>
  <c r="F161" i="349"/>
  <c r="F198" i="248"/>
  <c r="E161" i="349"/>
  <c r="E198" i="248" s="1"/>
  <c r="D161" i="349"/>
  <c r="D198" i="248"/>
  <c r="C161" i="349"/>
  <c r="C198" i="248" s="1"/>
  <c r="K158" i="349"/>
  <c r="K197" i="248" s="1"/>
  <c r="J158" i="349"/>
  <c r="J197" i="248" s="1"/>
  <c r="I158" i="349"/>
  <c r="I197" i="248" s="1"/>
  <c r="H158" i="349"/>
  <c r="H197" i="248"/>
  <c r="G158" i="349"/>
  <c r="G197" i="248" s="1"/>
  <c r="F158" i="349"/>
  <c r="F197" i="248" s="1"/>
  <c r="E158" i="349"/>
  <c r="E197" i="248"/>
  <c r="D158" i="349"/>
  <c r="D197" i="248" s="1"/>
  <c r="C158" i="349"/>
  <c r="C197" i="248"/>
  <c r="K155" i="349"/>
  <c r="K196" i="248" s="1"/>
  <c r="J155" i="349"/>
  <c r="J196" i="248" s="1"/>
  <c r="I155" i="349"/>
  <c r="I196" i="248" s="1"/>
  <c r="H155" i="349"/>
  <c r="H196" i="248" s="1"/>
  <c r="G155" i="349"/>
  <c r="G196" i="248" s="1"/>
  <c r="F155" i="349"/>
  <c r="F196" i="248" s="1"/>
  <c r="E155" i="349"/>
  <c r="E196" i="248"/>
  <c r="D155" i="349"/>
  <c r="D196" i="248" s="1"/>
  <c r="C155" i="349"/>
  <c r="C196" i="248" s="1"/>
  <c r="K152" i="349"/>
  <c r="K195" i="248"/>
  <c r="J152" i="349"/>
  <c r="J195" i="248" s="1"/>
  <c r="I152" i="349"/>
  <c r="I195" i="248" s="1"/>
  <c r="H152" i="349"/>
  <c r="H195" i="248" s="1"/>
  <c r="G152" i="349"/>
  <c r="G195" i="248" s="1"/>
  <c r="F152" i="349"/>
  <c r="F195" i="248" s="1"/>
  <c r="E152" i="349"/>
  <c r="E195" i="248" s="1"/>
  <c r="D152" i="349"/>
  <c r="D195" i="248" s="1"/>
  <c r="C152" i="349"/>
  <c r="C195" i="248"/>
  <c r="K149" i="349"/>
  <c r="K194" i="248" s="1"/>
  <c r="J149" i="349"/>
  <c r="J194" i="248" s="1"/>
  <c r="I149" i="349"/>
  <c r="I194" i="248"/>
  <c r="H149" i="349"/>
  <c r="H194" i="248" s="1"/>
  <c r="G149" i="349"/>
  <c r="G194" i="248" s="1"/>
  <c r="F149" i="349"/>
  <c r="F194" i="248" s="1"/>
  <c r="E149" i="349"/>
  <c r="E194" i="248" s="1"/>
  <c r="D149" i="349"/>
  <c r="D194" i="248"/>
  <c r="C149" i="349"/>
  <c r="C194" i="248" s="1"/>
  <c r="K141" i="349"/>
  <c r="K139" i="349" s="1"/>
  <c r="J141" i="349"/>
  <c r="J139" i="349"/>
  <c r="I141" i="349"/>
  <c r="H141" i="349"/>
  <c r="G141" i="349"/>
  <c r="G192" i="248" s="1"/>
  <c r="F141" i="349"/>
  <c r="E141" i="349"/>
  <c r="E192" i="248" s="1"/>
  <c r="D141" i="349"/>
  <c r="C141" i="349"/>
  <c r="C192" i="248"/>
  <c r="K136" i="349"/>
  <c r="K190" i="248" s="1"/>
  <c r="J136" i="349"/>
  <c r="J190" i="248" s="1"/>
  <c r="I136" i="349"/>
  <c r="I190" i="248"/>
  <c r="H136" i="349"/>
  <c r="H190" i="248" s="1"/>
  <c r="G136" i="349"/>
  <c r="G190" i="248" s="1"/>
  <c r="F136" i="349"/>
  <c r="F190" i="248" s="1"/>
  <c r="E136" i="349"/>
  <c r="E190" i="248" s="1"/>
  <c r="D136" i="349"/>
  <c r="D190" i="248"/>
  <c r="C136" i="349"/>
  <c r="C190" i="248" s="1"/>
  <c r="K131" i="349"/>
  <c r="K188" i="248" s="1"/>
  <c r="J131" i="349"/>
  <c r="J188" i="248"/>
  <c r="I131" i="349"/>
  <c r="I188" i="248" s="1"/>
  <c r="H131" i="349"/>
  <c r="G131" i="349"/>
  <c r="F131" i="349"/>
  <c r="F188" i="248" s="1"/>
  <c r="E131" i="349"/>
  <c r="E188" i="248"/>
  <c r="D131" i="349"/>
  <c r="D188" i="248" s="1"/>
  <c r="C131" i="349"/>
  <c r="C188" i="248" s="1"/>
  <c r="K119" i="349"/>
  <c r="J119" i="349"/>
  <c r="J187" i="248" s="1"/>
  <c r="J189" i="248" s="1"/>
  <c r="I119" i="349"/>
  <c r="H119" i="349"/>
  <c r="H187" i="248" s="1"/>
  <c r="G119" i="349"/>
  <c r="G187" i="248"/>
  <c r="F119" i="349"/>
  <c r="F187" i="248" s="1"/>
  <c r="E119" i="349"/>
  <c r="D119" i="349"/>
  <c r="D187" i="248" s="1"/>
  <c r="D189" i="248" s="1"/>
  <c r="C119" i="349"/>
  <c r="C187" i="248" s="1"/>
  <c r="K114" i="349"/>
  <c r="J114" i="349"/>
  <c r="I114" i="349"/>
  <c r="I185" i="248" s="1"/>
  <c r="H114" i="349"/>
  <c r="H185" i="248" s="1"/>
  <c r="G114" i="349"/>
  <c r="F114" i="349"/>
  <c r="F110" i="349" s="1"/>
  <c r="E114" i="349"/>
  <c r="E185" i="248" s="1"/>
  <c r="D114" i="349"/>
  <c r="D185" i="248" s="1"/>
  <c r="C114" i="349"/>
  <c r="C185" i="248"/>
  <c r="K111" i="349"/>
  <c r="K184" i="248" s="1"/>
  <c r="J111" i="349"/>
  <c r="J184" i="248" s="1"/>
  <c r="I111" i="349"/>
  <c r="I184" i="248" s="1"/>
  <c r="H111" i="349"/>
  <c r="H184" i="248" s="1"/>
  <c r="H186" i="248" s="1"/>
  <c r="G111" i="349"/>
  <c r="G184" i="248" s="1"/>
  <c r="F111" i="349"/>
  <c r="F184" i="248" s="1"/>
  <c r="E111" i="349"/>
  <c r="D111" i="349"/>
  <c r="D184" i="248" s="1"/>
  <c r="C111" i="349"/>
  <c r="K103" i="349"/>
  <c r="K183" i="248" s="1"/>
  <c r="J103" i="349"/>
  <c r="J183" i="248" s="1"/>
  <c r="I103" i="349"/>
  <c r="I183" i="248" s="1"/>
  <c r="H103" i="349"/>
  <c r="H183" i="248"/>
  <c r="G103" i="349"/>
  <c r="G183" i="248" s="1"/>
  <c r="F103" i="349"/>
  <c r="F183" i="248" s="1"/>
  <c r="E103" i="349"/>
  <c r="E183" i="248" s="1"/>
  <c r="D103" i="349"/>
  <c r="D183" i="248" s="1"/>
  <c r="C103" i="349"/>
  <c r="C183" i="248" s="1"/>
  <c r="K98" i="349"/>
  <c r="K181" i="248" s="1"/>
  <c r="J98" i="349"/>
  <c r="J181" i="248" s="1"/>
  <c r="I98" i="349"/>
  <c r="I181" i="248" s="1"/>
  <c r="H98" i="349"/>
  <c r="H181" i="248" s="1"/>
  <c r="G98" i="349"/>
  <c r="G181" i="248" s="1"/>
  <c r="F98" i="349"/>
  <c r="F181" i="248" s="1"/>
  <c r="E98" i="349"/>
  <c r="E181" i="248"/>
  <c r="D98" i="349"/>
  <c r="C98" i="349"/>
  <c r="C181" i="248" s="1"/>
  <c r="F180" i="248"/>
  <c r="C75" i="349"/>
  <c r="C180" i="248"/>
  <c r="K68" i="349"/>
  <c r="K178" i="248" s="1"/>
  <c r="J68" i="349"/>
  <c r="J178" i="248"/>
  <c r="I68" i="349"/>
  <c r="I178" i="248" s="1"/>
  <c r="H68" i="349"/>
  <c r="H178" i="248"/>
  <c r="G68" i="349"/>
  <c r="G178" i="248" s="1"/>
  <c r="F68" i="349"/>
  <c r="F178" i="248" s="1"/>
  <c r="E68" i="349"/>
  <c r="E178" i="248"/>
  <c r="D68" i="349"/>
  <c r="D178" i="248" s="1"/>
  <c r="C68" i="349"/>
  <c r="C178" i="248" s="1"/>
  <c r="K62" i="349"/>
  <c r="K177" i="248" s="1"/>
  <c r="J62" i="349"/>
  <c r="J177" i="248"/>
  <c r="I62" i="349"/>
  <c r="I177" i="248" s="1"/>
  <c r="H62" i="349"/>
  <c r="H177" i="248" s="1"/>
  <c r="G62" i="349"/>
  <c r="G177" i="248"/>
  <c r="F62" i="349"/>
  <c r="F177" i="248" s="1"/>
  <c r="E62" i="349"/>
  <c r="E177" i="248"/>
  <c r="D62" i="349"/>
  <c r="D177" i="248" s="1"/>
  <c r="C62" i="349"/>
  <c r="C177" i="248"/>
  <c r="K52" i="349"/>
  <c r="K176" i="248" s="1"/>
  <c r="J52" i="349"/>
  <c r="J176" i="248"/>
  <c r="I52" i="349"/>
  <c r="I176" i="248" s="1"/>
  <c r="H52" i="349"/>
  <c r="H176" i="248" s="1"/>
  <c r="G52" i="349"/>
  <c r="G176" i="248"/>
  <c r="F52" i="349"/>
  <c r="F176" i="248" s="1"/>
  <c r="E52" i="349"/>
  <c r="E176" i="248" s="1"/>
  <c r="D52" i="349"/>
  <c r="D176" i="248" s="1"/>
  <c r="C52" i="349"/>
  <c r="C176" i="248"/>
  <c r="K44" i="349"/>
  <c r="K175" i="248" s="1"/>
  <c r="J44" i="349"/>
  <c r="J175" i="248" s="1"/>
  <c r="I44" i="349"/>
  <c r="I175" i="248"/>
  <c r="H44" i="349"/>
  <c r="H175" i="248" s="1"/>
  <c r="G44" i="349"/>
  <c r="G175" i="248" s="1"/>
  <c r="F44" i="349"/>
  <c r="F175" i="248" s="1"/>
  <c r="E44" i="349"/>
  <c r="E175" i="248" s="1"/>
  <c r="D44" i="349"/>
  <c r="D175" i="248" s="1"/>
  <c r="C44" i="349"/>
  <c r="C175" i="248" s="1"/>
  <c r="K37" i="349"/>
  <c r="K174" i="248" s="1"/>
  <c r="J37" i="349"/>
  <c r="J174" i="248" s="1"/>
  <c r="I37" i="349"/>
  <c r="I174" i="248" s="1"/>
  <c r="H37" i="349"/>
  <c r="H174" i="248" s="1"/>
  <c r="G37" i="349"/>
  <c r="G174" i="248" s="1"/>
  <c r="F37" i="349"/>
  <c r="F174" i="248" s="1"/>
  <c r="E37" i="349"/>
  <c r="E174" i="248"/>
  <c r="D37" i="349"/>
  <c r="D174" i="248" s="1"/>
  <c r="C37" i="349"/>
  <c r="C174" i="248"/>
  <c r="K26" i="349"/>
  <c r="K173" i="248" s="1"/>
  <c r="J26" i="349"/>
  <c r="J173" i="248" s="1"/>
  <c r="I26" i="349"/>
  <c r="I173" i="248" s="1"/>
  <c r="H26" i="349"/>
  <c r="H173" i="248" s="1"/>
  <c r="G26" i="349"/>
  <c r="G173" i="248" s="1"/>
  <c r="F26" i="349"/>
  <c r="F173" i="248" s="1"/>
  <c r="E26" i="349"/>
  <c r="E173" i="248" s="1"/>
  <c r="D26" i="349"/>
  <c r="D173" i="248"/>
  <c r="C26" i="349"/>
  <c r="C173" i="248" s="1"/>
  <c r="K16" i="349"/>
  <c r="K172" i="248" s="1"/>
  <c r="J16" i="349"/>
  <c r="J172" i="248" s="1"/>
  <c r="I16" i="349"/>
  <c r="I172" i="248" s="1"/>
  <c r="H16" i="349"/>
  <c r="H172" i="248" s="1"/>
  <c r="G16" i="349"/>
  <c r="F16" i="349"/>
  <c r="E16" i="349"/>
  <c r="E172" i="248" s="1"/>
  <c r="D16" i="349"/>
  <c r="D172" i="248" s="1"/>
  <c r="C16" i="349"/>
  <c r="C172" i="248"/>
  <c r="K12" i="349"/>
  <c r="K171" i="248" s="1"/>
  <c r="J12" i="349"/>
  <c r="J171" i="248" s="1"/>
  <c r="I12" i="349"/>
  <c r="I171" i="248"/>
  <c r="H12" i="349"/>
  <c r="H171" i="248" s="1"/>
  <c r="G12" i="349"/>
  <c r="G171" i="248" s="1"/>
  <c r="F12" i="349"/>
  <c r="F171" i="248"/>
  <c r="E12" i="349"/>
  <c r="E171" i="248" s="1"/>
  <c r="D12" i="349"/>
  <c r="D171" i="248" s="1"/>
  <c r="C12" i="349"/>
  <c r="C171" i="248"/>
  <c r="K7" i="349"/>
  <c r="K170" i="248" s="1"/>
  <c r="J7" i="349"/>
  <c r="J170" i="248"/>
  <c r="I7" i="349"/>
  <c r="I170" i="248" s="1"/>
  <c r="H7" i="349"/>
  <c r="H170" i="248" s="1"/>
  <c r="G7" i="349"/>
  <c r="F7" i="349"/>
  <c r="F170" i="248" s="1"/>
  <c r="E7" i="349"/>
  <c r="E170" i="248" s="1"/>
  <c r="D7" i="349"/>
  <c r="D170" i="248" s="1"/>
  <c r="C7" i="349"/>
  <c r="A169" i="134"/>
  <c r="K164" i="134"/>
  <c r="K35" i="248" s="1"/>
  <c r="J164" i="134"/>
  <c r="J35" i="248"/>
  <c r="I164" i="134"/>
  <c r="I35" i="248" s="1"/>
  <c r="H164" i="134"/>
  <c r="H35" i="248" s="1"/>
  <c r="G164" i="134"/>
  <c r="G35" i="248" s="1"/>
  <c r="F164" i="134"/>
  <c r="F35" i="248" s="1"/>
  <c r="E164" i="134"/>
  <c r="E35" i="248"/>
  <c r="D164" i="134"/>
  <c r="D35" i="248" s="1"/>
  <c r="C164" i="134"/>
  <c r="C35" i="248"/>
  <c r="K161" i="134"/>
  <c r="K34" i="248" s="1"/>
  <c r="J161" i="134"/>
  <c r="J34" i="248" s="1"/>
  <c r="I161" i="134"/>
  <c r="I34" i="248"/>
  <c r="H161" i="134"/>
  <c r="H34" i="248" s="1"/>
  <c r="G161" i="134"/>
  <c r="G34" i="248" s="1"/>
  <c r="F161" i="134"/>
  <c r="F34" i="248" s="1"/>
  <c r="E161" i="134"/>
  <c r="E34" i="248"/>
  <c r="D161" i="134"/>
  <c r="D34" i="248" s="1"/>
  <c r="C161" i="134"/>
  <c r="C34" i="248" s="1"/>
  <c r="K158" i="134"/>
  <c r="K33" i="248"/>
  <c r="J158" i="134"/>
  <c r="J33" i="248" s="1"/>
  <c r="I158" i="134"/>
  <c r="I33" i="248" s="1"/>
  <c r="H158" i="134"/>
  <c r="H33" i="248" s="1"/>
  <c r="G158" i="134"/>
  <c r="G33" i="248" s="1"/>
  <c r="G129" i="248" s="1"/>
  <c r="F158" i="134"/>
  <c r="F33" i="248" s="1"/>
  <c r="E158" i="134"/>
  <c r="E33" i="248"/>
  <c r="D158" i="134"/>
  <c r="D33" i="248" s="1"/>
  <c r="C158" i="134"/>
  <c r="C33" i="248" s="1"/>
  <c r="K155" i="134"/>
  <c r="K32" i="248" s="1"/>
  <c r="J155" i="134"/>
  <c r="J32" i="248" s="1"/>
  <c r="I155" i="134"/>
  <c r="I32" i="248"/>
  <c r="H155" i="134"/>
  <c r="H32" i="248" s="1"/>
  <c r="G155" i="134"/>
  <c r="G32" i="248" s="1"/>
  <c r="F155" i="134"/>
  <c r="F32" i="248"/>
  <c r="E155" i="134"/>
  <c r="E32" i="248" s="1"/>
  <c r="D155" i="134"/>
  <c r="D32" i="248"/>
  <c r="C155" i="134"/>
  <c r="C32" i="248" s="1"/>
  <c r="K152" i="134"/>
  <c r="K31" i="248"/>
  <c r="J152" i="134"/>
  <c r="J31" i="248" s="1"/>
  <c r="I152" i="134"/>
  <c r="I31" i="248" s="1"/>
  <c r="H152" i="134"/>
  <c r="H31" i="248" s="1"/>
  <c r="G152" i="134"/>
  <c r="G31" i="248"/>
  <c r="F152" i="134"/>
  <c r="F31" i="248" s="1"/>
  <c r="E152" i="134"/>
  <c r="E31" i="248" s="1"/>
  <c r="D152" i="134"/>
  <c r="D31" i="248" s="1"/>
  <c r="C152" i="134"/>
  <c r="C31" i="248" s="1"/>
  <c r="K149" i="134"/>
  <c r="K30" i="248" s="1"/>
  <c r="J149" i="134"/>
  <c r="J30" i="248"/>
  <c r="I149" i="134"/>
  <c r="I30" i="248" s="1"/>
  <c r="H149" i="134"/>
  <c r="H30" i="248" s="1"/>
  <c r="G149" i="134"/>
  <c r="G30" i="248" s="1"/>
  <c r="F149" i="134"/>
  <c r="F30" i="248" s="1"/>
  <c r="E149" i="134"/>
  <c r="E30" i="248" s="1"/>
  <c r="D149" i="134"/>
  <c r="D30" i="248" s="1"/>
  <c r="C149" i="134"/>
  <c r="C30" i="248" s="1"/>
  <c r="C126" i="248" s="1"/>
  <c r="K141" i="134"/>
  <c r="K139" i="134"/>
  <c r="J141" i="134"/>
  <c r="I141" i="134"/>
  <c r="I28" i="248"/>
  <c r="H141" i="134"/>
  <c r="G141" i="134"/>
  <c r="G139" i="134" s="1"/>
  <c r="F141" i="134"/>
  <c r="F139" i="134" s="1"/>
  <c r="E141" i="134"/>
  <c r="E28" i="248" s="1"/>
  <c r="D141" i="134"/>
  <c r="C141" i="134"/>
  <c r="C28" i="248"/>
  <c r="C139" i="134"/>
  <c r="K136" i="134"/>
  <c r="K26" i="248" s="1"/>
  <c r="J136" i="134"/>
  <c r="J26" i="248" s="1"/>
  <c r="I136" i="134"/>
  <c r="I26" i="248" s="1"/>
  <c r="H136" i="134"/>
  <c r="H26" i="248" s="1"/>
  <c r="G136" i="134"/>
  <c r="G26" i="248" s="1"/>
  <c r="F136" i="134"/>
  <c r="F26" i="248" s="1"/>
  <c r="E136" i="134"/>
  <c r="E26" i="248" s="1"/>
  <c r="D136" i="134"/>
  <c r="D26" i="248" s="1"/>
  <c r="C136" i="134"/>
  <c r="C26" i="248"/>
  <c r="K131" i="134"/>
  <c r="K24" i="248" s="1"/>
  <c r="J131" i="134"/>
  <c r="J24" i="248"/>
  <c r="I131" i="134"/>
  <c r="H131" i="134"/>
  <c r="H24" i="248" s="1"/>
  <c r="G131" i="134"/>
  <c r="G24" i="248" s="1"/>
  <c r="F131" i="134"/>
  <c r="F24" i="248" s="1"/>
  <c r="E131" i="134"/>
  <c r="E24" i="248" s="1"/>
  <c r="D131" i="134"/>
  <c r="C131" i="134"/>
  <c r="C24" i="248"/>
  <c r="K119" i="134"/>
  <c r="J119" i="134"/>
  <c r="I119" i="134"/>
  <c r="H119" i="134"/>
  <c r="H23" i="248" s="1"/>
  <c r="G119" i="134"/>
  <c r="G23" i="248" s="1"/>
  <c r="F119" i="134"/>
  <c r="E119" i="134"/>
  <c r="D119" i="134"/>
  <c r="C119" i="134"/>
  <c r="C23" i="248" s="1"/>
  <c r="K114" i="134"/>
  <c r="K21" i="248" s="1"/>
  <c r="J114" i="134"/>
  <c r="J21" i="248"/>
  <c r="I114" i="134"/>
  <c r="I21" i="248" s="1"/>
  <c r="H114" i="134"/>
  <c r="H21" i="248"/>
  <c r="G114" i="134"/>
  <c r="G21" i="248" s="1"/>
  <c r="F114" i="134"/>
  <c r="F21" i="248" s="1"/>
  <c r="E114" i="134"/>
  <c r="E21" i="248" s="1"/>
  <c r="D114" i="134"/>
  <c r="D21" i="248" s="1"/>
  <c r="C114" i="134"/>
  <c r="C21" i="248" s="1"/>
  <c r="K111" i="134"/>
  <c r="K110" i="134" s="1"/>
  <c r="J111" i="134"/>
  <c r="J20" i="248" s="1"/>
  <c r="I111" i="134"/>
  <c r="I20" i="248" s="1"/>
  <c r="H111" i="134"/>
  <c r="G111" i="134"/>
  <c r="F111" i="134"/>
  <c r="F20" i="248" s="1"/>
  <c r="E111" i="134"/>
  <c r="E20" i="248" s="1"/>
  <c r="D111" i="134"/>
  <c r="D20" i="248" s="1"/>
  <c r="C111" i="134"/>
  <c r="K103" i="134"/>
  <c r="K19" i="248" s="1"/>
  <c r="J103" i="134"/>
  <c r="J19" i="248" s="1"/>
  <c r="I103" i="134"/>
  <c r="I19" i="248" s="1"/>
  <c r="H103" i="134"/>
  <c r="H19" i="248"/>
  <c r="G103" i="134"/>
  <c r="G19" i="248" s="1"/>
  <c r="F103" i="134"/>
  <c r="F19" i="248" s="1"/>
  <c r="E103" i="134"/>
  <c r="E19" i="248" s="1"/>
  <c r="D103" i="134"/>
  <c r="D19" i="248"/>
  <c r="C103" i="134"/>
  <c r="C19" i="248" s="1"/>
  <c r="K98" i="134"/>
  <c r="K17" i="248" s="1"/>
  <c r="J98" i="134"/>
  <c r="J74" i="134" s="1"/>
  <c r="I98" i="134"/>
  <c r="I17" i="248" s="1"/>
  <c r="I113" i="248" s="1"/>
  <c r="H98" i="134"/>
  <c r="H74" i="134" s="1"/>
  <c r="G98" i="134"/>
  <c r="G17" i="248" s="1"/>
  <c r="F98" i="134"/>
  <c r="F17" i="248" s="1"/>
  <c r="E98" i="134"/>
  <c r="E17" i="248" s="1"/>
  <c r="D98" i="134"/>
  <c r="D17" i="248" s="1"/>
  <c r="D18" i="248" s="1"/>
  <c r="C98" i="134"/>
  <c r="C17" i="248" s="1"/>
  <c r="C75" i="134"/>
  <c r="K68" i="134"/>
  <c r="J68" i="134"/>
  <c r="J14" i="248" s="1"/>
  <c r="I68" i="134"/>
  <c r="I14" i="248" s="1"/>
  <c r="H68" i="134"/>
  <c r="H14" i="248"/>
  <c r="G68" i="134"/>
  <c r="G14" i="248" s="1"/>
  <c r="F68" i="134"/>
  <c r="F14" i="248" s="1"/>
  <c r="E68" i="134"/>
  <c r="E14" i="248"/>
  <c r="D68" i="134"/>
  <c r="D14" i="248" s="1"/>
  <c r="C68" i="134"/>
  <c r="C14" i="248" s="1"/>
  <c r="K62" i="134"/>
  <c r="K13" i="248" s="1"/>
  <c r="J62" i="134"/>
  <c r="J13" i="248"/>
  <c r="I62" i="134"/>
  <c r="I13" i="248" s="1"/>
  <c r="H62" i="134"/>
  <c r="H13" i="248" s="1"/>
  <c r="G62" i="134"/>
  <c r="G13" i="248" s="1"/>
  <c r="F62" i="134"/>
  <c r="F13" i="248" s="1"/>
  <c r="E62" i="134"/>
  <c r="E13" i="248" s="1"/>
  <c r="D62" i="134"/>
  <c r="D13" i="248" s="1"/>
  <c r="C62" i="134"/>
  <c r="C13" i="248" s="1"/>
  <c r="K52" i="134"/>
  <c r="K12" i="248" s="1"/>
  <c r="J52" i="134"/>
  <c r="J12" i="248" s="1"/>
  <c r="I52" i="134"/>
  <c r="I12" i="248" s="1"/>
  <c r="H52" i="134"/>
  <c r="H12" i="248" s="1"/>
  <c r="G52" i="134"/>
  <c r="G12" i="248"/>
  <c r="F52" i="134"/>
  <c r="F12" i="248" s="1"/>
  <c r="E52" i="134"/>
  <c r="E12" i="248" s="1"/>
  <c r="D52" i="134"/>
  <c r="D12" i="248"/>
  <c r="C52" i="134"/>
  <c r="K44" i="134"/>
  <c r="K11" i="248" s="1"/>
  <c r="J44" i="134"/>
  <c r="J11" i="248"/>
  <c r="I44" i="134"/>
  <c r="I11" i="248" s="1"/>
  <c r="H44" i="134"/>
  <c r="H11" i="248" s="1"/>
  <c r="G44" i="134"/>
  <c r="G11" i="248" s="1"/>
  <c r="F44" i="134"/>
  <c r="F11" i="248" s="1"/>
  <c r="E44" i="134"/>
  <c r="E11" i="248" s="1"/>
  <c r="D44" i="134"/>
  <c r="D11" i="248" s="1"/>
  <c r="C44" i="134"/>
  <c r="C11" i="248"/>
  <c r="K37" i="134"/>
  <c r="K10" i="248" s="1"/>
  <c r="J37" i="134"/>
  <c r="J10" i="248"/>
  <c r="I37" i="134"/>
  <c r="I10" i="248" s="1"/>
  <c r="H37" i="134"/>
  <c r="H10" i="248" s="1"/>
  <c r="G37" i="134"/>
  <c r="G10" i="248" s="1"/>
  <c r="F37" i="134"/>
  <c r="F10" i="248" s="1"/>
  <c r="E37" i="134"/>
  <c r="D37" i="134"/>
  <c r="D10" i="248" s="1"/>
  <c r="C37" i="134"/>
  <c r="C10" i="248"/>
  <c r="K26" i="134"/>
  <c r="K9" i="248" s="1"/>
  <c r="J26" i="134"/>
  <c r="I26" i="134"/>
  <c r="I9" i="248" s="1"/>
  <c r="H26" i="134"/>
  <c r="H9" i="248" s="1"/>
  <c r="G26" i="134"/>
  <c r="G9" i="248" s="1"/>
  <c r="F26" i="134"/>
  <c r="F9" i="248" s="1"/>
  <c r="E26" i="134"/>
  <c r="E9" i="248" s="1"/>
  <c r="D26" i="134"/>
  <c r="D9" i="248" s="1"/>
  <c r="C26" i="134"/>
  <c r="C9" i="248" s="1"/>
  <c r="C105" i="248" s="1"/>
  <c r="K16" i="134"/>
  <c r="K8" i="248" s="1"/>
  <c r="J16" i="134"/>
  <c r="J8" i="248" s="1"/>
  <c r="I16" i="134"/>
  <c r="I8" i="248" s="1"/>
  <c r="H16" i="134"/>
  <c r="H8" i="248" s="1"/>
  <c r="G16" i="134"/>
  <c r="F16" i="134"/>
  <c r="F8" i="248" s="1"/>
  <c r="E16" i="134"/>
  <c r="E8" i="248" s="1"/>
  <c r="D16" i="134"/>
  <c r="D8" i="248" s="1"/>
  <c r="K12" i="134"/>
  <c r="K7" i="248"/>
  <c r="J12" i="134"/>
  <c r="J7" i="248" s="1"/>
  <c r="I12" i="134"/>
  <c r="H12" i="134"/>
  <c r="G12" i="134"/>
  <c r="G7" i="248" s="1"/>
  <c r="F12" i="134"/>
  <c r="F7" i="248" s="1"/>
  <c r="E12" i="134"/>
  <c r="E7" i="248" s="1"/>
  <c r="D12" i="134"/>
  <c r="D7" i="248" s="1"/>
  <c r="C12" i="134"/>
  <c r="C7" i="248" s="1"/>
  <c r="K7" i="134"/>
  <c r="K6" i="248"/>
  <c r="J7" i="134"/>
  <c r="J6" i="248" s="1"/>
  <c r="I7" i="134"/>
  <c r="I6" i="248" s="1"/>
  <c r="H7" i="134"/>
  <c r="H6" i="248"/>
  <c r="G7" i="134"/>
  <c r="G6" i="248" s="1"/>
  <c r="F7" i="134"/>
  <c r="F6" i="248" s="1"/>
  <c r="E7" i="134"/>
  <c r="E6" i="248" s="1"/>
  <c r="D7" i="134"/>
  <c r="D6" i="248" s="1"/>
  <c r="C7" i="134"/>
  <c r="K62" i="350"/>
  <c r="J62" i="350"/>
  <c r="J45" i="248"/>
  <c r="I62" i="350"/>
  <c r="H62" i="350"/>
  <c r="H45" i="248" s="1"/>
  <c r="G62" i="350"/>
  <c r="G45" i="248"/>
  <c r="F62" i="350"/>
  <c r="F45" i="248" s="1"/>
  <c r="E62" i="350"/>
  <c r="D62" i="350"/>
  <c r="D45" i="248" s="1"/>
  <c r="C62" i="350"/>
  <c r="C45" i="248" s="1"/>
  <c r="K155" i="350"/>
  <c r="K64" i="248" s="1"/>
  <c r="K128" i="248" s="1"/>
  <c r="J155" i="350"/>
  <c r="J64" i="248" s="1"/>
  <c r="I155" i="350"/>
  <c r="I64" i="248" s="1"/>
  <c r="I128" i="248" s="1"/>
  <c r="H155" i="350"/>
  <c r="H64" i="248" s="1"/>
  <c r="G155" i="350"/>
  <c r="G64" i="248" s="1"/>
  <c r="F155" i="350"/>
  <c r="F64" i="248"/>
  <c r="E155" i="350"/>
  <c r="E64" i="248" s="1"/>
  <c r="D155" i="350"/>
  <c r="D64" i="248" s="1"/>
  <c r="C155" i="350"/>
  <c r="C64" i="248" s="1"/>
  <c r="K161" i="350"/>
  <c r="K66" i="248"/>
  <c r="K130" i="248" s="1"/>
  <c r="J161" i="350"/>
  <c r="J66" i="248" s="1"/>
  <c r="I161" i="350"/>
  <c r="I66" i="248"/>
  <c r="H161" i="350"/>
  <c r="H66" i="248" s="1"/>
  <c r="G161" i="350"/>
  <c r="G66" i="248"/>
  <c r="F161" i="350"/>
  <c r="F66" i="248" s="1"/>
  <c r="E161" i="350"/>
  <c r="E66" i="248" s="1"/>
  <c r="D161" i="350"/>
  <c r="D66" i="248" s="1"/>
  <c r="C161" i="350"/>
  <c r="C66" i="248" s="1"/>
  <c r="K158" i="350"/>
  <c r="K65" i="248" s="1"/>
  <c r="J158" i="350"/>
  <c r="J65" i="248"/>
  <c r="I158" i="350"/>
  <c r="I65" i="248" s="1"/>
  <c r="H158" i="350"/>
  <c r="H65" i="248" s="1"/>
  <c r="G158" i="350"/>
  <c r="G65" i="248" s="1"/>
  <c r="F158" i="350"/>
  <c r="F65" i="248" s="1"/>
  <c r="F129" i="248" s="1"/>
  <c r="E158" i="350"/>
  <c r="E65" i="248" s="1"/>
  <c r="E129" i="248" s="1"/>
  <c r="D158" i="350"/>
  <c r="D65" i="248" s="1"/>
  <c r="C158" i="350"/>
  <c r="C65" i="248" s="1"/>
  <c r="K164" i="350"/>
  <c r="K67" i="248" s="1"/>
  <c r="J164" i="350"/>
  <c r="J67" i="248" s="1"/>
  <c r="I164" i="350"/>
  <c r="I67" i="248" s="1"/>
  <c r="H164" i="350"/>
  <c r="H67" i="248" s="1"/>
  <c r="G164" i="350"/>
  <c r="G67" i="248" s="1"/>
  <c r="F164" i="350"/>
  <c r="F67" i="248" s="1"/>
  <c r="E164" i="350"/>
  <c r="E67" i="248" s="1"/>
  <c r="D164" i="350"/>
  <c r="D67" i="248"/>
  <c r="D131" i="248" s="1"/>
  <c r="C164" i="350"/>
  <c r="C67" i="248" s="1"/>
  <c r="K152" i="350"/>
  <c r="K63" i="248"/>
  <c r="J152" i="350"/>
  <c r="J63" i="248" s="1"/>
  <c r="I152" i="350"/>
  <c r="I63" i="248" s="1"/>
  <c r="H152" i="350"/>
  <c r="H63" i="248" s="1"/>
  <c r="G152" i="350"/>
  <c r="G63" i="248" s="1"/>
  <c r="F152" i="350"/>
  <c r="F63" i="248" s="1"/>
  <c r="E152" i="350"/>
  <c r="E63" i="248"/>
  <c r="D152" i="350"/>
  <c r="D63" i="248" s="1"/>
  <c r="C152" i="350"/>
  <c r="C63" i="248" s="1"/>
  <c r="K149" i="350"/>
  <c r="K62" i="248" s="1"/>
  <c r="J149" i="350"/>
  <c r="J62" i="248" s="1"/>
  <c r="I149" i="350"/>
  <c r="I62" i="248"/>
  <c r="H149" i="350"/>
  <c r="H62" i="248" s="1"/>
  <c r="G149" i="350"/>
  <c r="G62" i="248" s="1"/>
  <c r="F149" i="350"/>
  <c r="F62" i="248" s="1"/>
  <c r="E149" i="350"/>
  <c r="E62" i="248"/>
  <c r="D149" i="350"/>
  <c r="D62" i="248" s="1"/>
  <c r="C149" i="350"/>
  <c r="C62" i="248" s="1"/>
  <c r="K141" i="350"/>
  <c r="K60" i="248" s="1"/>
  <c r="J141" i="350"/>
  <c r="J60" i="248" s="1"/>
  <c r="J61" i="248" s="1"/>
  <c r="I141" i="350"/>
  <c r="I139" i="350" s="1"/>
  <c r="H141" i="350"/>
  <c r="H60" i="248" s="1"/>
  <c r="G141" i="350"/>
  <c r="G60" i="248"/>
  <c r="F141" i="350"/>
  <c r="F60" i="248" s="1"/>
  <c r="E141" i="350"/>
  <c r="E139" i="350" s="1"/>
  <c r="D141" i="350"/>
  <c r="C141" i="350"/>
  <c r="C139" i="350" s="1"/>
  <c r="K131" i="350"/>
  <c r="K56" i="248" s="1"/>
  <c r="J131" i="350"/>
  <c r="I131" i="350"/>
  <c r="H131" i="350"/>
  <c r="H56" i="248" s="1"/>
  <c r="G131" i="350"/>
  <c r="G56" i="248" s="1"/>
  <c r="F131" i="350"/>
  <c r="F56" i="248"/>
  <c r="F57" i="248" s="1"/>
  <c r="E131" i="350"/>
  <c r="E56" i="248" s="1"/>
  <c r="D131" i="350"/>
  <c r="D56" i="248"/>
  <c r="C131" i="350"/>
  <c r="C56" i="248" s="1"/>
  <c r="K119" i="350"/>
  <c r="K55" i="248" s="1"/>
  <c r="J119" i="350"/>
  <c r="I119" i="350"/>
  <c r="I55" i="248" s="1"/>
  <c r="H119" i="350"/>
  <c r="G119" i="350"/>
  <c r="G55" i="248"/>
  <c r="F119" i="350"/>
  <c r="F55" i="248" s="1"/>
  <c r="E119" i="350"/>
  <c r="E55" i="248" s="1"/>
  <c r="D119" i="350"/>
  <c r="D55" i="248" s="1"/>
  <c r="C119" i="350"/>
  <c r="K114" i="350"/>
  <c r="K53" i="248" s="1"/>
  <c r="J114" i="350"/>
  <c r="J53" i="248" s="1"/>
  <c r="I114" i="350"/>
  <c r="I53" i="248" s="1"/>
  <c r="H114" i="350"/>
  <c r="H53" i="248" s="1"/>
  <c r="G114" i="350"/>
  <c r="F114" i="350"/>
  <c r="F53" i="248" s="1"/>
  <c r="E114" i="350"/>
  <c r="E53" i="248" s="1"/>
  <c r="D114" i="350"/>
  <c r="D53" i="248" s="1"/>
  <c r="C114" i="350"/>
  <c r="C53" i="248" s="1"/>
  <c r="K111" i="350"/>
  <c r="K52" i="248" s="1"/>
  <c r="K54" i="248" s="1"/>
  <c r="J111" i="350"/>
  <c r="J110" i="350" s="1"/>
  <c r="I111" i="350"/>
  <c r="I52" i="248"/>
  <c r="H111" i="350"/>
  <c r="H52" i="248" s="1"/>
  <c r="G111" i="350"/>
  <c r="F111" i="350"/>
  <c r="E111" i="350"/>
  <c r="E52" i="248" s="1"/>
  <c r="D111" i="350"/>
  <c r="D52" i="248" s="1"/>
  <c r="C111" i="350"/>
  <c r="K103" i="350"/>
  <c r="K51" i="248" s="1"/>
  <c r="J103" i="350"/>
  <c r="J51" i="248" s="1"/>
  <c r="I103" i="350"/>
  <c r="I51" i="248" s="1"/>
  <c r="H103" i="350"/>
  <c r="H51" i="248" s="1"/>
  <c r="G103" i="350"/>
  <c r="G51" i="248" s="1"/>
  <c r="F103" i="350"/>
  <c r="F51" i="248"/>
  <c r="E103" i="350"/>
  <c r="E51" i="248" s="1"/>
  <c r="D103" i="350"/>
  <c r="D51" i="248" s="1"/>
  <c r="C103" i="350"/>
  <c r="C51" i="248" s="1"/>
  <c r="K98" i="350"/>
  <c r="K49" i="248"/>
  <c r="J98" i="350"/>
  <c r="J49" i="248" s="1"/>
  <c r="I98" i="350"/>
  <c r="I49" i="248"/>
  <c r="H98" i="350"/>
  <c r="H49" i="248" s="1"/>
  <c r="G98" i="350"/>
  <c r="G49" i="248" s="1"/>
  <c r="F98" i="350"/>
  <c r="F49" i="248" s="1"/>
  <c r="E98" i="350"/>
  <c r="E49" i="248" s="1"/>
  <c r="D98" i="350"/>
  <c r="D49" i="248" s="1"/>
  <c r="D113" i="248" s="1"/>
  <c r="C98" i="350"/>
  <c r="C49" i="248" s="1"/>
  <c r="C75" i="350"/>
  <c r="C48" i="248" s="1"/>
  <c r="C7" i="350"/>
  <c r="C38" i="248" s="1"/>
  <c r="I110" i="349"/>
  <c r="D110" i="134"/>
  <c r="J74" i="350"/>
  <c r="K52" i="350"/>
  <c r="K44" i="248" s="1"/>
  <c r="J52" i="350"/>
  <c r="J44" i="248" s="1"/>
  <c r="I52" i="350"/>
  <c r="I44" i="248" s="1"/>
  <c r="H52" i="350"/>
  <c r="H44" i="248" s="1"/>
  <c r="G52" i="350"/>
  <c r="G44" i="248" s="1"/>
  <c r="F52" i="350"/>
  <c r="F44" i="248"/>
  <c r="E52" i="350"/>
  <c r="E44" i="248" s="1"/>
  <c r="D52" i="350"/>
  <c r="D44" i="248" s="1"/>
  <c r="C52" i="350"/>
  <c r="C44" i="248" s="1"/>
  <c r="K44" i="350"/>
  <c r="K43" i="248" s="1"/>
  <c r="J44" i="350"/>
  <c r="J43" i="248" s="1"/>
  <c r="I44" i="350"/>
  <c r="I43" i="248"/>
  <c r="H44" i="350"/>
  <c r="H43" i="248" s="1"/>
  <c r="G44" i="350"/>
  <c r="G43" i="248"/>
  <c r="F44" i="350"/>
  <c r="F43" i="248" s="1"/>
  <c r="E44" i="350"/>
  <c r="E43" i="248" s="1"/>
  <c r="D44" i="350"/>
  <c r="D43" i="248" s="1"/>
  <c r="C44" i="350"/>
  <c r="C43" i="248" s="1"/>
  <c r="C107" i="248" s="1"/>
  <c r="K37" i="350"/>
  <c r="J37" i="350"/>
  <c r="J42" i="248"/>
  <c r="I37" i="350"/>
  <c r="I42" i="248" s="1"/>
  <c r="H37" i="350"/>
  <c r="H42" i="248" s="1"/>
  <c r="G37" i="350"/>
  <c r="G42" i="248" s="1"/>
  <c r="F37" i="350"/>
  <c r="F42" i="248" s="1"/>
  <c r="E37" i="350"/>
  <c r="E42" i="248" s="1"/>
  <c r="D37" i="350"/>
  <c r="D42" i="248" s="1"/>
  <c r="C37" i="350"/>
  <c r="C42" i="248" s="1"/>
  <c r="K26" i="350"/>
  <c r="K41" i="248" s="1"/>
  <c r="J26" i="350"/>
  <c r="J41" i="248" s="1"/>
  <c r="I26" i="350"/>
  <c r="H26" i="350"/>
  <c r="H41" i="248" s="1"/>
  <c r="G26" i="350"/>
  <c r="G41" i="248" s="1"/>
  <c r="F26" i="350"/>
  <c r="F41" i="248" s="1"/>
  <c r="E26" i="350"/>
  <c r="E41" i="248" s="1"/>
  <c r="D26" i="350"/>
  <c r="D41" i="248"/>
  <c r="C26" i="350"/>
  <c r="C41" i="248" s="1"/>
  <c r="K16" i="350"/>
  <c r="K40" i="248" s="1"/>
  <c r="J16" i="350"/>
  <c r="J40" i="248" s="1"/>
  <c r="I16" i="350"/>
  <c r="I40" i="248" s="1"/>
  <c r="H16" i="350"/>
  <c r="G16" i="350"/>
  <c r="G40" i="248"/>
  <c r="F16" i="350"/>
  <c r="F40" i="248" s="1"/>
  <c r="E16" i="350"/>
  <c r="E40" i="248"/>
  <c r="D16" i="350"/>
  <c r="C16" i="350"/>
  <c r="C40" i="248" s="1"/>
  <c r="K12" i="350"/>
  <c r="K39" i="248" s="1"/>
  <c r="J12" i="350"/>
  <c r="J39" i="248" s="1"/>
  <c r="I12" i="350"/>
  <c r="I39" i="248" s="1"/>
  <c r="H12" i="350"/>
  <c r="H39" i="248"/>
  <c r="G12" i="350"/>
  <c r="G39" i="248" s="1"/>
  <c r="F12" i="350"/>
  <c r="F39" i="248" s="1"/>
  <c r="E12" i="350"/>
  <c r="E39" i="248" s="1"/>
  <c r="D12" i="350"/>
  <c r="C12" i="350"/>
  <c r="C39" i="248" s="1"/>
  <c r="K7" i="350"/>
  <c r="K38" i="248" s="1"/>
  <c r="J7" i="350"/>
  <c r="J38" i="248" s="1"/>
  <c r="I7" i="350"/>
  <c r="H7" i="350"/>
  <c r="H38" i="248" s="1"/>
  <c r="G7" i="350"/>
  <c r="G38" i="248" s="1"/>
  <c r="F7" i="350"/>
  <c r="F38" i="248" s="1"/>
  <c r="E7" i="350"/>
  <c r="D7" i="350"/>
  <c r="D38" i="248" s="1"/>
  <c r="L33" i="255"/>
  <c r="L26" i="255"/>
  <c r="K56" i="253" s="1"/>
  <c r="J14" i="255"/>
  <c r="I57" i="253" s="1"/>
  <c r="K14" i="255"/>
  <c r="L14" i="255"/>
  <c r="J9" i="255"/>
  <c r="J5" i="127" s="1"/>
  <c r="K75" i="253"/>
  <c r="K74" i="253"/>
  <c r="K73" i="253"/>
  <c r="K72" i="253"/>
  <c r="K71" i="253"/>
  <c r="J75" i="253"/>
  <c r="J74" i="253"/>
  <c r="J73" i="253"/>
  <c r="J72" i="253"/>
  <c r="J71" i="253"/>
  <c r="I75" i="253"/>
  <c r="I74" i="253"/>
  <c r="I73" i="253"/>
  <c r="I72" i="253"/>
  <c r="I71" i="253"/>
  <c r="K33" i="255"/>
  <c r="K34" i="255" s="1"/>
  <c r="K9" i="127" s="1"/>
  <c r="J33" i="255"/>
  <c r="J34" i="255" s="1"/>
  <c r="J9" i="127" s="1"/>
  <c r="K26" i="255"/>
  <c r="J26" i="255"/>
  <c r="I56" i="253" s="1"/>
  <c r="L20" i="255"/>
  <c r="L21" i="255" s="1"/>
  <c r="L7" i="127" s="1"/>
  <c r="K20" i="255"/>
  <c r="J20" i="255"/>
  <c r="J21" i="255" s="1"/>
  <c r="J7" i="127" s="1"/>
  <c r="M105" i="363"/>
  <c r="K44" i="253" s="1"/>
  <c r="L105" i="363"/>
  <c r="K105" i="363"/>
  <c r="I44" i="253" s="1"/>
  <c r="J105" i="363"/>
  <c r="H44" i="253"/>
  <c r="I105" i="363"/>
  <c r="G44" i="253" s="1"/>
  <c r="H105" i="363"/>
  <c r="F44" i="253" s="1"/>
  <c r="G105" i="363"/>
  <c r="F105" i="363"/>
  <c r="D44" i="253" s="1"/>
  <c r="E105" i="363"/>
  <c r="C44" i="253" s="1"/>
  <c r="M104" i="363"/>
  <c r="K43" i="253" s="1"/>
  <c r="L104" i="363"/>
  <c r="J43" i="253" s="1"/>
  <c r="K104" i="363"/>
  <c r="I43" i="253" s="1"/>
  <c r="J104" i="363"/>
  <c r="H43" i="253" s="1"/>
  <c r="I104" i="363"/>
  <c r="G43" i="253"/>
  <c r="H104" i="363"/>
  <c r="F43" i="253" s="1"/>
  <c r="G104" i="363"/>
  <c r="E43" i="253" s="1"/>
  <c r="F104" i="363"/>
  <c r="D43" i="253" s="1"/>
  <c r="E104" i="363"/>
  <c r="C43" i="253" s="1"/>
  <c r="M103" i="363"/>
  <c r="L103" i="363"/>
  <c r="K103" i="363"/>
  <c r="J103" i="363"/>
  <c r="H42" i="253" s="1"/>
  <c r="I103" i="363"/>
  <c r="H103" i="363"/>
  <c r="F42" i="253"/>
  <c r="G103" i="363"/>
  <c r="F103" i="363"/>
  <c r="D42" i="253"/>
  <c r="E103" i="363"/>
  <c r="C42" i="253" s="1"/>
  <c r="M102" i="363"/>
  <c r="K41" i="253" s="1"/>
  <c r="L102" i="363"/>
  <c r="J41" i="253" s="1"/>
  <c r="K102" i="363"/>
  <c r="I41" i="253" s="1"/>
  <c r="J102" i="363"/>
  <c r="H41" i="253" s="1"/>
  <c r="I102" i="363"/>
  <c r="G41" i="253" s="1"/>
  <c r="H102" i="363"/>
  <c r="F41" i="253" s="1"/>
  <c r="G102" i="363"/>
  <c r="E41" i="253"/>
  <c r="F102" i="363"/>
  <c r="D41" i="253" s="1"/>
  <c r="E102" i="363"/>
  <c r="C41" i="253"/>
  <c r="M101" i="363"/>
  <c r="K40" i="253" s="1"/>
  <c r="L101" i="363"/>
  <c r="J40" i="253" s="1"/>
  <c r="K101" i="363"/>
  <c r="I40" i="253" s="1"/>
  <c r="J101" i="363"/>
  <c r="I101" i="363"/>
  <c r="G40" i="253" s="1"/>
  <c r="H101" i="363"/>
  <c r="F40" i="253" s="1"/>
  <c r="G101" i="363"/>
  <c r="F101" i="363"/>
  <c r="E101" i="363"/>
  <c r="C40" i="253" s="1"/>
  <c r="C45" i="253" s="1"/>
  <c r="B65" i="86" s="1"/>
  <c r="M99" i="363"/>
  <c r="L99" i="363"/>
  <c r="J38" i="253" s="1"/>
  <c r="J39" i="253" s="1"/>
  <c r="K99" i="363"/>
  <c r="J99" i="363"/>
  <c r="I99" i="363"/>
  <c r="H99" i="363"/>
  <c r="H100" i="363" s="1"/>
  <c r="G99" i="363"/>
  <c r="F99" i="363"/>
  <c r="F100" i="363" s="1"/>
  <c r="E99" i="363"/>
  <c r="C38" i="253" s="1"/>
  <c r="C39" i="253" s="1"/>
  <c r="M95" i="363"/>
  <c r="K34" i="253" s="1"/>
  <c r="L95" i="363"/>
  <c r="J34" i="253" s="1"/>
  <c r="K95" i="363"/>
  <c r="I34" i="253" s="1"/>
  <c r="J95" i="363"/>
  <c r="H34" i="253" s="1"/>
  <c r="I95" i="363"/>
  <c r="G34" i="253" s="1"/>
  <c r="H95" i="363"/>
  <c r="F34" i="253" s="1"/>
  <c r="G95" i="363"/>
  <c r="E34" i="253" s="1"/>
  <c r="F95" i="363"/>
  <c r="D34" i="253" s="1"/>
  <c r="E95" i="363"/>
  <c r="C34" i="253" s="1"/>
  <c r="M94" i="363"/>
  <c r="K33" i="253"/>
  <c r="L94" i="363"/>
  <c r="J33" i="253" s="1"/>
  <c r="K94" i="363"/>
  <c r="I33" i="253"/>
  <c r="J94" i="363"/>
  <c r="I94" i="363"/>
  <c r="G33" i="253" s="1"/>
  <c r="H94" i="363"/>
  <c r="F33" i="253" s="1"/>
  <c r="G94" i="363"/>
  <c r="E33" i="253" s="1"/>
  <c r="F94" i="363"/>
  <c r="D33" i="253" s="1"/>
  <c r="E94" i="363"/>
  <c r="C33" i="253" s="1"/>
  <c r="M93" i="363"/>
  <c r="L93" i="363"/>
  <c r="J32" i="253" s="1"/>
  <c r="K93" i="363"/>
  <c r="J93" i="363"/>
  <c r="H32" i="253"/>
  <c r="I93" i="363"/>
  <c r="G32" i="253" s="1"/>
  <c r="H93" i="363"/>
  <c r="G93" i="363"/>
  <c r="E32" i="253"/>
  <c r="F93" i="363"/>
  <c r="E93" i="363"/>
  <c r="M91" i="363"/>
  <c r="K30" i="253" s="1"/>
  <c r="L91" i="363"/>
  <c r="J30" i="253" s="1"/>
  <c r="K91" i="363"/>
  <c r="J91" i="363"/>
  <c r="H30" i="253" s="1"/>
  <c r="I91" i="363"/>
  <c r="G30" i="253"/>
  <c r="H91" i="363"/>
  <c r="G91" i="363"/>
  <c r="F91" i="363"/>
  <c r="D30" i="253" s="1"/>
  <c r="E91" i="363"/>
  <c r="C30" i="253" s="1"/>
  <c r="M90" i="363"/>
  <c r="L90" i="363"/>
  <c r="J29" i="253" s="1"/>
  <c r="K90" i="363"/>
  <c r="I29" i="253" s="1"/>
  <c r="J90" i="363"/>
  <c r="H29" i="253" s="1"/>
  <c r="H31" i="253" s="1"/>
  <c r="I90" i="363"/>
  <c r="I92" i="363" s="1"/>
  <c r="H90" i="363"/>
  <c r="F29" i="253" s="1"/>
  <c r="G90" i="363"/>
  <c r="F90" i="363"/>
  <c r="E90" i="363"/>
  <c r="C29" i="253" s="1"/>
  <c r="M86" i="363"/>
  <c r="K25" i="253" s="1"/>
  <c r="L86" i="363"/>
  <c r="J25" i="253" s="1"/>
  <c r="K86" i="363"/>
  <c r="I25" i="253" s="1"/>
  <c r="J86" i="363"/>
  <c r="H25" i="253" s="1"/>
  <c r="I86" i="363"/>
  <c r="G25" i="253" s="1"/>
  <c r="H86" i="363"/>
  <c r="G86" i="363"/>
  <c r="E25" i="253" s="1"/>
  <c r="F86" i="363"/>
  <c r="D25" i="253" s="1"/>
  <c r="M85" i="363"/>
  <c r="L85" i="363"/>
  <c r="K85" i="363"/>
  <c r="I24" i="253" s="1"/>
  <c r="J85" i="363"/>
  <c r="H24" i="253" s="1"/>
  <c r="I85" i="363"/>
  <c r="H85" i="363"/>
  <c r="F24" i="253" s="1"/>
  <c r="G85" i="363"/>
  <c r="E24" i="253" s="1"/>
  <c r="F85" i="363"/>
  <c r="D24" i="253"/>
  <c r="M84" i="363"/>
  <c r="L84" i="363"/>
  <c r="K84" i="363"/>
  <c r="I23" i="253"/>
  <c r="I26" i="253" s="1"/>
  <c r="H63" i="86" s="1"/>
  <c r="J84" i="363"/>
  <c r="I84" i="363"/>
  <c r="H84" i="363"/>
  <c r="F23" i="253" s="1"/>
  <c r="G84" i="363"/>
  <c r="E23" i="253" s="1"/>
  <c r="F84" i="363"/>
  <c r="E86" i="363"/>
  <c r="E85" i="363"/>
  <c r="C24" i="253"/>
  <c r="E84" i="363"/>
  <c r="C23" i="253" s="1"/>
  <c r="M82" i="363"/>
  <c r="K21" i="253"/>
  <c r="L82" i="363"/>
  <c r="J21" i="253" s="1"/>
  <c r="K82" i="363"/>
  <c r="I21" i="253" s="1"/>
  <c r="J82" i="363"/>
  <c r="H21" i="253"/>
  <c r="I82" i="363"/>
  <c r="G21" i="253" s="1"/>
  <c r="H82" i="363"/>
  <c r="F21" i="253" s="1"/>
  <c r="G82" i="363"/>
  <c r="E21" i="253" s="1"/>
  <c r="F82" i="363"/>
  <c r="D21" i="253" s="1"/>
  <c r="E82" i="363"/>
  <c r="C21" i="253" s="1"/>
  <c r="M81" i="363"/>
  <c r="K20" i="253" s="1"/>
  <c r="L81" i="363"/>
  <c r="J20" i="253"/>
  <c r="K81" i="363"/>
  <c r="I20" i="253" s="1"/>
  <c r="J81" i="363"/>
  <c r="H20" i="253" s="1"/>
  <c r="I81" i="363"/>
  <c r="G20" i="253" s="1"/>
  <c r="H81" i="363"/>
  <c r="F20" i="253" s="1"/>
  <c r="G81" i="363"/>
  <c r="E20" i="253" s="1"/>
  <c r="F81" i="363"/>
  <c r="D20" i="253" s="1"/>
  <c r="E81" i="363"/>
  <c r="C20" i="253" s="1"/>
  <c r="M80" i="363"/>
  <c r="K19" i="253"/>
  <c r="L80" i="363"/>
  <c r="J19" i="253" s="1"/>
  <c r="K80" i="363"/>
  <c r="I19" i="253" s="1"/>
  <c r="J80" i="363"/>
  <c r="H19" i="253" s="1"/>
  <c r="I80" i="363"/>
  <c r="G19" i="253" s="1"/>
  <c r="H80" i="363"/>
  <c r="G80" i="363"/>
  <c r="E19" i="253" s="1"/>
  <c r="F80" i="363"/>
  <c r="D19" i="253" s="1"/>
  <c r="E80" i="363"/>
  <c r="C19" i="253" s="1"/>
  <c r="M79" i="363"/>
  <c r="K18" i="253" s="1"/>
  <c r="L79" i="363"/>
  <c r="J18" i="253" s="1"/>
  <c r="K79" i="363"/>
  <c r="I18" i="253" s="1"/>
  <c r="J79" i="363"/>
  <c r="H18" i="253" s="1"/>
  <c r="I79" i="363"/>
  <c r="H79" i="363"/>
  <c r="F18" i="253" s="1"/>
  <c r="G79" i="363"/>
  <c r="E18" i="253" s="1"/>
  <c r="F79" i="363"/>
  <c r="D18" i="253" s="1"/>
  <c r="E79" i="363"/>
  <c r="M78" i="363"/>
  <c r="L78" i="363"/>
  <c r="K78" i="363"/>
  <c r="J78" i="363"/>
  <c r="I78" i="363"/>
  <c r="G17" i="253" s="1"/>
  <c r="H78" i="363"/>
  <c r="F17" i="253" s="1"/>
  <c r="G78" i="363"/>
  <c r="F78" i="363"/>
  <c r="D17" i="253" s="1"/>
  <c r="E78" i="363"/>
  <c r="C17" i="253" s="1"/>
  <c r="M74" i="363"/>
  <c r="K13" i="253" s="1"/>
  <c r="L74" i="363"/>
  <c r="J13" i="253"/>
  <c r="K74" i="363"/>
  <c r="J74" i="363"/>
  <c r="H13" i="253"/>
  <c r="I74" i="363"/>
  <c r="G13" i="253" s="1"/>
  <c r="H74" i="363"/>
  <c r="F13" i="253" s="1"/>
  <c r="G74" i="363"/>
  <c r="F74" i="363"/>
  <c r="M73" i="363"/>
  <c r="L73" i="363"/>
  <c r="J12" i="253" s="1"/>
  <c r="K73" i="363"/>
  <c r="I12" i="253" s="1"/>
  <c r="J73" i="363"/>
  <c r="H12" i="253"/>
  <c r="I73" i="363"/>
  <c r="G12" i="253" s="1"/>
  <c r="H73" i="363"/>
  <c r="F12" i="253"/>
  <c r="G73" i="363"/>
  <c r="E12" i="253" s="1"/>
  <c r="F73" i="363"/>
  <c r="D12" i="253" s="1"/>
  <c r="M72" i="363"/>
  <c r="K11" i="253" s="1"/>
  <c r="L72" i="363"/>
  <c r="J11" i="253"/>
  <c r="K72" i="363"/>
  <c r="I11" i="253" s="1"/>
  <c r="J72" i="363"/>
  <c r="I72" i="363"/>
  <c r="H72" i="363"/>
  <c r="H75" i="363" s="1"/>
  <c r="G72" i="363"/>
  <c r="E11" i="253" s="1"/>
  <c r="F72" i="363"/>
  <c r="F75" i="363" s="1"/>
  <c r="E74" i="363"/>
  <c r="E73" i="363"/>
  <c r="E72" i="363"/>
  <c r="C11" i="253" s="1"/>
  <c r="M70" i="363"/>
  <c r="K9" i="253"/>
  <c r="L70" i="363"/>
  <c r="J9" i="253" s="1"/>
  <c r="K70" i="363"/>
  <c r="J70" i="363"/>
  <c r="I70" i="363"/>
  <c r="H70" i="363"/>
  <c r="G70" i="363"/>
  <c r="E9" i="253"/>
  <c r="F70" i="363"/>
  <c r="D9" i="253" s="1"/>
  <c r="M69" i="363"/>
  <c r="L69" i="363"/>
  <c r="J8" i="253" s="1"/>
  <c r="K69" i="363"/>
  <c r="I8" i="253" s="1"/>
  <c r="J69" i="363"/>
  <c r="I69" i="363"/>
  <c r="G8" i="253" s="1"/>
  <c r="H69" i="363"/>
  <c r="F8" i="253" s="1"/>
  <c r="G69" i="363"/>
  <c r="E8" i="253" s="1"/>
  <c r="F69" i="363"/>
  <c r="D8" i="253" s="1"/>
  <c r="M68" i="363"/>
  <c r="K7" i="253" s="1"/>
  <c r="L68" i="363"/>
  <c r="J7" i="253" s="1"/>
  <c r="K68" i="363"/>
  <c r="I7" i="253" s="1"/>
  <c r="J68" i="363"/>
  <c r="H7" i="253" s="1"/>
  <c r="I68" i="363"/>
  <c r="H68" i="363"/>
  <c r="F7" i="253"/>
  <c r="G68" i="363"/>
  <c r="F68" i="363"/>
  <c r="M67" i="363"/>
  <c r="K6" i="253" s="1"/>
  <c r="L67" i="363"/>
  <c r="J6" i="253" s="1"/>
  <c r="K67" i="363"/>
  <c r="I6" i="253" s="1"/>
  <c r="J67" i="363"/>
  <c r="H6" i="253"/>
  <c r="I67" i="363"/>
  <c r="G6" i="253" s="1"/>
  <c r="H67" i="363"/>
  <c r="G67" i="363"/>
  <c r="E6" i="253" s="1"/>
  <c r="F67" i="363"/>
  <c r="D6" i="253" s="1"/>
  <c r="E68" i="363"/>
  <c r="E69" i="363"/>
  <c r="C8" i="253" s="1"/>
  <c r="E70" i="363"/>
  <c r="C9" i="253" s="1"/>
  <c r="E67" i="363"/>
  <c r="C6" i="253" s="1"/>
  <c r="E42" i="253"/>
  <c r="J42" i="253"/>
  <c r="E44" i="253"/>
  <c r="J44" i="253"/>
  <c r="K32" i="253"/>
  <c r="E30" i="253"/>
  <c r="K24" i="253"/>
  <c r="C25" i="253"/>
  <c r="G23" i="253"/>
  <c r="C12" i="253"/>
  <c r="D13" i="253"/>
  <c r="G7" i="253"/>
  <c r="F9" i="253"/>
  <c r="H9" i="253"/>
  <c r="K52" i="253"/>
  <c r="J52" i="253"/>
  <c r="I52" i="253"/>
  <c r="H52" i="253"/>
  <c r="G52" i="253"/>
  <c r="F52" i="253"/>
  <c r="E52" i="253"/>
  <c r="D52" i="253"/>
  <c r="C52" i="253"/>
  <c r="K51" i="253"/>
  <c r="J51" i="253"/>
  <c r="I51" i="253"/>
  <c r="H51" i="253"/>
  <c r="G51" i="253"/>
  <c r="F51" i="253"/>
  <c r="E51" i="253"/>
  <c r="D51" i="253"/>
  <c r="C51" i="253"/>
  <c r="K50" i="253"/>
  <c r="J50" i="253"/>
  <c r="I50" i="253"/>
  <c r="H50" i="253"/>
  <c r="G50" i="253"/>
  <c r="F50" i="253"/>
  <c r="E50" i="253"/>
  <c r="D50" i="253"/>
  <c r="C50" i="253"/>
  <c r="K49" i="253"/>
  <c r="J49" i="253"/>
  <c r="I49" i="253"/>
  <c r="H49" i="253"/>
  <c r="G49" i="253"/>
  <c r="F49" i="253"/>
  <c r="E49" i="253"/>
  <c r="D49" i="253"/>
  <c r="C49" i="253"/>
  <c r="H33" i="255"/>
  <c r="I33" i="255" s="1"/>
  <c r="I34" i="255" s="1"/>
  <c r="I9" i="127" s="1"/>
  <c r="J49" i="123" s="1"/>
  <c r="G58" i="253"/>
  <c r="F33" i="255"/>
  <c r="E33" i="255"/>
  <c r="D33" i="255"/>
  <c r="D30" i="255" s="1"/>
  <c r="C33" i="255"/>
  <c r="C34" i="255" s="1"/>
  <c r="C9" i="127" s="1"/>
  <c r="D49" i="123" s="1"/>
  <c r="H26" i="255"/>
  <c r="G27" i="255"/>
  <c r="G8" i="127" s="1"/>
  <c r="H48" i="123" s="1"/>
  <c r="F26" i="255"/>
  <c r="F56" i="253" s="1"/>
  <c r="E26" i="255"/>
  <c r="D26" i="255"/>
  <c r="D24" i="255" s="1"/>
  <c r="C26" i="255"/>
  <c r="C27" i="255" s="1"/>
  <c r="C8" i="127" s="1"/>
  <c r="D48" i="123" s="1"/>
  <c r="H20" i="255"/>
  <c r="I20" i="255" s="1"/>
  <c r="F20" i="255"/>
  <c r="E20" i="255"/>
  <c r="D20" i="255"/>
  <c r="C20" i="255"/>
  <c r="M296" i="363"/>
  <c r="L296" i="363"/>
  <c r="K296" i="363"/>
  <c r="J296" i="363"/>
  <c r="I296" i="363"/>
  <c r="H296" i="363"/>
  <c r="G296" i="363"/>
  <c r="F296" i="363"/>
  <c r="E296" i="363"/>
  <c r="M284" i="363"/>
  <c r="L284" i="363"/>
  <c r="K284" i="363"/>
  <c r="J284" i="363"/>
  <c r="I284" i="363"/>
  <c r="H284" i="363"/>
  <c r="G284" i="363"/>
  <c r="F284" i="363"/>
  <c r="E284" i="363"/>
  <c r="M272" i="363"/>
  <c r="K59" i="253" s="1"/>
  <c r="L272" i="363"/>
  <c r="K272" i="363"/>
  <c r="J272" i="363"/>
  <c r="I272" i="363"/>
  <c r="H272" i="363"/>
  <c r="G272" i="363"/>
  <c r="F272" i="363"/>
  <c r="E272" i="363"/>
  <c r="H14" i="255"/>
  <c r="F14" i="255"/>
  <c r="E14" i="255"/>
  <c r="E12" i="255" s="1"/>
  <c r="D14" i="255"/>
  <c r="C14" i="255"/>
  <c r="M260" i="363"/>
  <c r="L260" i="363"/>
  <c r="J59" i="253"/>
  <c r="K260" i="363"/>
  <c r="J260" i="363"/>
  <c r="I260" i="363"/>
  <c r="H260" i="363"/>
  <c r="F59" i="253" s="1"/>
  <c r="G260" i="363"/>
  <c r="F260" i="363"/>
  <c r="E260" i="363"/>
  <c r="J248" i="363"/>
  <c r="I248" i="363"/>
  <c r="H248" i="363"/>
  <c r="G248" i="363"/>
  <c r="F248" i="363"/>
  <c r="E248" i="363"/>
  <c r="A297" i="363"/>
  <c r="M244" i="363"/>
  <c r="L244" i="363"/>
  <c r="K244" i="363"/>
  <c r="J244" i="363"/>
  <c r="I244" i="363"/>
  <c r="H244" i="363"/>
  <c r="G244" i="363"/>
  <c r="F244" i="363"/>
  <c r="E244" i="363"/>
  <c r="M238" i="363"/>
  <c r="L238" i="363"/>
  <c r="K238" i="363"/>
  <c r="J238" i="363"/>
  <c r="I238" i="363"/>
  <c r="H238" i="363"/>
  <c r="G238" i="363"/>
  <c r="F238" i="363"/>
  <c r="E238" i="363"/>
  <c r="M234" i="363"/>
  <c r="L234" i="363"/>
  <c r="K234" i="363"/>
  <c r="J234" i="363"/>
  <c r="I234" i="363"/>
  <c r="H234" i="363"/>
  <c r="G234" i="363"/>
  <c r="F234" i="363"/>
  <c r="F235" i="363" s="1"/>
  <c r="E234" i="363"/>
  <c r="M230" i="363"/>
  <c r="L230" i="363"/>
  <c r="L235" i="363"/>
  <c r="K230" i="363"/>
  <c r="J230" i="363"/>
  <c r="I230" i="363"/>
  <c r="H230" i="363"/>
  <c r="H235" i="363" s="1"/>
  <c r="G230" i="363"/>
  <c r="F230" i="363"/>
  <c r="E230" i="363"/>
  <c r="M225" i="363"/>
  <c r="L225" i="363"/>
  <c r="K225" i="363"/>
  <c r="J225" i="363"/>
  <c r="J226" i="363" s="1"/>
  <c r="I225" i="363"/>
  <c r="H225" i="363"/>
  <c r="G225" i="363"/>
  <c r="F225" i="363"/>
  <c r="E225" i="363"/>
  <c r="M221" i="363"/>
  <c r="L221" i="363"/>
  <c r="K221" i="363"/>
  <c r="J221" i="363"/>
  <c r="I221" i="363"/>
  <c r="I226" i="363"/>
  <c r="H221" i="363"/>
  <c r="G221" i="363"/>
  <c r="F221" i="363"/>
  <c r="E221" i="363"/>
  <c r="M213" i="363"/>
  <c r="L213" i="363"/>
  <c r="K213" i="363"/>
  <c r="J213" i="363"/>
  <c r="I213" i="363"/>
  <c r="H213" i="363"/>
  <c r="G213" i="363"/>
  <c r="F213" i="363"/>
  <c r="E213" i="363"/>
  <c r="M209" i="363"/>
  <c r="L209" i="363"/>
  <c r="L214" i="363"/>
  <c r="K209" i="363"/>
  <c r="J209" i="363"/>
  <c r="I209" i="363"/>
  <c r="H209" i="363"/>
  <c r="G209" i="363"/>
  <c r="F209" i="363"/>
  <c r="E209" i="363"/>
  <c r="J202" i="363"/>
  <c r="I202" i="363"/>
  <c r="H202" i="363"/>
  <c r="G202" i="363"/>
  <c r="F202" i="363"/>
  <c r="E202" i="363"/>
  <c r="M198" i="363"/>
  <c r="L198" i="363"/>
  <c r="K198" i="363"/>
  <c r="J198" i="363"/>
  <c r="I198" i="363"/>
  <c r="H198" i="363"/>
  <c r="G198" i="363"/>
  <c r="F198" i="363"/>
  <c r="E198" i="363"/>
  <c r="M192" i="363"/>
  <c r="L192" i="363"/>
  <c r="K192" i="363"/>
  <c r="J192" i="363"/>
  <c r="I192" i="363"/>
  <c r="H192" i="363"/>
  <c r="H199" i="363" s="1"/>
  <c r="G192" i="363"/>
  <c r="F192" i="363"/>
  <c r="E192" i="363"/>
  <c r="M188" i="363"/>
  <c r="L188" i="363"/>
  <c r="K188" i="363"/>
  <c r="J188" i="363"/>
  <c r="I188" i="363"/>
  <c r="H188" i="363"/>
  <c r="G188" i="363"/>
  <c r="F188" i="363"/>
  <c r="E188" i="363"/>
  <c r="M184" i="363"/>
  <c r="L184" i="363"/>
  <c r="K184" i="363"/>
  <c r="J184" i="363"/>
  <c r="I184" i="363"/>
  <c r="H184" i="363"/>
  <c r="G184" i="363"/>
  <c r="F184" i="363"/>
  <c r="E184" i="363"/>
  <c r="M179" i="363"/>
  <c r="L179" i="363"/>
  <c r="K179" i="363"/>
  <c r="J179" i="363"/>
  <c r="I179" i="363"/>
  <c r="H179" i="363"/>
  <c r="G179" i="363"/>
  <c r="F179" i="363"/>
  <c r="E179" i="363"/>
  <c r="E180" i="363" s="1"/>
  <c r="M175" i="363"/>
  <c r="L175" i="363"/>
  <c r="K175" i="363"/>
  <c r="K180" i="363"/>
  <c r="J175" i="363"/>
  <c r="I175" i="363"/>
  <c r="H175" i="363"/>
  <c r="G175" i="363"/>
  <c r="F175" i="363"/>
  <c r="E175" i="363"/>
  <c r="M167" i="363"/>
  <c r="L167" i="363"/>
  <c r="K167" i="363"/>
  <c r="K168" i="363" s="1"/>
  <c r="J167" i="363"/>
  <c r="I167" i="363"/>
  <c r="H167" i="363"/>
  <c r="G167" i="363"/>
  <c r="F167" i="363"/>
  <c r="E167" i="363"/>
  <c r="M163" i="363"/>
  <c r="L163" i="363"/>
  <c r="K163" i="363"/>
  <c r="J163" i="363"/>
  <c r="I163" i="363"/>
  <c r="H163" i="363"/>
  <c r="G163" i="363"/>
  <c r="F163" i="363"/>
  <c r="F168" i="363"/>
  <c r="E163" i="363"/>
  <c r="J156" i="363"/>
  <c r="I156" i="363"/>
  <c r="H156" i="363"/>
  <c r="G156" i="363"/>
  <c r="F156" i="363"/>
  <c r="E156" i="363"/>
  <c r="M152" i="363"/>
  <c r="L152" i="363"/>
  <c r="K152" i="363"/>
  <c r="J152" i="363"/>
  <c r="I152" i="363"/>
  <c r="H152" i="363"/>
  <c r="H153" i="363" s="1"/>
  <c r="G152" i="363"/>
  <c r="F152" i="363"/>
  <c r="E152" i="363"/>
  <c r="M146" i="363"/>
  <c r="L146" i="363"/>
  <c r="K146" i="363"/>
  <c r="J146" i="363"/>
  <c r="I146" i="363"/>
  <c r="H146" i="363"/>
  <c r="G146" i="363"/>
  <c r="F146" i="363"/>
  <c r="F153" i="363" s="1"/>
  <c r="E146" i="363"/>
  <c r="M142" i="363"/>
  <c r="L142" i="363"/>
  <c r="K142" i="363"/>
  <c r="J142" i="363"/>
  <c r="I142" i="363"/>
  <c r="H142" i="363"/>
  <c r="G142" i="363"/>
  <c r="F142" i="363"/>
  <c r="E142" i="363"/>
  <c r="M138" i="363"/>
  <c r="L138" i="363"/>
  <c r="K138" i="363"/>
  <c r="J138" i="363"/>
  <c r="I138" i="363"/>
  <c r="H138" i="363"/>
  <c r="G138" i="363"/>
  <c r="F138" i="363"/>
  <c r="E138" i="363"/>
  <c r="M133" i="363"/>
  <c r="L133" i="363"/>
  <c r="K133" i="363"/>
  <c r="J133" i="363"/>
  <c r="I133" i="363"/>
  <c r="H133" i="363"/>
  <c r="G133" i="363"/>
  <c r="F133" i="363"/>
  <c r="E133" i="363"/>
  <c r="M129" i="363"/>
  <c r="L129" i="363"/>
  <c r="K129" i="363"/>
  <c r="J129" i="363"/>
  <c r="I129" i="363"/>
  <c r="H129" i="363"/>
  <c r="G129" i="363"/>
  <c r="F129" i="363"/>
  <c r="E129" i="363"/>
  <c r="M121" i="363"/>
  <c r="L121" i="363"/>
  <c r="K121" i="363"/>
  <c r="J121" i="363"/>
  <c r="I121" i="363"/>
  <c r="H121" i="363"/>
  <c r="G121" i="363"/>
  <c r="F121" i="363"/>
  <c r="E121" i="363"/>
  <c r="M117" i="363"/>
  <c r="L117" i="363"/>
  <c r="K117" i="363"/>
  <c r="K122" i="363" s="1"/>
  <c r="J117" i="363"/>
  <c r="I117" i="363"/>
  <c r="H117" i="363"/>
  <c r="G117" i="363"/>
  <c r="F117" i="363"/>
  <c r="E117" i="363"/>
  <c r="J110" i="363"/>
  <c r="I110" i="363"/>
  <c r="H110" i="363"/>
  <c r="G110" i="363"/>
  <c r="F110" i="363"/>
  <c r="E110" i="363"/>
  <c r="E100" i="363"/>
  <c r="E87" i="363"/>
  <c r="J64" i="363"/>
  <c r="I64" i="363"/>
  <c r="H64" i="363"/>
  <c r="G64" i="363"/>
  <c r="F64" i="363"/>
  <c r="E64" i="363"/>
  <c r="M45" i="363"/>
  <c r="L45" i="363"/>
  <c r="K45" i="363"/>
  <c r="J45" i="363"/>
  <c r="I45" i="363"/>
  <c r="H45" i="363"/>
  <c r="G45" i="363"/>
  <c r="F45" i="363"/>
  <c r="E45" i="363"/>
  <c r="D45" i="363"/>
  <c r="M41" i="363"/>
  <c r="L41" i="363"/>
  <c r="K41" i="363"/>
  <c r="J41" i="363"/>
  <c r="I41" i="363"/>
  <c r="H41" i="363"/>
  <c r="G41" i="363"/>
  <c r="F41" i="363"/>
  <c r="E41" i="363"/>
  <c r="D41" i="363"/>
  <c r="M3" i="363"/>
  <c r="L3" i="363"/>
  <c r="K3" i="363"/>
  <c r="J3" i="363"/>
  <c r="I3" i="363"/>
  <c r="H3" i="363"/>
  <c r="G3" i="363"/>
  <c r="F2" i="363"/>
  <c r="D2" i="363"/>
  <c r="H75" i="253"/>
  <c r="G75" i="253"/>
  <c r="F75" i="253"/>
  <c r="E75" i="253"/>
  <c r="D75" i="253"/>
  <c r="C75" i="253"/>
  <c r="H74" i="253"/>
  <c r="G74" i="253"/>
  <c r="F74" i="253"/>
  <c r="E74" i="253"/>
  <c r="D74" i="253"/>
  <c r="C74" i="253"/>
  <c r="H73" i="253"/>
  <c r="G73" i="253"/>
  <c r="F73" i="253"/>
  <c r="E73" i="253"/>
  <c r="D73" i="253"/>
  <c r="C73" i="253"/>
  <c r="H72" i="253"/>
  <c r="G72" i="253"/>
  <c r="F72" i="253"/>
  <c r="E72" i="253"/>
  <c r="D72" i="253"/>
  <c r="C72" i="253"/>
  <c r="H71" i="253"/>
  <c r="G71" i="253"/>
  <c r="F71" i="253"/>
  <c r="E71" i="253"/>
  <c r="D71" i="253"/>
  <c r="C71" i="253"/>
  <c r="A29" i="305"/>
  <c r="A24" i="305"/>
  <c r="D58" i="253"/>
  <c r="G56" i="253"/>
  <c r="E55" i="253"/>
  <c r="H34" i="255"/>
  <c r="D34" i="255"/>
  <c r="F27" i="255"/>
  <c r="F8" i="127" s="1"/>
  <c r="G48" i="123" s="1"/>
  <c r="I21" i="255"/>
  <c r="I7" i="127" s="1"/>
  <c r="L9" i="255"/>
  <c r="L5" i="127" s="1"/>
  <c r="Q5" i="137" s="1"/>
  <c r="K9" i="255"/>
  <c r="K5" i="127" s="1"/>
  <c r="I9" i="255"/>
  <c r="I5" i="127" s="1"/>
  <c r="H9" i="255"/>
  <c r="H5" i="127" s="1"/>
  <c r="G9" i="255"/>
  <c r="G5" i="127" s="1"/>
  <c r="F9" i="255"/>
  <c r="F5" i="127" s="1"/>
  <c r="E9" i="255"/>
  <c r="E5" i="127" s="1"/>
  <c r="D5" i="86" s="1"/>
  <c r="D9" i="255"/>
  <c r="C9" i="255"/>
  <c r="N3" i="296"/>
  <c r="O3" i="296"/>
  <c r="A23" i="296"/>
  <c r="O23" i="256"/>
  <c r="P23" i="256"/>
  <c r="Q23" i="256"/>
  <c r="M36" i="256"/>
  <c r="N36" i="256"/>
  <c r="O36" i="256"/>
  <c r="P36" i="256"/>
  <c r="Q36" i="256"/>
  <c r="M37" i="256"/>
  <c r="N37" i="256"/>
  <c r="O37" i="256"/>
  <c r="P37" i="256"/>
  <c r="Q37" i="256"/>
  <c r="A38" i="256"/>
  <c r="A2" i="294"/>
  <c r="B2" i="294"/>
  <c r="I3" i="294"/>
  <c r="F21" i="294"/>
  <c r="G21" i="294"/>
  <c r="H21" i="294"/>
  <c r="I21" i="294"/>
  <c r="I53" i="294" s="1"/>
  <c r="C40" i="294"/>
  <c r="D40" i="294"/>
  <c r="E40" i="294"/>
  <c r="F40" i="294"/>
  <c r="G40" i="294"/>
  <c r="H40" i="294"/>
  <c r="I40" i="294"/>
  <c r="A43" i="294"/>
  <c r="A44" i="294"/>
  <c r="A45" i="294"/>
  <c r="A46" i="294"/>
  <c r="A47" i="294"/>
  <c r="A49" i="294"/>
  <c r="A54" i="294"/>
  <c r="A2" i="358"/>
  <c r="B2" i="358"/>
  <c r="C3" i="358"/>
  <c r="D3" i="358"/>
  <c r="E3" i="358"/>
  <c r="F3" i="358"/>
  <c r="G3" i="358"/>
  <c r="H3" i="358"/>
  <c r="A169" i="358"/>
  <c r="A2" i="349"/>
  <c r="B2" i="349"/>
  <c r="C3" i="349"/>
  <c r="D3" i="349"/>
  <c r="E3" i="349"/>
  <c r="F3" i="349"/>
  <c r="G3" i="349"/>
  <c r="H3" i="349"/>
  <c r="A171" i="349"/>
  <c r="A2" i="350"/>
  <c r="B2" i="350"/>
  <c r="C3" i="350"/>
  <c r="D3" i="350"/>
  <c r="E3" i="350"/>
  <c r="F3" i="350"/>
  <c r="G3" i="350"/>
  <c r="H3" i="350"/>
  <c r="C68" i="350"/>
  <c r="C46" i="248" s="1"/>
  <c r="D68" i="350"/>
  <c r="D46" i="248" s="1"/>
  <c r="E68" i="350"/>
  <c r="E46" i="248"/>
  <c r="F68" i="350"/>
  <c r="F46" i="248" s="1"/>
  <c r="G68" i="350"/>
  <c r="G46" i="248" s="1"/>
  <c r="H68" i="350"/>
  <c r="H46" i="248" s="1"/>
  <c r="I68" i="350"/>
  <c r="I46" i="248" s="1"/>
  <c r="J68" i="350"/>
  <c r="J46" i="248" s="1"/>
  <c r="K68" i="350"/>
  <c r="K46" i="248"/>
  <c r="C136" i="350"/>
  <c r="C58" i="248" s="1"/>
  <c r="D136" i="350"/>
  <c r="D58" i="248" s="1"/>
  <c r="E136" i="350"/>
  <c r="E58" i="248" s="1"/>
  <c r="F136" i="350"/>
  <c r="F58" i="248" s="1"/>
  <c r="F122" i="248" s="1"/>
  <c r="G136" i="350"/>
  <c r="G58" i="248"/>
  <c r="H136" i="350"/>
  <c r="H58" i="248" s="1"/>
  <c r="I136" i="350"/>
  <c r="I58" i="248" s="1"/>
  <c r="J136" i="350"/>
  <c r="J58" i="248" s="1"/>
  <c r="K136" i="350"/>
  <c r="K58" i="248"/>
  <c r="A171" i="350"/>
  <c r="A2" i="134"/>
  <c r="B2" i="134"/>
  <c r="C3" i="134"/>
  <c r="D3" i="134"/>
  <c r="E3" i="134"/>
  <c r="F3" i="134"/>
  <c r="G3" i="134"/>
  <c r="H3" i="134"/>
  <c r="A2" i="139"/>
  <c r="B2" i="139"/>
  <c r="D3" i="139"/>
  <c r="O6" i="139"/>
  <c r="O7" i="139"/>
  <c r="O8" i="139"/>
  <c r="C9" i="139"/>
  <c r="D9" i="139"/>
  <c r="E9" i="139"/>
  <c r="F9" i="139"/>
  <c r="G9" i="139"/>
  <c r="H9" i="139"/>
  <c r="I9" i="139"/>
  <c r="J9" i="139"/>
  <c r="K9" i="139"/>
  <c r="L9" i="139"/>
  <c r="M9" i="139"/>
  <c r="N9" i="139"/>
  <c r="O12" i="139"/>
  <c r="O13" i="139"/>
  <c r="O14" i="139"/>
  <c r="C15" i="139"/>
  <c r="D15" i="139"/>
  <c r="E15" i="139"/>
  <c r="F15" i="139"/>
  <c r="G15" i="139"/>
  <c r="H15" i="139"/>
  <c r="I15" i="139"/>
  <c r="J15" i="139"/>
  <c r="K15" i="139"/>
  <c r="L15" i="139"/>
  <c r="M15" i="139"/>
  <c r="N15" i="139"/>
  <c r="O18" i="139"/>
  <c r="O19" i="139"/>
  <c r="O20" i="139"/>
  <c r="C21" i="139"/>
  <c r="D21" i="139"/>
  <c r="E21" i="139"/>
  <c r="E23" i="139" s="1"/>
  <c r="F21" i="139"/>
  <c r="G21" i="139"/>
  <c r="H21" i="139"/>
  <c r="I21" i="139"/>
  <c r="J21" i="139"/>
  <c r="J23" i="139" s="1"/>
  <c r="K21" i="139"/>
  <c r="L21" i="139"/>
  <c r="M21" i="139"/>
  <c r="M23" i="139" s="1"/>
  <c r="N21" i="139"/>
  <c r="O27" i="139"/>
  <c r="O28" i="139"/>
  <c r="O29" i="139"/>
  <c r="C30" i="139"/>
  <c r="D30" i="139"/>
  <c r="E30" i="139"/>
  <c r="F30" i="139"/>
  <c r="G30" i="139"/>
  <c r="H30" i="139"/>
  <c r="I30" i="139"/>
  <c r="J30" i="139"/>
  <c r="K30" i="139"/>
  <c r="L30" i="139"/>
  <c r="M30" i="139"/>
  <c r="N30" i="139"/>
  <c r="O33" i="139"/>
  <c r="O34" i="139"/>
  <c r="O35" i="139"/>
  <c r="C36" i="139"/>
  <c r="D36" i="139"/>
  <c r="E36" i="139"/>
  <c r="F36" i="139"/>
  <c r="F44" i="139" s="1"/>
  <c r="G36" i="139"/>
  <c r="G44" i="139" s="1"/>
  <c r="H36" i="139"/>
  <c r="I36" i="139"/>
  <c r="J36" i="139"/>
  <c r="J44" i="139" s="1"/>
  <c r="K36" i="139"/>
  <c r="L36" i="139"/>
  <c r="M36" i="139"/>
  <c r="N36" i="139"/>
  <c r="O39" i="139"/>
  <c r="O40" i="139"/>
  <c r="O41" i="139"/>
  <c r="C42" i="139"/>
  <c r="D42" i="139"/>
  <c r="E42" i="139"/>
  <c r="F42" i="139"/>
  <c r="G42" i="139"/>
  <c r="H42" i="139"/>
  <c r="H44" i="139" s="1"/>
  <c r="I42" i="139"/>
  <c r="J42" i="139"/>
  <c r="K42" i="139"/>
  <c r="L42" i="139"/>
  <c r="L44" i="139" s="1"/>
  <c r="M42" i="139"/>
  <c r="N42" i="139"/>
  <c r="A45" i="139"/>
  <c r="A25" i="250"/>
  <c r="A2" i="301"/>
  <c r="B2" i="301"/>
  <c r="C3" i="301"/>
  <c r="D3" i="301"/>
  <c r="E3" i="301"/>
  <c r="F3" i="301"/>
  <c r="G3" i="301"/>
  <c r="H3" i="301"/>
  <c r="A5" i="301"/>
  <c r="A6" i="301"/>
  <c r="A7" i="301"/>
  <c r="A8" i="301"/>
  <c r="A24" i="301" s="1"/>
  <c r="A9" i="301"/>
  <c r="A10" i="301"/>
  <c r="A11" i="301"/>
  <c r="C11" i="301"/>
  <c r="D11" i="301"/>
  <c r="E11" i="301"/>
  <c r="E20" i="301"/>
  <c r="F11" i="301"/>
  <c r="F20" i="301" s="1"/>
  <c r="G11" i="301"/>
  <c r="H11" i="301"/>
  <c r="H20" i="301" s="1"/>
  <c r="I11" i="301"/>
  <c r="I20" i="301" s="1"/>
  <c r="J11" i="301"/>
  <c r="K11" i="301"/>
  <c r="A12" i="301"/>
  <c r="A14" i="301"/>
  <c r="A15" i="301"/>
  <c r="A16" i="301"/>
  <c r="A17" i="301"/>
  <c r="A18" i="301"/>
  <c r="A19" i="301"/>
  <c r="C19" i="301"/>
  <c r="C20" i="301"/>
  <c r="D19" i="301"/>
  <c r="D20" i="301" s="1"/>
  <c r="E19" i="301"/>
  <c r="F19" i="301"/>
  <c r="G19" i="301"/>
  <c r="G20" i="301" s="1"/>
  <c r="H19" i="301"/>
  <c r="I19" i="301"/>
  <c r="J19" i="301"/>
  <c r="J20" i="301" s="1"/>
  <c r="K19" i="301"/>
  <c r="A20" i="301"/>
  <c r="A26" i="301"/>
  <c r="A27" i="301"/>
  <c r="A31" i="301"/>
  <c r="A32" i="301"/>
  <c r="A33" i="301"/>
  <c r="A34" i="301"/>
  <c r="A38" i="301"/>
  <c r="A39" i="301"/>
  <c r="A40" i="301"/>
  <c r="A5" i="95"/>
  <c r="A6" i="95"/>
  <c r="A7" i="95"/>
  <c r="A8" i="95"/>
  <c r="A9" i="95"/>
  <c r="A11" i="95"/>
  <c r="A12" i="95"/>
  <c r="M12" i="95"/>
  <c r="A13" i="95"/>
  <c r="A14" i="95"/>
  <c r="M14" i="95"/>
  <c r="A15" i="95"/>
  <c r="M15" i="95"/>
  <c r="A16" i="95"/>
  <c r="M16" i="95"/>
  <c r="A17" i="95"/>
  <c r="M17" i="95"/>
  <c r="M18" i="95"/>
  <c r="A19" i="95"/>
  <c r="F32" i="95"/>
  <c r="G32" i="95"/>
  <c r="I32" i="95"/>
  <c r="M23" i="95"/>
  <c r="A24" i="95"/>
  <c r="M24" i="95"/>
  <c r="A25" i="95"/>
  <c r="M25" i="95"/>
  <c r="A26" i="95"/>
  <c r="M26" i="95"/>
  <c r="A27" i="95"/>
  <c r="M27" i="95"/>
  <c r="A28" i="95"/>
  <c r="M28" i="95"/>
  <c r="A29" i="95"/>
  <c r="M29" i="95"/>
  <c r="A30" i="95"/>
  <c r="M30" i="95"/>
  <c r="A31" i="95"/>
  <c r="M31" i="95"/>
  <c r="H32" i="95"/>
  <c r="M35" i="95"/>
  <c r="M36" i="95"/>
  <c r="M37" i="95"/>
  <c r="M38" i="95"/>
  <c r="M39" i="95"/>
  <c r="M40" i="95"/>
  <c r="M41" i="95"/>
  <c r="M42" i="95"/>
  <c r="M43" i="95"/>
  <c r="M44" i="95"/>
  <c r="B45" i="95"/>
  <c r="B51" i="95" s="1"/>
  <c r="C45" i="95"/>
  <c r="C51" i="95" s="1"/>
  <c r="D45" i="95"/>
  <c r="D51" i="95" s="1"/>
  <c r="E45" i="95"/>
  <c r="E62" i="95" s="1"/>
  <c r="F45" i="95"/>
  <c r="F51" i="95" s="1"/>
  <c r="G45" i="95"/>
  <c r="G51" i="95" s="1"/>
  <c r="H45" i="95"/>
  <c r="H62" i="95" s="1"/>
  <c r="I45" i="95"/>
  <c r="J45" i="95"/>
  <c r="K45" i="95"/>
  <c r="K62" i="95" s="1"/>
  <c r="L45" i="95"/>
  <c r="N45" i="95"/>
  <c r="N62" i="95" s="1"/>
  <c r="O45" i="95"/>
  <c r="O62" i="95" s="1"/>
  <c r="P45" i="95"/>
  <c r="A48" i="95"/>
  <c r="M48" i="95"/>
  <c r="A49" i="95"/>
  <c r="M49" i="95"/>
  <c r="A50" i="95"/>
  <c r="M50" i="95"/>
  <c r="N54" i="95"/>
  <c r="A56" i="95"/>
  <c r="A2" i="300"/>
  <c r="B2" i="300"/>
  <c r="A4" i="300"/>
  <c r="A5" i="300"/>
  <c r="C5" i="300"/>
  <c r="D5" i="300"/>
  <c r="E5" i="300"/>
  <c r="F5" i="300"/>
  <c r="G5" i="300"/>
  <c r="H5" i="300"/>
  <c r="I5" i="300"/>
  <c r="J5" i="300"/>
  <c r="K5" i="300"/>
  <c r="L5" i="300"/>
  <c r="M5" i="300"/>
  <c r="A6" i="300"/>
  <c r="O6" i="300"/>
  <c r="N6" i="300" s="1"/>
  <c r="P6" i="300"/>
  <c r="Q6" i="300"/>
  <c r="A7" i="300"/>
  <c r="O7" i="300"/>
  <c r="N7" i="300" s="1"/>
  <c r="P7" i="300"/>
  <c r="Q7" i="300"/>
  <c r="A8" i="300"/>
  <c r="O8" i="300"/>
  <c r="N8" i="300" s="1"/>
  <c r="P8" i="300"/>
  <c r="Q8" i="300"/>
  <c r="A9" i="300"/>
  <c r="C9" i="300"/>
  <c r="D9" i="300"/>
  <c r="E9" i="300"/>
  <c r="F9" i="300"/>
  <c r="G9" i="300"/>
  <c r="H9" i="300"/>
  <c r="I9" i="300"/>
  <c r="J9" i="300"/>
  <c r="K9" i="300"/>
  <c r="L9" i="300"/>
  <c r="M9" i="300"/>
  <c r="A10" i="300"/>
  <c r="O10" i="300"/>
  <c r="N10" i="300" s="1"/>
  <c r="P10" i="300"/>
  <c r="Q10" i="300"/>
  <c r="A11" i="300"/>
  <c r="O11" i="300"/>
  <c r="N11" i="300" s="1"/>
  <c r="P11" i="300"/>
  <c r="Q11" i="300"/>
  <c r="A12" i="300"/>
  <c r="O12" i="300"/>
  <c r="N12" i="300" s="1"/>
  <c r="P12" i="300"/>
  <c r="Q12" i="300"/>
  <c r="A13" i="300"/>
  <c r="O13" i="300"/>
  <c r="N13" i="300" s="1"/>
  <c r="P13" i="300"/>
  <c r="Q13" i="300"/>
  <c r="A14" i="300"/>
  <c r="O14" i="300"/>
  <c r="N14" i="300"/>
  <c r="P14" i="300"/>
  <c r="Q14" i="300"/>
  <c r="A15" i="300"/>
  <c r="C15" i="300"/>
  <c r="D15" i="300"/>
  <c r="E15" i="300"/>
  <c r="F15" i="300"/>
  <c r="G15" i="300"/>
  <c r="H15" i="300"/>
  <c r="I15" i="300"/>
  <c r="J15" i="300"/>
  <c r="K15" i="300"/>
  <c r="L15" i="300"/>
  <c r="M15" i="300"/>
  <c r="A16" i="300"/>
  <c r="O16" i="300"/>
  <c r="N16" i="300" s="1"/>
  <c r="P16" i="300"/>
  <c r="Q16" i="300"/>
  <c r="A17" i="300"/>
  <c r="O17" i="300"/>
  <c r="N17" i="300" s="1"/>
  <c r="P17" i="300"/>
  <c r="Q17" i="300"/>
  <c r="A18" i="300"/>
  <c r="O18" i="300"/>
  <c r="N18" i="300" s="1"/>
  <c r="P18" i="300"/>
  <c r="Q18" i="300"/>
  <c r="A19" i="300"/>
  <c r="C19" i="300"/>
  <c r="D19" i="300"/>
  <c r="E19" i="300"/>
  <c r="F19" i="300"/>
  <c r="F25" i="300" s="1"/>
  <c r="G19" i="300"/>
  <c r="H19" i="300"/>
  <c r="I19" i="300"/>
  <c r="J19" i="300"/>
  <c r="J25" i="300" s="1"/>
  <c r="K19" i="300"/>
  <c r="L19" i="300"/>
  <c r="M19" i="300"/>
  <c r="A20" i="300"/>
  <c r="O20" i="300"/>
  <c r="N20" i="300" s="1"/>
  <c r="P20" i="300"/>
  <c r="Q20" i="300"/>
  <c r="A21" i="300"/>
  <c r="O21" i="300"/>
  <c r="N21" i="300" s="1"/>
  <c r="P21" i="300"/>
  <c r="Q21" i="300"/>
  <c r="A22" i="300"/>
  <c r="O22" i="300"/>
  <c r="N22" i="300" s="1"/>
  <c r="P22" i="300"/>
  <c r="Q22" i="300"/>
  <c r="A23" i="300"/>
  <c r="O23" i="300"/>
  <c r="N23" i="300"/>
  <c r="P23" i="300"/>
  <c r="Q23" i="300"/>
  <c r="A24" i="300"/>
  <c r="O24" i="300"/>
  <c r="N24" i="300" s="1"/>
  <c r="P24" i="300"/>
  <c r="Q24" i="300"/>
  <c r="A25" i="300"/>
  <c r="Q28" i="300"/>
  <c r="O29" i="300"/>
  <c r="N29" i="300" s="1"/>
  <c r="P29" i="300"/>
  <c r="Q29" i="300"/>
  <c r="O30" i="300"/>
  <c r="N30" i="300"/>
  <c r="P30" i="300"/>
  <c r="Q30" i="300"/>
  <c r="O31" i="300"/>
  <c r="N31" i="300" s="1"/>
  <c r="P31" i="300"/>
  <c r="Q31" i="300"/>
  <c r="C32" i="300"/>
  <c r="C36" i="300"/>
  <c r="D32" i="300"/>
  <c r="D36" i="300" s="1"/>
  <c r="E32" i="300"/>
  <c r="E36" i="300" s="1"/>
  <c r="F32" i="300"/>
  <c r="F36" i="300" s="1"/>
  <c r="G32" i="300"/>
  <c r="G36" i="300" s="1"/>
  <c r="H32" i="300"/>
  <c r="H36" i="300" s="1"/>
  <c r="I32" i="300"/>
  <c r="I36" i="300" s="1"/>
  <c r="J32" i="300"/>
  <c r="J36" i="300" s="1"/>
  <c r="K32" i="300"/>
  <c r="K36" i="300" s="1"/>
  <c r="L32" i="300"/>
  <c r="L36" i="300"/>
  <c r="M32" i="300"/>
  <c r="M36" i="300" s="1"/>
  <c r="O34" i="300"/>
  <c r="N34" i="300" s="1"/>
  <c r="P34" i="300"/>
  <c r="Q34" i="300"/>
  <c r="O35" i="300"/>
  <c r="N35" i="300" s="1"/>
  <c r="P35" i="300"/>
  <c r="Q35" i="300"/>
  <c r="A37" i="300"/>
  <c r="A39" i="300"/>
  <c r="A2" i="140"/>
  <c r="B2" i="140"/>
  <c r="C20" i="140"/>
  <c r="D20" i="140"/>
  <c r="E20" i="140"/>
  <c r="F20" i="140"/>
  <c r="G20" i="140"/>
  <c r="H20" i="140"/>
  <c r="I20" i="140"/>
  <c r="J20" i="140"/>
  <c r="K20" i="140"/>
  <c r="L20" i="140"/>
  <c r="M20" i="140"/>
  <c r="D38" i="140"/>
  <c r="D39" i="140" s="1"/>
  <c r="E38" i="140"/>
  <c r="F38" i="140"/>
  <c r="G38" i="140"/>
  <c r="H38" i="140"/>
  <c r="H39" i="140" s="1"/>
  <c r="I38" i="140"/>
  <c r="J38" i="140"/>
  <c r="K38" i="140"/>
  <c r="L38" i="140"/>
  <c r="M38" i="140"/>
  <c r="A42" i="140"/>
  <c r="A2" i="298"/>
  <c r="B2" i="298"/>
  <c r="A4" i="298"/>
  <c r="C5" i="298"/>
  <c r="D5" i="298"/>
  <c r="E5" i="298"/>
  <c r="F5" i="298"/>
  <c r="G5" i="298"/>
  <c r="H5" i="298"/>
  <c r="H25" i="298" s="1"/>
  <c r="H26" i="298" s="1"/>
  <c r="I5" i="298"/>
  <c r="J5" i="298"/>
  <c r="K5" i="298"/>
  <c r="L5" i="298"/>
  <c r="M5" i="298"/>
  <c r="C9" i="298"/>
  <c r="D9" i="298"/>
  <c r="E9" i="298"/>
  <c r="F9" i="298"/>
  <c r="G9" i="298"/>
  <c r="H9" i="298"/>
  <c r="I9" i="298"/>
  <c r="J9" i="298"/>
  <c r="K9" i="298"/>
  <c r="L9" i="298"/>
  <c r="M9" i="298"/>
  <c r="C15" i="298"/>
  <c r="D15" i="298"/>
  <c r="E15" i="298"/>
  <c r="F15" i="298"/>
  <c r="G15" i="298"/>
  <c r="H15" i="298"/>
  <c r="I15" i="298"/>
  <c r="J15" i="298"/>
  <c r="K15" i="298"/>
  <c r="L15" i="298"/>
  <c r="M15" i="298"/>
  <c r="C19" i="298"/>
  <c r="D19" i="298"/>
  <c r="E19" i="298"/>
  <c r="F19" i="298"/>
  <c r="G19" i="298"/>
  <c r="H19" i="298"/>
  <c r="I19" i="298"/>
  <c r="J19" i="298"/>
  <c r="K19" i="298"/>
  <c r="L19" i="298"/>
  <c r="M19" i="298"/>
  <c r="A27" i="298"/>
  <c r="C28" i="298"/>
  <c r="C48" i="298" s="1"/>
  <c r="D28" i="298"/>
  <c r="E28" i="298"/>
  <c r="F28" i="298"/>
  <c r="G28" i="298"/>
  <c r="H28" i="298"/>
  <c r="I28" i="298"/>
  <c r="J28" i="298"/>
  <c r="K28" i="298"/>
  <c r="L28" i="298"/>
  <c r="M28" i="298"/>
  <c r="C32" i="298"/>
  <c r="D32" i="298"/>
  <c r="E32" i="298"/>
  <c r="F32" i="298"/>
  <c r="G32" i="298"/>
  <c r="G48" i="298" s="1"/>
  <c r="H32" i="298"/>
  <c r="I32" i="298"/>
  <c r="J32" i="298"/>
  <c r="K32" i="298"/>
  <c r="L32" i="298"/>
  <c r="M32" i="298"/>
  <c r="A36" i="298"/>
  <c r="C38" i="298"/>
  <c r="D38" i="298"/>
  <c r="E38" i="298"/>
  <c r="F38" i="298"/>
  <c r="G38" i="298"/>
  <c r="H38" i="298"/>
  <c r="I38" i="298"/>
  <c r="J38" i="298"/>
  <c r="K38" i="298"/>
  <c r="L38" i="298"/>
  <c r="M38" i="298"/>
  <c r="A39" i="298"/>
  <c r="C42" i="298"/>
  <c r="D42" i="298"/>
  <c r="E42" i="298"/>
  <c r="F42" i="298"/>
  <c r="G42" i="298"/>
  <c r="H42" i="298"/>
  <c r="I42" i="298"/>
  <c r="J42" i="298"/>
  <c r="K42" i="298"/>
  <c r="L42" i="298"/>
  <c r="M42" i="298"/>
  <c r="A50" i="298"/>
  <c r="A52" i="298"/>
  <c r="O52" i="298"/>
  <c r="N52" i="298"/>
  <c r="P52" i="298"/>
  <c r="Q52" i="298"/>
  <c r="A53" i="298"/>
  <c r="A54" i="298"/>
  <c r="A2" i="299"/>
  <c r="B2" i="299"/>
  <c r="A4" i="299"/>
  <c r="A20" i="299"/>
  <c r="C20" i="299"/>
  <c r="D20" i="299"/>
  <c r="E20" i="299"/>
  <c r="E40" i="299" s="1"/>
  <c r="E45" i="299" s="1"/>
  <c r="F20" i="299"/>
  <c r="G20" i="299"/>
  <c r="H20" i="299"/>
  <c r="I20" i="299"/>
  <c r="I40" i="299" s="1"/>
  <c r="I45" i="299" s="1"/>
  <c r="J20" i="299"/>
  <c r="K20" i="299"/>
  <c r="L20" i="299"/>
  <c r="M20" i="299"/>
  <c r="M40" i="299" s="1"/>
  <c r="M45" i="299" s="1"/>
  <c r="A22" i="299"/>
  <c r="A38" i="299"/>
  <c r="C38" i="299"/>
  <c r="D38" i="299"/>
  <c r="D40" i="299" s="1"/>
  <c r="D45" i="299" s="1"/>
  <c r="E38" i="299"/>
  <c r="F38" i="299"/>
  <c r="F40" i="299"/>
  <c r="F45" i="299" s="1"/>
  <c r="G38" i="299"/>
  <c r="H38" i="299"/>
  <c r="H40" i="299" s="1"/>
  <c r="H45" i="299" s="1"/>
  <c r="I38" i="299"/>
  <c r="J38" i="299"/>
  <c r="J40" i="299"/>
  <c r="J45" i="299" s="1"/>
  <c r="K38" i="299"/>
  <c r="K40" i="299"/>
  <c r="K45" i="299" s="1"/>
  <c r="L38" i="299"/>
  <c r="M38" i="299"/>
  <c r="A40" i="299"/>
  <c r="A44" i="299"/>
  <c r="O44" i="299"/>
  <c r="N44" i="299" s="1"/>
  <c r="P44" i="299"/>
  <c r="Q44" i="299"/>
  <c r="A45" i="299"/>
  <c r="A46" i="299"/>
  <c r="A2" i="137"/>
  <c r="B2" i="137"/>
  <c r="A4" i="137"/>
  <c r="A5" i="137"/>
  <c r="A6" i="137"/>
  <c r="A7" i="137"/>
  <c r="A8" i="137"/>
  <c r="A9" i="137"/>
  <c r="A11" i="137"/>
  <c r="O11" i="137"/>
  <c r="P11" i="137"/>
  <c r="Q11" i="137"/>
  <c r="A12" i="137"/>
  <c r="O12" i="137"/>
  <c r="P12" i="137"/>
  <c r="Q12" i="137"/>
  <c r="A13" i="137"/>
  <c r="O13" i="137"/>
  <c r="P13" i="137"/>
  <c r="Q13" i="137"/>
  <c r="A14" i="137"/>
  <c r="O14" i="137"/>
  <c r="P14" i="137"/>
  <c r="Q14" i="137"/>
  <c r="A15" i="137"/>
  <c r="O15" i="137"/>
  <c r="P15" i="137"/>
  <c r="Q15" i="137"/>
  <c r="A16" i="137"/>
  <c r="O16" i="137"/>
  <c r="P16" i="137"/>
  <c r="Q16" i="137"/>
  <c r="A17" i="137"/>
  <c r="O17" i="137"/>
  <c r="P17" i="137"/>
  <c r="Q17" i="137"/>
  <c r="A18" i="137"/>
  <c r="O18" i="137"/>
  <c r="P18" i="137"/>
  <c r="Q18" i="137"/>
  <c r="A19" i="137"/>
  <c r="A20" i="137"/>
  <c r="O20" i="137"/>
  <c r="P20" i="137"/>
  <c r="Q20" i="137"/>
  <c r="A21" i="137"/>
  <c r="A23" i="137"/>
  <c r="A24" i="137"/>
  <c r="A25" i="137"/>
  <c r="O25" i="137"/>
  <c r="P25" i="137"/>
  <c r="Q25" i="137"/>
  <c r="A26" i="137"/>
  <c r="O26" i="137"/>
  <c r="P26" i="137"/>
  <c r="Q26" i="137"/>
  <c r="A27" i="137"/>
  <c r="A28" i="137"/>
  <c r="O28" i="137"/>
  <c r="P28" i="137"/>
  <c r="Q28" i="137"/>
  <c r="A29" i="137"/>
  <c r="A30" i="137"/>
  <c r="O30" i="137"/>
  <c r="P30" i="137"/>
  <c r="Q30" i="137"/>
  <c r="A31" i="137"/>
  <c r="A32" i="137"/>
  <c r="A33" i="137"/>
  <c r="A34" i="137"/>
  <c r="O34" i="137"/>
  <c r="P34" i="137"/>
  <c r="Q34" i="137"/>
  <c r="A35" i="137"/>
  <c r="D35" i="137"/>
  <c r="E35" i="137"/>
  <c r="F35" i="137"/>
  <c r="G35" i="137"/>
  <c r="H35" i="137"/>
  <c r="I35" i="137"/>
  <c r="J35" i="137"/>
  <c r="K35" i="137"/>
  <c r="L35" i="137"/>
  <c r="M35" i="137"/>
  <c r="A37" i="137"/>
  <c r="A38" i="137"/>
  <c r="O38" i="137"/>
  <c r="P38" i="137"/>
  <c r="Q38" i="137"/>
  <c r="A39" i="137"/>
  <c r="A40" i="137"/>
  <c r="O40" i="137"/>
  <c r="N40" i="137" s="1"/>
  <c r="P40" i="137"/>
  <c r="Q40" i="137"/>
  <c r="A41" i="137"/>
  <c r="A42" i="137"/>
  <c r="A42" i="299" s="1"/>
  <c r="O42" i="137"/>
  <c r="O42" i="299" s="1"/>
  <c r="N42" i="299" s="1"/>
  <c r="P42" i="137"/>
  <c r="P42" i="299" s="1"/>
  <c r="Q42" i="137"/>
  <c r="Q42" i="299"/>
  <c r="A43" i="137"/>
  <c r="A43" i="299" s="1"/>
  <c r="O43" i="137"/>
  <c r="P43" i="137"/>
  <c r="P43" i="299" s="1"/>
  <c r="Q43" i="137"/>
  <c r="Q43" i="299" s="1"/>
  <c r="A44" i="137"/>
  <c r="O44" i="137"/>
  <c r="N44" i="137" s="1"/>
  <c r="P44" i="137"/>
  <c r="Q44" i="137"/>
  <c r="A45" i="137"/>
  <c r="A46" i="137"/>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I36" i="148"/>
  <c r="J36" i="148"/>
  <c r="K36" i="148"/>
  <c r="A43" i="148"/>
  <c r="B2" i="145"/>
  <c r="I5" i="145"/>
  <c r="I6" i="145"/>
  <c r="I7" i="145"/>
  <c r="I8" i="145"/>
  <c r="I9" i="145"/>
  <c r="I10" i="145"/>
  <c r="A11" i="145"/>
  <c r="C11" i="145"/>
  <c r="D11" i="145"/>
  <c r="E11" i="145"/>
  <c r="F11" i="145"/>
  <c r="I14" i="145"/>
  <c r="I15" i="145"/>
  <c r="I16" i="145"/>
  <c r="I17" i="145"/>
  <c r="I18" i="145"/>
  <c r="I19" i="145"/>
  <c r="I22" i="145"/>
  <c r="I23" i="145"/>
  <c r="I24" i="145"/>
  <c r="I25" i="145"/>
  <c r="I26" i="145"/>
  <c r="I27" i="145"/>
  <c r="I28" i="145"/>
  <c r="I29" i="145"/>
  <c r="I30" i="145"/>
  <c r="I31" i="145"/>
  <c r="I32" i="145"/>
  <c r="I33" i="145"/>
  <c r="I34" i="145"/>
  <c r="A35" i="145"/>
  <c r="C35" i="145"/>
  <c r="D35" i="145"/>
  <c r="E35" i="145"/>
  <c r="F35" i="145"/>
  <c r="G35" i="145"/>
  <c r="I39" i="145"/>
  <c r="I40" i="145"/>
  <c r="I41" i="145"/>
  <c r="I42" i="145"/>
  <c r="I43" i="145"/>
  <c r="I44" i="145"/>
  <c r="I45" i="145"/>
  <c r="I46" i="145"/>
  <c r="I47" i="145"/>
  <c r="I48" i="145"/>
  <c r="I49" i="145"/>
  <c r="I50" i="145"/>
  <c r="I51" i="145"/>
  <c r="I52" i="145"/>
  <c r="I53" i="145"/>
  <c r="I54" i="145"/>
  <c r="C55" i="145"/>
  <c r="D55" i="145"/>
  <c r="E55" i="145"/>
  <c r="F55" i="145"/>
  <c r="G55" i="145"/>
  <c r="A59" i="145"/>
  <c r="B2" i="146"/>
  <c r="C3" i="146"/>
  <c r="D3" i="146"/>
  <c r="E3" i="146"/>
  <c r="F3" i="146"/>
  <c r="G3" i="146"/>
  <c r="H3" i="146"/>
  <c r="C13" i="146"/>
  <c r="D13" i="146"/>
  <c r="D14" i="146" s="1"/>
  <c r="E13" i="146"/>
  <c r="E48" i="146" s="1"/>
  <c r="F13" i="146"/>
  <c r="G13" i="146"/>
  <c r="H13" i="146"/>
  <c r="I13" i="146"/>
  <c r="I14" i="146" s="1"/>
  <c r="J13" i="146"/>
  <c r="K13" i="146"/>
  <c r="C29" i="146"/>
  <c r="D29" i="146"/>
  <c r="E29" i="146"/>
  <c r="F29" i="146"/>
  <c r="G29" i="146"/>
  <c r="H29" i="146"/>
  <c r="I29" i="146"/>
  <c r="I30" i="146"/>
  <c r="J29" i="146"/>
  <c r="K29" i="146"/>
  <c r="A30" i="146"/>
  <c r="B30" i="146"/>
  <c r="C45" i="146"/>
  <c r="D45" i="146"/>
  <c r="E45" i="146"/>
  <c r="F45" i="146"/>
  <c r="G45" i="146"/>
  <c r="H45" i="146"/>
  <c r="I45" i="146"/>
  <c r="J45" i="146"/>
  <c r="K45" i="146"/>
  <c r="A46" i="146"/>
  <c r="B46" i="146"/>
  <c r="C65" i="146"/>
  <c r="C100" i="146" s="1"/>
  <c r="D65" i="146"/>
  <c r="E65" i="146"/>
  <c r="E66" i="146"/>
  <c r="F65" i="146"/>
  <c r="G65" i="146"/>
  <c r="H65" i="146"/>
  <c r="H66" i="146"/>
  <c r="I65" i="146"/>
  <c r="J66" i="146" s="1"/>
  <c r="J65" i="146"/>
  <c r="K65" i="146"/>
  <c r="A66" i="146"/>
  <c r="B66" i="146"/>
  <c r="C81" i="146"/>
  <c r="D81" i="146"/>
  <c r="E81" i="146"/>
  <c r="F81" i="146"/>
  <c r="G81" i="146"/>
  <c r="H81" i="146"/>
  <c r="I81" i="146"/>
  <c r="J81" i="146"/>
  <c r="K81" i="146"/>
  <c r="A82" i="146"/>
  <c r="B82" i="146"/>
  <c r="C97" i="146"/>
  <c r="D97" i="146"/>
  <c r="D98" i="146" s="1"/>
  <c r="E97" i="146"/>
  <c r="F97" i="146"/>
  <c r="G97" i="146"/>
  <c r="H97" i="146"/>
  <c r="I97" i="146"/>
  <c r="J97" i="146"/>
  <c r="J98" i="146" s="1"/>
  <c r="K97" i="146"/>
  <c r="A98" i="146"/>
  <c r="B98" i="146"/>
  <c r="A103" i="146"/>
  <c r="B103" i="146"/>
  <c r="A105" i="146"/>
  <c r="A2" i="305"/>
  <c r="B2" i="305"/>
  <c r="C3" i="305"/>
  <c r="D3" i="305"/>
  <c r="E3" i="305"/>
  <c r="F3" i="305"/>
  <c r="G3" i="305"/>
  <c r="H3" i="305"/>
  <c r="I3" i="305"/>
  <c r="C9" i="305"/>
  <c r="D9" i="305"/>
  <c r="E9" i="305"/>
  <c r="F9" i="305"/>
  <c r="G9" i="305"/>
  <c r="H9" i="305"/>
  <c r="I9" i="305"/>
  <c r="J9" i="305"/>
  <c r="K9" i="305"/>
  <c r="L9" i="305"/>
  <c r="A12" i="305"/>
  <c r="C15" i="305"/>
  <c r="D15" i="305"/>
  <c r="E15" i="305"/>
  <c r="F15" i="305"/>
  <c r="G15" i="305"/>
  <c r="H15" i="305"/>
  <c r="I15" i="305"/>
  <c r="J15" i="305"/>
  <c r="K15" i="305"/>
  <c r="L15" i="305"/>
  <c r="A18" i="305"/>
  <c r="C21" i="305"/>
  <c r="D21" i="305"/>
  <c r="E21" i="305"/>
  <c r="F21" i="305"/>
  <c r="G21" i="305"/>
  <c r="H21" i="305"/>
  <c r="I21" i="305"/>
  <c r="J21" i="305"/>
  <c r="K21" i="305"/>
  <c r="L21" i="305"/>
  <c r="C26" i="305"/>
  <c r="D26" i="305"/>
  <c r="E26" i="305"/>
  <c r="F26" i="305"/>
  <c r="G26" i="305"/>
  <c r="H26" i="305"/>
  <c r="I26" i="305"/>
  <c r="J26" i="305"/>
  <c r="K26" i="305"/>
  <c r="L26" i="305"/>
  <c r="C31" i="305"/>
  <c r="D31" i="305"/>
  <c r="E31" i="305"/>
  <c r="F31" i="305"/>
  <c r="G31" i="305"/>
  <c r="H31" i="305"/>
  <c r="I31" i="305"/>
  <c r="J31" i="305"/>
  <c r="K31" i="305"/>
  <c r="L31" i="305"/>
  <c r="C38" i="305"/>
  <c r="D38" i="305"/>
  <c r="E38" i="305"/>
  <c r="F38" i="305"/>
  <c r="G38" i="305"/>
  <c r="H38" i="305"/>
  <c r="I38" i="305"/>
  <c r="J38" i="305"/>
  <c r="K38" i="305"/>
  <c r="L38" i="305"/>
  <c r="A41" i="305"/>
  <c r="C44" i="305"/>
  <c r="D44" i="305"/>
  <c r="E44" i="305"/>
  <c r="F44" i="305"/>
  <c r="G44" i="305"/>
  <c r="H44" i="305"/>
  <c r="I44" i="305"/>
  <c r="J44" i="305"/>
  <c r="K44" i="305"/>
  <c r="L44" i="305"/>
  <c r="A47" i="305"/>
  <c r="C50" i="305"/>
  <c r="D50" i="305"/>
  <c r="E50" i="305"/>
  <c r="F50" i="305"/>
  <c r="G50" i="305"/>
  <c r="H50" i="305"/>
  <c r="I50" i="305"/>
  <c r="J50" i="305"/>
  <c r="K50" i="305"/>
  <c r="L50" i="305"/>
  <c r="A53" i="305"/>
  <c r="C56" i="305"/>
  <c r="D56" i="305"/>
  <c r="E56" i="305"/>
  <c r="F56" i="305"/>
  <c r="G56" i="305"/>
  <c r="H56" i="305"/>
  <c r="I56" i="305"/>
  <c r="J56" i="305"/>
  <c r="K56" i="305"/>
  <c r="L56" i="305"/>
  <c r="A59" i="305"/>
  <c r="C62" i="305"/>
  <c r="D62" i="305"/>
  <c r="E62" i="305"/>
  <c r="F62" i="305"/>
  <c r="G62" i="305"/>
  <c r="H62" i="305"/>
  <c r="I62" i="305"/>
  <c r="J62" i="305"/>
  <c r="K62" i="305"/>
  <c r="L62" i="305"/>
  <c r="A65" i="305"/>
  <c r="A2" i="316"/>
  <c r="B2" i="316"/>
  <c r="C3" i="316"/>
  <c r="D3" i="316"/>
  <c r="E3" i="316"/>
  <c r="F3" i="316"/>
  <c r="G3" i="316"/>
  <c r="H3" i="316"/>
  <c r="A5" i="316"/>
  <c r="A29" i="316" s="1"/>
  <c r="C8" i="316"/>
  <c r="D8" i="316"/>
  <c r="E8" i="316"/>
  <c r="F8" i="316"/>
  <c r="G8" i="316"/>
  <c r="H8" i="316"/>
  <c r="I8" i="316"/>
  <c r="J8" i="316"/>
  <c r="K8" i="316"/>
  <c r="A12" i="316"/>
  <c r="A17" i="316" s="1"/>
  <c r="A13" i="316"/>
  <c r="A18" i="316"/>
  <c r="C13" i="316"/>
  <c r="D13" i="316"/>
  <c r="E13" i="316"/>
  <c r="F13" i="316"/>
  <c r="F25" i="316"/>
  <c r="G13" i="316"/>
  <c r="H13" i="316"/>
  <c r="I13" i="316"/>
  <c r="J13" i="316"/>
  <c r="K13" i="316"/>
  <c r="A14" i="316"/>
  <c r="A19" i="316"/>
  <c r="A16" i="316"/>
  <c r="C18" i="316"/>
  <c r="D18" i="316"/>
  <c r="E18" i="316"/>
  <c r="F18" i="316"/>
  <c r="G18" i="316"/>
  <c r="H18" i="316"/>
  <c r="I18" i="316"/>
  <c r="J18" i="316"/>
  <c r="K18" i="316"/>
  <c r="A21" i="316"/>
  <c r="A23" i="316"/>
  <c r="C23" i="316"/>
  <c r="D23" i="316"/>
  <c r="E23" i="316"/>
  <c r="F23" i="316"/>
  <c r="G23" i="316"/>
  <c r="G25" i="316" s="1"/>
  <c r="G59" i="316" s="1"/>
  <c r="H23" i="316"/>
  <c r="I23" i="316"/>
  <c r="I25" i="316" s="1"/>
  <c r="J23" i="316"/>
  <c r="K23" i="316"/>
  <c r="A24" i="316"/>
  <c r="C26" i="316"/>
  <c r="C53" i="316"/>
  <c r="D26" i="316"/>
  <c r="E26" i="316"/>
  <c r="F26" i="316"/>
  <c r="G26" i="316"/>
  <c r="G53" i="316" s="1"/>
  <c r="H26" i="316"/>
  <c r="I26" i="316"/>
  <c r="I53" i="316"/>
  <c r="J26" i="316"/>
  <c r="K26" i="316"/>
  <c r="C32" i="316"/>
  <c r="D32" i="316"/>
  <c r="E32" i="316"/>
  <c r="F32" i="316"/>
  <c r="G32" i="316"/>
  <c r="H32" i="316"/>
  <c r="I32" i="316"/>
  <c r="J32" i="316"/>
  <c r="K32" i="316"/>
  <c r="A36" i="316"/>
  <c r="A41" i="316" s="1"/>
  <c r="A37" i="316"/>
  <c r="A42" i="316" s="1"/>
  <c r="C37" i="316"/>
  <c r="C49" i="316" s="1"/>
  <c r="D37" i="316"/>
  <c r="E37" i="316"/>
  <c r="F37" i="316"/>
  <c r="G37" i="316"/>
  <c r="H37" i="316"/>
  <c r="I37" i="316"/>
  <c r="J37" i="316"/>
  <c r="K37" i="316"/>
  <c r="A38" i="316"/>
  <c r="A40" i="316"/>
  <c r="C42" i="316"/>
  <c r="D42" i="316"/>
  <c r="E42" i="316"/>
  <c r="F42" i="316"/>
  <c r="G42" i="316"/>
  <c r="H42" i="316"/>
  <c r="I42" i="316"/>
  <c r="J42" i="316"/>
  <c r="K42" i="316"/>
  <c r="A45" i="316"/>
  <c r="C47" i="316"/>
  <c r="D47" i="316"/>
  <c r="E47" i="316"/>
  <c r="F47" i="316"/>
  <c r="G47" i="316"/>
  <c r="H47" i="316"/>
  <c r="I47" i="316"/>
  <c r="J47" i="316"/>
  <c r="K47" i="316"/>
  <c r="C50" i="316"/>
  <c r="D50" i="316"/>
  <c r="D53" i="316" s="1"/>
  <c r="E50" i="316"/>
  <c r="F50" i="316"/>
  <c r="F53" i="316" s="1"/>
  <c r="G50" i="316"/>
  <c r="H50" i="316"/>
  <c r="I50" i="316"/>
  <c r="J50" i="316"/>
  <c r="K50" i="316"/>
  <c r="A54" i="316"/>
  <c r="A2" i="249"/>
  <c r="B2" i="249"/>
  <c r="C3" i="249"/>
  <c r="D3" i="249"/>
  <c r="E3" i="249"/>
  <c r="F3" i="249"/>
  <c r="G3" i="249"/>
  <c r="H3" i="249"/>
  <c r="A7" i="249"/>
  <c r="C7" i="249"/>
  <c r="D7" i="249"/>
  <c r="E7" i="249"/>
  <c r="F7" i="249"/>
  <c r="G7" i="249"/>
  <c r="H7" i="249"/>
  <c r="I7" i="249"/>
  <c r="J7" i="249"/>
  <c r="K7" i="249"/>
  <c r="A8" i="249"/>
  <c r="A9" i="249"/>
  <c r="A10" i="249"/>
  <c r="A11" i="249"/>
  <c r="A12" i="249"/>
  <c r="A13" i="249"/>
  <c r="A14" i="249"/>
  <c r="A15" i="249"/>
  <c r="C15" i="249"/>
  <c r="D15" i="249"/>
  <c r="E15" i="249"/>
  <c r="F15" i="249"/>
  <c r="G15" i="249"/>
  <c r="H15" i="249"/>
  <c r="I15" i="249"/>
  <c r="J15" i="249"/>
  <c r="K15" i="249"/>
  <c r="A16" i="249"/>
  <c r="A17" i="249"/>
  <c r="A18" i="249"/>
  <c r="A19" i="249"/>
  <c r="A21" i="249"/>
  <c r="C21" i="249"/>
  <c r="D21" i="249"/>
  <c r="E21" i="249"/>
  <c r="F21" i="249"/>
  <c r="G21" i="249"/>
  <c r="G27" i="249" s="1"/>
  <c r="H21" i="249"/>
  <c r="I21" i="249"/>
  <c r="J21" i="249"/>
  <c r="K21" i="249"/>
  <c r="A22" i="249"/>
  <c r="A24" i="249"/>
  <c r="C24" i="249"/>
  <c r="D24" i="249"/>
  <c r="E24" i="249"/>
  <c r="F24" i="249"/>
  <c r="G24" i="249"/>
  <c r="H24" i="249"/>
  <c r="I24" i="249"/>
  <c r="J24" i="249"/>
  <c r="K24" i="249"/>
  <c r="A25" i="249"/>
  <c r="C30" i="249"/>
  <c r="D30" i="249"/>
  <c r="E30" i="249"/>
  <c r="F30" i="249"/>
  <c r="F45" i="249" s="1"/>
  <c r="G30" i="249"/>
  <c r="H30" i="249"/>
  <c r="I30" i="249"/>
  <c r="J30" i="249"/>
  <c r="K30" i="249"/>
  <c r="A31" i="249"/>
  <c r="A32" i="249"/>
  <c r="A33" i="249"/>
  <c r="A34" i="249"/>
  <c r="A35" i="249"/>
  <c r="A36" i="249"/>
  <c r="C37" i="249"/>
  <c r="D37" i="249"/>
  <c r="E37" i="249"/>
  <c r="F37" i="249"/>
  <c r="G37" i="249"/>
  <c r="H37" i="249"/>
  <c r="I37" i="249"/>
  <c r="J37" i="249"/>
  <c r="K37" i="249"/>
  <c r="A38" i="249"/>
  <c r="C39" i="249"/>
  <c r="D39" i="249"/>
  <c r="E39" i="249"/>
  <c r="F39" i="249"/>
  <c r="G39" i="249"/>
  <c r="H39" i="249"/>
  <c r="I39" i="249"/>
  <c r="J39" i="249"/>
  <c r="K39" i="249"/>
  <c r="C42" i="249"/>
  <c r="D42" i="249"/>
  <c r="E42" i="249"/>
  <c r="F42" i="249"/>
  <c r="G42" i="249"/>
  <c r="H42" i="249"/>
  <c r="I42" i="249"/>
  <c r="J42" i="249"/>
  <c r="K42" i="249"/>
  <c r="A48" i="249"/>
  <c r="A2" i="136"/>
  <c r="B2" i="136"/>
  <c r="C3" i="136"/>
  <c r="D3" i="136"/>
  <c r="E3" i="136"/>
  <c r="F3" i="136"/>
  <c r="G3" i="136"/>
  <c r="H3" i="136"/>
  <c r="C7" i="136"/>
  <c r="D7" i="136"/>
  <c r="E7" i="136"/>
  <c r="F7" i="136"/>
  <c r="G7" i="136"/>
  <c r="H7" i="136"/>
  <c r="I7" i="136"/>
  <c r="J7" i="136"/>
  <c r="K7" i="136"/>
  <c r="B8" i="136"/>
  <c r="B9" i="136"/>
  <c r="B10" i="136"/>
  <c r="B11" i="136"/>
  <c r="B12" i="136"/>
  <c r="B13" i="136"/>
  <c r="C15" i="136"/>
  <c r="C27" i="136" s="1"/>
  <c r="D15" i="136"/>
  <c r="E15" i="136"/>
  <c r="F15" i="136"/>
  <c r="G15" i="136"/>
  <c r="H15" i="136"/>
  <c r="J15" i="136"/>
  <c r="K15" i="136"/>
  <c r="B16" i="136"/>
  <c r="B17" i="136"/>
  <c r="B18" i="136"/>
  <c r="B19" i="136"/>
  <c r="A20" i="136"/>
  <c r="A20" i="249" s="1"/>
  <c r="C21" i="136"/>
  <c r="D21" i="136"/>
  <c r="E21" i="136"/>
  <c r="F21" i="136"/>
  <c r="G21" i="136"/>
  <c r="H21" i="136"/>
  <c r="I21" i="136"/>
  <c r="J21" i="136"/>
  <c r="K21" i="136"/>
  <c r="C24" i="136"/>
  <c r="D24" i="136"/>
  <c r="E24" i="136"/>
  <c r="F24" i="136"/>
  <c r="G24" i="136"/>
  <c r="H24" i="136"/>
  <c r="I24" i="136"/>
  <c r="J24" i="136"/>
  <c r="K24" i="136"/>
  <c r="A30" i="136"/>
  <c r="A30" i="249"/>
  <c r="C30" i="136"/>
  <c r="D30" i="136"/>
  <c r="E30" i="136"/>
  <c r="F30" i="136"/>
  <c r="G30" i="136"/>
  <c r="H30" i="136"/>
  <c r="I30" i="136"/>
  <c r="J30" i="136"/>
  <c r="K30" i="136"/>
  <c r="A37" i="136"/>
  <c r="A37" i="249" s="1"/>
  <c r="C37" i="136"/>
  <c r="D37" i="136"/>
  <c r="E37" i="136"/>
  <c r="F37" i="136"/>
  <c r="G37" i="136"/>
  <c r="H37" i="136"/>
  <c r="I37" i="136"/>
  <c r="J37" i="136"/>
  <c r="K37" i="136"/>
  <c r="A39" i="136"/>
  <c r="A39" i="249" s="1"/>
  <c r="C39" i="136"/>
  <c r="D39" i="136"/>
  <c r="E39" i="136"/>
  <c r="F39" i="136"/>
  <c r="G39" i="136"/>
  <c r="H39" i="136"/>
  <c r="I39" i="136"/>
  <c r="J39" i="136"/>
  <c r="K39" i="136"/>
  <c r="A40" i="249"/>
  <c r="A42" i="136"/>
  <c r="A42" i="249" s="1"/>
  <c r="C42" i="136"/>
  <c r="D42" i="136"/>
  <c r="E42" i="136"/>
  <c r="F42" i="136"/>
  <c r="G42" i="136"/>
  <c r="H42" i="136"/>
  <c r="I42" i="136"/>
  <c r="J42" i="136"/>
  <c r="K42" i="136"/>
  <c r="A43" i="249"/>
  <c r="A47" i="136"/>
  <c r="B2" i="144"/>
  <c r="C3" i="144"/>
  <c r="D3" i="144"/>
  <c r="E3" i="144"/>
  <c r="F3" i="144"/>
  <c r="G3" i="144"/>
  <c r="H3" i="144"/>
  <c r="C17" i="144"/>
  <c r="D17" i="144"/>
  <c r="E17" i="144"/>
  <c r="F17" i="144"/>
  <c r="G17" i="144"/>
  <c r="H17" i="144"/>
  <c r="I17" i="144"/>
  <c r="J17" i="144"/>
  <c r="K17" i="144"/>
  <c r="A20" i="144"/>
  <c r="A21" i="144"/>
  <c r="A22" i="144"/>
  <c r="A23" i="144"/>
  <c r="A24" i="144"/>
  <c r="A25" i="144"/>
  <c r="A26" i="144"/>
  <c r="A27" i="144"/>
  <c r="A28" i="144"/>
  <c r="A29" i="144"/>
  <c r="A30" i="144"/>
  <c r="A31" i="144"/>
  <c r="C32" i="144"/>
  <c r="D32" i="144"/>
  <c r="E32" i="144"/>
  <c r="F32" i="144"/>
  <c r="G32" i="144"/>
  <c r="G34" i="144" s="1"/>
  <c r="G71" i="144" s="1"/>
  <c r="H32" i="144"/>
  <c r="I32" i="144"/>
  <c r="J32" i="144"/>
  <c r="K32" i="144"/>
  <c r="C50" i="144"/>
  <c r="D50" i="144"/>
  <c r="D67" i="144" s="1"/>
  <c r="D12" i="237" s="1"/>
  <c r="E50" i="144"/>
  <c r="F50" i="144"/>
  <c r="G50" i="144"/>
  <c r="H50" i="144"/>
  <c r="H67" i="144"/>
  <c r="H12" i="237" s="1"/>
  <c r="I50" i="144"/>
  <c r="J50" i="144"/>
  <c r="K50" i="144"/>
  <c r="A53" i="144"/>
  <c r="A54" i="144"/>
  <c r="A55" i="144"/>
  <c r="A56" i="144"/>
  <c r="A57" i="144"/>
  <c r="A58" i="144"/>
  <c r="A59" i="144"/>
  <c r="A60" i="144"/>
  <c r="A61" i="144"/>
  <c r="A62" i="144"/>
  <c r="A63" i="144"/>
  <c r="A64" i="144"/>
  <c r="C65" i="144"/>
  <c r="D65" i="144"/>
  <c r="E65" i="144"/>
  <c r="F65" i="144"/>
  <c r="G65" i="144"/>
  <c r="H65" i="144"/>
  <c r="I65" i="144"/>
  <c r="I67" i="144"/>
  <c r="J12" i="237" s="1"/>
  <c r="J65" i="144"/>
  <c r="J67" i="144"/>
  <c r="K12" i="237"/>
  <c r="K65" i="144"/>
  <c r="A69" i="144"/>
  <c r="B2" i="143"/>
  <c r="O5" i="143"/>
  <c r="O6" i="143"/>
  <c r="O7" i="143"/>
  <c r="O8" i="143"/>
  <c r="O9" i="143"/>
  <c r="O10" i="143"/>
  <c r="O11" i="143"/>
  <c r="K12" i="143"/>
  <c r="K24" i="143"/>
  <c r="M12" i="143"/>
  <c r="N12" i="143"/>
  <c r="O15" i="143"/>
  <c r="O16" i="143"/>
  <c r="O17" i="143"/>
  <c r="O18" i="143"/>
  <c r="O19" i="143"/>
  <c r="O20" i="143"/>
  <c r="O21" i="143"/>
  <c r="K22" i="143"/>
  <c r="M22" i="143"/>
  <c r="N22" i="143"/>
  <c r="N24" i="143" s="1"/>
  <c r="A26" i="143"/>
  <c r="B2" i="142"/>
  <c r="C3" i="142"/>
  <c r="D3" i="142"/>
  <c r="E3" i="142"/>
  <c r="F3" i="142"/>
  <c r="G3" i="142"/>
  <c r="H3" i="142"/>
  <c r="C17" i="142"/>
  <c r="D17" i="142"/>
  <c r="E17" i="142"/>
  <c r="F17" i="142"/>
  <c r="F32" i="142" s="1"/>
  <c r="G17" i="142"/>
  <c r="H17" i="142"/>
  <c r="I17" i="142"/>
  <c r="J17" i="142"/>
  <c r="J32" i="142" s="1"/>
  <c r="K17" i="142"/>
  <c r="A20" i="142"/>
  <c r="A21" i="142"/>
  <c r="A22" i="142"/>
  <c r="A23" i="142"/>
  <c r="A24" i="142"/>
  <c r="A25" i="142"/>
  <c r="A26" i="142"/>
  <c r="A27" i="142"/>
  <c r="A28" i="142"/>
  <c r="C30" i="142"/>
  <c r="D30" i="142"/>
  <c r="E30" i="142"/>
  <c r="F30" i="142"/>
  <c r="G30" i="142"/>
  <c r="H30" i="142"/>
  <c r="I30" i="142"/>
  <c r="J30" i="142"/>
  <c r="K30" i="142"/>
  <c r="A34" i="142"/>
  <c r="A2" i="337"/>
  <c r="B2" i="337"/>
  <c r="C3" i="337"/>
  <c r="D3" i="337"/>
  <c r="E3" i="337"/>
  <c r="F3" i="337"/>
  <c r="G3" i="337"/>
  <c r="H3" i="337"/>
  <c r="C15" i="337"/>
  <c r="C17" i="337" s="1"/>
  <c r="D15" i="337"/>
  <c r="D17" i="337"/>
  <c r="D18" i="337" s="1"/>
  <c r="E15" i="337"/>
  <c r="E17" i="337" s="1"/>
  <c r="F15" i="337"/>
  <c r="F17" i="337" s="1"/>
  <c r="G15" i="337"/>
  <c r="G17" i="337"/>
  <c r="G18" i="337" s="1"/>
  <c r="H15" i="337"/>
  <c r="H17" i="337" s="1"/>
  <c r="J15" i="337"/>
  <c r="J17" i="337" s="1"/>
  <c r="K15" i="337"/>
  <c r="K17" i="337" s="1"/>
  <c r="L15" i="337"/>
  <c r="L17" i="337"/>
  <c r="A21" i="337"/>
  <c r="A22" i="337"/>
  <c r="A23" i="337"/>
  <c r="A24" i="337"/>
  <c r="A25" i="337"/>
  <c r="A26" i="337"/>
  <c r="A27" i="337"/>
  <c r="A28" i="337"/>
  <c r="A29" i="337"/>
  <c r="A30" i="337"/>
  <c r="C30" i="337"/>
  <c r="C32" i="337"/>
  <c r="D30" i="337"/>
  <c r="D32" i="337" s="1"/>
  <c r="E30" i="337"/>
  <c r="E32" i="337" s="1"/>
  <c r="F30" i="337"/>
  <c r="F32" i="337" s="1"/>
  <c r="G30" i="337"/>
  <c r="G32" i="337" s="1"/>
  <c r="H30" i="337"/>
  <c r="H32" i="337" s="1"/>
  <c r="J30" i="337"/>
  <c r="K30" i="337"/>
  <c r="K32" i="337" s="1"/>
  <c r="K33" i="337" s="1"/>
  <c r="L30" i="337"/>
  <c r="L32" i="337"/>
  <c r="A31" i="337"/>
  <c r="A36" i="337"/>
  <c r="A37" i="337"/>
  <c r="A38" i="337"/>
  <c r="A39" i="337"/>
  <c r="A40" i="337"/>
  <c r="A41" i="337"/>
  <c r="A42" i="337"/>
  <c r="A43" i="337"/>
  <c r="A44" i="337"/>
  <c r="A45" i="337"/>
  <c r="C45" i="337"/>
  <c r="C47" i="337"/>
  <c r="D45" i="337"/>
  <c r="D47" i="337" s="1"/>
  <c r="E45" i="337"/>
  <c r="E47" i="337"/>
  <c r="F45" i="337"/>
  <c r="F47" i="337" s="1"/>
  <c r="G45" i="337"/>
  <c r="G47" i="337" s="1"/>
  <c r="H45" i="337"/>
  <c r="H47" i="337" s="1"/>
  <c r="J45" i="337"/>
  <c r="J47" i="337" s="1"/>
  <c r="K45" i="337"/>
  <c r="K47" i="337" s="1"/>
  <c r="L45" i="337"/>
  <c r="L47" i="337"/>
  <c r="A46" i="337"/>
  <c r="I46" i="337"/>
  <c r="A48" i="337"/>
  <c r="A50" i="337"/>
  <c r="A2" i="362"/>
  <c r="B2" i="362"/>
  <c r="S39" i="362"/>
  <c r="S40" i="362"/>
  <c r="A2" i="361"/>
  <c r="B2" i="361"/>
  <c r="S39" i="361"/>
  <c r="S40" i="361"/>
  <c r="A88"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B58" i="123" s="1"/>
  <c r="A20" i="123"/>
  <c r="A38" i="123"/>
  <c r="A39" i="123"/>
  <c r="A40" i="123"/>
  <c r="A41" i="123"/>
  <c r="A42" i="123"/>
  <c r="D50" i="123"/>
  <c r="E50" i="123"/>
  <c r="F50" i="123"/>
  <c r="G50" i="123"/>
  <c r="H50" i="123"/>
  <c r="I50" i="123"/>
  <c r="J50" i="123"/>
  <c r="J42" i="123" s="1"/>
  <c r="K50" i="123"/>
  <c r="L42" i="123" s="1"/>
  <c r="L50" i="123"/>
  <c r="M50" i="123"/>
  <c r="A51" i="123"/>
  <c r="D51" i="123"/>
  <c r="E51" i="123"/>
  <c r="F51" i="123"/>
  <c r="G51" i="123"/>
  <c r="H51" i="123"/>
  <c r="I51" i="123"/>
  <c r="J51" i="123"/>
  <c r="K51" i="123"/>
  <c r="L51" i="123"/>
  <c r="M51" i="123"/>
  <c r="D53" i="123"/>
  <c r="E53" i="123"/>
  <c r="F53" i="123"/>
  <c r="G53" i="123"/>
  <c r="H53" i="123"/>
  <c r="I53" i="123"/>
  <c r="J53" i="123"/>
  <c r="D56" i="123"/>
  <c r="E56" i="123"/>
  <c r="F56" i="123"/>
  <c r="G56" i="123"/>
  <c r="H56" i="123"/>
  <c r="I56" i="123"/>
  <c r="J56" i="123"/>
  <c r="K56" i="123"/>
  <c r="L56" i="123"/>
  <c r="M56" i="123"/>
  <c r="B57" i="123"/>
  <c r="K68" i="123"/>
  <c r="L68" i="123"/>
  <c r="M68" i="123"/>
  <c r="K76" i="123"/>
  <c r="L76" i="123"/>
  <c r="M76" i="123"/>
  <c r="K82" i="123"/>
  <c r="L82" i="123"/>
  <c r="M82" i="123"/>
  <c r="A84" i="123"/>
  <c r="K84" i="123"/>
  <c r="L84" i="123"/>
  <c r="M84" i="123"/>
  <c r="E98" i="123"/>
  <c r="F98" i="123"/>
  <c r="G98" i="123"/>
  <c r="H98" i="123"/>
  <c r="I98" i="123"/>
  <c r="J98" i="123"/>
  <c r="K98" i="123"/>
  <c r="L98" i="123"/>
  <c r="M98" i="123"/>
  <c r="K120" i="123"/>
  <c r="A137" i="123"/>
  <c r="C3" i="88"/>
  <c r="D3" i="88"/>
  <c r="E3" i="88"/>
  <c r="F3" i="88"/>
  <c r="G3" i="88"/>
  <c r="H3" i="88"/>
  <c r="I3" i="88"/>
  <c r="A40" i="88"/>
  <c r="D47" i="88"/>
  <c r="E47" i="88"/>
  <c r="F47" i="88"/>
  <c r="G47" i="88"/>
  <c r="H47" i="88"/>
  <c r="I47" i="88"/>
  <c r="J47" i="88"/>
  <c r="K47" i="88"/>
  <c r="L47" i="88"/>
  <c r="C49" i="88"/>
  <c r="D49" i="88"/>
  <c r="E49" i="88"/>
  <c r="F49" i="88"/>
  <c r="G49" i="88"/>
  <c r="H49" i="88"/>
  <c r="I49" i="88"/>
  <c r="C3" i="147"/>
  <c r="D3" i="147"/>
  <c r="E3" i="147"/>
  <c r="F3" i="147"/>
  <c r="G3" i="147"/>
  <c r="H3" i="147"/>
  <c r="A73" i="147"/>
  <c r="C74" i="147"/>
  <c r="D74" i="147"/>
  <c r="E74" i="147"/>
  <c r="F74" i="147"/>
  <c r="G74" i="147"/>
  <c r="H74" i="147"/>
  <c r="A80" i="147"/>
  <c r="A84" i="147"/>
  <c r="D2" i="314"/>
  <c r="E3" i="314"/>
  <c r="F3" i="314"/>
  <c r="G3" i="314"/>
  <c r="H3" i="314"/>
  <c r="I3" i="314"/>
  <c r="J3" i="314"/>
  <c r="E21" i="314"/>
  <c r="F21" i="314"/>
  <c r="G21" i="314"/>
  <c r="H21" i="314"/>
  <c r="I21" i="314"/>
  <c r="J21" i="314"/>
  <c r="K21" i="314"/>
  <c r="L21" i="314"/>
  <c r="M21" i="314"/>
  <c r="A22" i="314"/>
  <c r="D2" i="315"/>
  <c r="E3" i="315"/>
  <c r="F3" i="315"/>
  <c r="G3" i="315"/>
  <c r="H3" i="315"/>
  <c r="I3" i="315"/>
  <c r="J3" i="315"/>
  <c r="A23" i="315"/>
  <c r="E23" i="315"/>
  <c r="F23" i="315"/>
  <c r="G23" i="315"/>
  <c r="H23" i="315"/>
  <c r="I23" i="315"/>
  <c r="J23" i="315"/>
  <c r="K23" i="315"/>
  <c r="L23" i="315"/>
  <c r="M23" i="315"/>
  <c r="A24" i="315"/>
  <c r="D2" i="141"/>
  <c r="E3" i="141"/>
  <c r="F3" i="141"/>
  <c r="G3" i="141"/>
  <c r="H3" i="141"/>
  <c r="I3" i="141"/>
  <c r="J3" i="141"/>
  <c r="A22" i="141"/>
  <c r="E22" i="141"/>
  <c r="F22" i="141"/>
  <c r="G22" i="141"/>
  <c r="H22" i="141"/>
  <c r="I22" i="141"/>
  <c r="J22" i="141"/>
  <c r="K22" i="141"/>
  <c r="L22" i="141"/>
  <c r="M22" i="141"/>
  <c r="A23" i="141"/>
  <c r="A2" i="128"/>
  <c r="B2" i="128"/>
  <c r="C3" i="128"/>
  <c r="D3" i="128"/>
  <c r="E3" i="128"/>
  <c r="F3" i="128"/>
  <c r="G3" i="128"/>
  <c r="H3" i="128"/>
  <c r="I3" i="128"/>
  <c r="A6" i="128"/>
  <c r="A9" i="128" s="1"/>
  <c r="C9" i="128"/>
  <c r="C7" i="129"/>
  <c r="D9" i="128"/>
  <c r="D7" i="129" s="1"/>
  <c r="E9" i="128"/>
  <c r="E7" i="129" s="1"/>
  <c r="F9" i="128"/>
  <c r="G9" i="128"/>
  <c r="G7" i="129" s="1"/>
  <c r="H9" i="128"/>
  <c r="H7" i="129" s="1"/>
  <c r="I9" i="128"/>
  <c r="I7" i="129" s="1"/>
  <c r="J9" i="128"/>
  <c r="J7" i="129" s="1"/>
  <c r="I36" i="142" s="1"/>
  <c r="K9" i="128"/>
  <c r="K7" i="129" s="1"/>
  <c r="L9" i="128"/>
  <c r="L7" i="129" s="1"/>
  <c r="A11" i="128"/>
  <c r="C14" i="128"/>
  <c r="C8" i="129" s="1"/>
  <c r="C35" i="237" s="1"/>
  <c r="D14" i="128"/>
  <c r="D8" i="129"/>
  <c r="E14" i="128"/>
  <c r="E8" i="129" s="1"/>
  <c r="E35" i="237" s="1"/>
  <c r="F14" i="128"/>
  <c r="F8" i="129" s="1"/>
  <c r="G14" i="128"/>
  <c r="G8" i="129" s="1"/>
  <c r="H14" i="128"/>
  <c r="H8" i="129" s="1"/>
  <c r="I14" i="128"/>
  <c r="I8" i="129" s="1"/>
  <c r="C20" i="128"/>
  <c r="D20" i="128"/>
  <c r="E20" i="128"/>
  <c r="F20" i="128"/>
  <c r="H20" i="128"/>
  <c r="I20" i="128"/>
  <c r="J20" i="128"/>
  <c r="A22" i="128"/>
  <c r="A26" i="128" s="1"/>
  <c r="C26" i="128"/>
  <c r="C19" i="129"/>
  <c r="C24" i="129" s="1"/>
  <c r="B36" i="86"/>
  <c r="D26" i="128"/>
  <c r="D19" i="129" s="1"/>
  <c r="E26" i="128"/>
  <c r="E19" i="129" s="1"/>
  <c r="F26" i="128"/>
  <c r="F19" i="129" s="1"/>
  <c r="G26" i="128"/>
  <c r="G19" i="129" s="1"/>
  <c r="H26" i="128"/>
  <c r="I26" i="128"/>
  <c r="I19" i="129" s="1"/>
  <c r="A29" i="128"/>
  <c r="A32" i="128" s="1"/>
  <c r="C32" i="128"/>
  <c r="C30" i="129" s="1"/>
  <c r="C34" i="129" s="1"/>
  <c r="D32" i="128"/>
  <c r="D30" i="129" s="1"/>
  <c r="E32" i="128"/>
  <c r="E30" i="129"/>
  <c r="F32" i="128"/>
  <c r="F30" i="129" s="1"/>
  <c r="G32" i="128"/>
  <c r="G30" i="129" s="1"/>
  <c r="H32" i="128"/>
  <c r="H30" i="129" s="1"/>
  <c r="I32" i="128"/>
  <c r="I30" i="129" s="1"/>
  <c r="J32" i="128"/>
  <c r="J30" i="129"/>
  <c r="K32" i="128"/>
  <c r="K30" i="129" s="1"/>
  <c r="L32" i="128"/>
  <c r="L30" i="129" s="1"/>
  <c r="A34" i="128"/>
  <c r="A39" i="128" s="1"/>
  <c r="C39" i="128"/>
  <c r="C32" i="129"/>
  <c r="D39" i="128"/>
  <c r="D32" i="129" s="1"/>
  <c r="E39" i="128"/>
  <c r="E32" i="129" s="1"/>
  <c r="F39" i="128"/>
  <c r="F32" i="129" s="1"/>
  <c r="G39" i="128"/>
  <c r="G32" i="129" s="1"/>
  <c r="H39" i="128"/>
  <c r="H32" i="129" s="1"/>
  <c r="I39" i="128"/>
  <c r="I32" i="129" s="1"/>
  <c r="J39" i="128"/>
  <c r="J32" i="129" s="1"/>
  <c r="K39" i="128"/>
  <c r="K32" i="129" s="1"/>
  <c r="L39" i="128"/>
  <c r="L32" i="129" s="1"/>
  <c r="A41" i="128"/>
  <c r="A44" i="128"/>
  <c r="C44" i="128"/>
  <c r="C37" i="129" s="1"/>
  <c r="D44" i="128"/>
  <c r="D37" i="129" s="1"/>
  <c r="E44" i="128"/>
  <c r="E37" i="129" s="1"/>
  <c r="F44" i="128"/>
  <c r="F37" i="129" s="1"/>
  <c r="G44" i="128"/>
  <c r="H44" i="128"/>
  <c r="H37" i="129" s="1"/>
  <c r="I44" i="128"/>
  <c r="I37" i="129"/>
  <c r="J44" i="128"/>
  <c r="J37" i="129" s="1"/>
  <c r="K44" i="128"/>
  <c r="K37" i="129" s="1"/>
  <c r="L44" i="128"/>
  <c r="L37" i="129" s="1"/>
  <c r="A46" i="128"/>
  <c r="A51" i="128" s="1"/>
  <c r="C51" i="128"/>
  <c r="C38" i="129" s="1"/>
  <c r="D51" i="128"/>
  <c r="D38" i="129" s="1"/>
  <c r="E51" i="128"/>
  <c r="E38" i="129" s="1"/>
  <c r="F51" i="128"/>
  <c r="F38" i="129" s="1"/>
  <c r="G51" i="128"/>
  <c r="G38" i="129" s="1"/>
  <c r="H51" i="128"/>
  <c r="H38" i="129" s="1"/>
  <c r="I51" i="128"/>
  <c r="I38" i="129" s="1"/>
  <c r="J51" i="128"/>
  <c r="J38" i="129" s="1"/>
  <c r="K51" i="128"/>
  <c r="K38" i="129" s="1"/>
  <c r="L51" i="128"/>
  <c r="L38" i="129" s="1"/>
  <c r="A54" i="128"/>
  <c r="A55" i="128"/>
  <c r="C57" i="128"/>
  <c r="D57" i="128"/>
  <c r="E57" i="128"/>
  <c r="F57" i="128"/>
  <c r="G57" i="128"/>
  <c r="H57" i="128"/>
  <c r="I57" i="128"/>
  <c r="A58" i="128"/>
  <c r="C70" i="128"/>
  <c r="C46" i="129" s="1"/>
  <c r="C48" i="129" s="1"/>
  <c r="B39" i="86" s="1"/>
  <c r="D70" i="128"/>
  <c r="D46" i="129"/>
  <c r="D48" i="129" s="1"/>
  <c r="C39" i="86" s="1"/>
  <c r="E70" i="128"/>
  <c r="E46" i="129" s="1"/>
  <c r="E48" i="129" s="1"/>
  <c r="D39" i="86" s="1"/>
  <c r="F70" i="128"/>
  <c r="F46" i="129" s="1"/>
  <c r="G70" i="128"/>
  <c r="G46" i="129" s="1"/>
  <c r="H70" i="128"/>
  <c r="H46" i="129" s="1"/>
  <c r="I70" i="128"/>
  <c r="I46" i="129" s="1"/>
  <c r="J70" i="128"/>
  <c r="J46" i="129" s="1"/>
  <c r="K70" i="128"/>
  <c r="L70" i="128"/>
  <c r="L46" i="129" s="1"/>
  <c r="A71" i="128"/>
  <c r="A77" i="128"/>
  <c r="E84" i="128"/>
  <c r="F84" i="128"/>
  <c r="G84" i="128"/>
  <c r="H84" i="128"/>
  <c r="I84" i="128"/>
  <c r="A2" i="246"/>
  <c r="B2" i="246"/>
  <c r="A4" i="246"/>
  <c r="A5" i="246"/>
  <c r="R5" i="246"/>
  <c r="A6" i="246"/>
  <c r="R6" i="246"/>
  <c r="A7" i="246"/>
  <c r="R7" i="246"/>
  <c r="A8" i="246"/>
  <c r="R8" i="246"/>
  <c r="A9" i="246"/>
  <c r="R9" i="246"/>
  <c r="A11" i="246"/>
  <c r="R11" i="246"/>
  <c r="A12" i="246"/>
  <c r="R12" i="246"/>
  <c r="A13" i="246"/>
  <c r="R13" i="246"/>
  <c r="A14" i="246"/>
  <c r="R14" i="246"/>
  <c r="A15" i="246"/>
  <c r="R15" i="246"/>
  <c r="A16" i="246"/>
  <c r="R16" i="246"/>
  <c r="A17" i="246"/>
  <c r="R17" i="246"/>
  <c r="A18" i="246"/>
  <c r="R18" i="246"/>
  <c r="A19" i="246"/>
  <c r="R19" i="246"/>
  <c r="A20" i="246"/>
  <c r="R20" i="246"/>
  <c r="A21" i="246"/>
  <c r="A23" i="246"/>
  <c r="A24" i="246"/>
  <c r="R24" i="246"/>
  <c r="A25" i="246"/>
  <c r="R25" i="246"/>
  <c r="A26" i="246"/>
  <c r="R26" i="246"/>
  <c r="A27" i="246"/>
  <c r="R27" i="246"/>
  <c r="A28" i="246"/>
  <c r="R28" i="246"/>
  <c r="A29" i="246"/>
  <c r="R29" i="246"/>
  <c r="A30" i="246"/>
  <c r="R30" i="246"/>
  <c r="A31" i="246"/>
  <c r="R31" i="246"/>
  <c r="A32" i="246"/>
  <c r="R32" i="246"/>
  <c r="A33" i="246"/>
  <c r="R33" i="246"/>
  <c r="A34" i="246"/>
  <c r="R34" i="246"/>
  <c r="C35" i="246"/>
  <c r="C37" i="246" s="1"/>
  <c r="C41" i="246" s="1"/>
  <c r="D35" i="246"/>
  <c r="D37" i="246"/>
  <c r="D41" i="246" s="1"/>
  <c r="E35" i="246"/>
  <c r="E37" i="246"/>
  <c r="E41" i="246" s="1"/>
  <c r="F35" i="246"/>
  <c r="G35" i="246"/>
  <c r="H35" i="246"/>
  <c r="H37" i="246"/>
  <c r="H41" i="246"/>
  <c r="I35" i="246"/>
  <c r="I37" i="246" s="1"/>
  <c r="I41" i="246" s="1"/>
  <c r="J35" i="246"/>
  <c r="K35" i="246"/>
  <c r="L35" i="246"/>
  <c r="L37" i="246" s="1"/>
  <c r="L41" i="246" s="1"/>
  <c r="M35" i="246"/>
  <c r="M37" i="246"/>
  <c r="M41" i="246" s="1"/>
  <c r="N35" i="246"/>
  <c r="N37" i="246" s="1"/>
  <c r="N41" i="246" s="1"/>
  <c r="O35" i="246"/>
  <c r="O37" i="246" s="1"/>
  <c r="O41" i="246" s="1"/>
  <c r="P35" i="246"/>
  <c r="P37" i="246" s="1"/>
  <c r="P41" i="246" s="1"/>
  <c r="Q35" i="246"/>
  <c r="Q37" i="246" s="1"/>
  <c r="Q41" i="246" s="1"/>
  <c r="A37" i="246"/>
  <c r="A38" i="246"/>
  <c r="R38" i="246"/>
  <c r="A39" i="246"/>
  <c r="R39" i="246"/>
  <c r="A40" i="246"/>
  <c r="R40" i="246"/>
  <c r="A41" i="246"/>
  <c r="A42" i="246"/>
  <c r="A2" i="255"/>
  <c r="B2" i="255"/>
  <c r="C3" i="255"/>
  <c r="D3" i="255"/>
  <c r="E3" i="255"/>
  <c r="F3" i="255"/>
  <c r="G3" i="255"/>
  <c r="H3" i="255"/>
  <c r="I3" i="255"/>
  <c r="A6" i="255"/>
  <c r="A11" i="255"/>
  <c r="A12" i="255" s="1"/>
  <c r="A17" i="255"/>
  <c r="A21" i="255" s="1"/>
  <c r="A23" i="255"/>
  <c r="A24" i="255" s="1"/>
  <c r="A29" i="255"/>
  <c r="A34" i="255" s="1"/>
  <c r="D9" i="127"/>
  <c r="E49" i="123" s="1"/>
  <c r="E41" i="123" s="1"/>
  <c r="H9" i="127"/>
  <c r="I49" i="123" s="1"/>
  <c r="C49" i="255"/>
  <c r="C19" i="127" s="1"/>
  <c r="B9" i="86" s="1"/>
  <c r="D49" i="255"/>
  <c r="D19" i="127" s="1"/>
  <c r="C9" i="86" s="1"/>
  <c r="E49" i="255"/>
  <c r="E19" i="127" s="1"/>
  <c r="D9" i="86" s="1"/>
  <c r="F49" i="255"/>
  <c r="F19" i="127" s="1"/>
  <c r="E9" i="86" s="1"/>
  <c r="G49" i="255"/>
  <c r="H49" i="255"/>
  <c r="I49" i="255"/>
  <c r="J49" i="255"/>
  <c r="K49" i="255"/>
  <c r="K19" i="127" s="1"/>
  <c r="L49" i="255"/>
  <c r="L19" i="127" s="1"/>
  <c r="A52" i="255"/>
  <c r="A67" i="255" s="1"/>
  <c r="C65" i="255"/>
  <c r="C67" i="255" s="1"/>
  <c r="C24" i="127" s="1"/>
  <c r="B11" i="86" s="1"/>
  <c r="D65" i="255"/>
  <c r="D67" i="255" s="1"/>
  <c r="D24" i="127" s="1"/>
  <c r="E65" i="255"/>
  <c r="E67" i="255" s="1"/>
  <c r="E24" i="127" s="1"/>
  <c r="D11" i="86" s="1"/>
  <c r="F99" i="123" s="1"/>
  <c r="F65" i="255"/>
  <c r="F67" i="255" s="1"/>
  <c r="F24" i="127" s="1"/>
  <c r="G65" i="255"/>
  <c r="G67" i="255" s="1"/>
  <c r="G24" i="127" s="1"/>
  <c r="H65" i="255"/>
  <c r="H67" i="255" s="1"/>
  <c r="H24" i="127" s="1"/>
  <c r="I65" i="255"/>
  <c r="I67" i="255" s="1"/>
  <c r="I24" i="127" s="1"/>
  <c r="J65" i="255"/>
  <c r="J67" i="255" s="1"/>
  <c r="J24" i="127" s="1"/>
  <c r="K65" i="255"/>
  <c r="K67" i="255" s="1"/>
  <c r="K24" i="127" s="1"/>
  <c r="L65" i="255"/>
  <c r="L67" i="255" s="1"/>
  <c r="L24" i="127" s="1"/>
  <c r="A76" i="255"/>
  <c r="C76" i="255"/>
  <c r="C39" i="127" s="1"/>
  <c r="B21" i="86" s="1"/>
  <c r="D76" i="255"/>
  <c r="E76" i="255"/>
  <c r="E39" i="127" s="1"/>
  <c r="D21" i="86" s="1"/>
  <c r="F76" i="255"/>
  <c r="F39" i="127" s="1"/>
  <c r="E21" i="86" s="1"/>
  <c r="G76" i="255"/>
  <c r="G39" i="127" s="1"/>
  <c r="F21" i="86" s="1"/>
  <c r="H76" i="255"/>
  <c r="H39" i="127" s="1"/>
  <c r="G21" i="86" s="1"/>
  <c r="I76" i="255"/>
  <c r="I39" i="127" s="1"/>
  <c r="H21" i="86" s="1"/>
  <c r="J76" i="255"/>
  <c r="J39" i="127"/>
  <c r="O39" i="137" s="1"/>
  <c r="N39" i="137" s="1"/>
  <c r="K76" i="255"/>
  <c r="L76" i="255"/>
  <c r="L39" i="127" s="1"/>
  <c r="A78" i="255"/>
  <c r="A83" i="255"/>
  <c r="C83" i="255"/>
  <c r="D83" i="255"/>
  <c r="D27" i="127" s="1"/>
  <c r="C13" i="86" s="1"/>
  <c r="E83" i="255"/>
  <c r="E27" i="127" s="1"/>
  <c r="F83" i="255"/>
  <c r="F27" i="127" s="1"/>
  <c r="G83" i="255"/>
  <c r="G27" i="127" s="1"/>
  <c r="H83" i="255"/>
  <c r="H27" i="127" s="1"/>
  <c r="I83" i="255"/>
  <c r="I27" i="127" s="1"/>
  <c r="J83" i="255"/>
  <c r="J27" i="127" s="1"/>
  <c r="K83" i="255"/>
  <c r="K27" i="127" s="1"/>
  <c r="L83" i="255"/>
  <c r="L27" i="127" s="1"/>
  <c r="A85" i="255"/>
  <c r="C88" i="255"/>
  <c r="C29" i="127" s="1"/>
  <c r="D88" i="255"/>
  <c r="D29" i="127" s="1"/>
  <c r="C15" i="86" s="1"/>
  <c r="E88" i="255"/>
  <c r="E29" i="127" s="1"/>
  <c r="D15" i="86" s="1"/>
  <c r="F88" i="255"/>
  <c r="F29" i="127" s="1"/>
  <c r="E15" i="86" s="1"/>
  <c r="G88" i="255"/>
  <c r="G29" i="127" s="1"/>
  <c r="F15" i="86" s="1"/>
  <c r="H88" i="255"/>
  <c r="H29" i="127" s="1"/>
  <c r="G15" i="86" s="1"/>
  <c r="I88" i="255"/>
  <c r="I29" i="127" s="1"/>
  <c r="H15" i="86" s="1"/>
  <c r="J88" i="255"/>
  <c r="J29" i="127" s="1"/>
  <c r="K88" i="255"/>
  <c r="K29" i="127" s="1"/>
  <c r="J15" i="86" s="1"/>
  <c r="L88" i="255"/>
  <c r="L29" i="127" s="1"/>
  <c r="A95" i="255"/>
  <c r="C121" i="255"/>
  <c r="C127" i="255"/>
  <c r="C31" i="127" s="1"/>
  <c r="D121" i="255"/>
  <c r="D127" i="255" s="1"/>
  <c r="D31" i="127" s="1"/>
  <c r="E121" i="255"/>
  <c r="E127" i="255" s="1"/>
  <c r="E31" i="127" s="1"/>
  <c r="F121" i="255"/>
  <c r="F127" i="255" s="1"/>
  <c r="F31" i="127" s="1"/>
  <c r="G121" i="255"/>
  <c r="G127" i="255" s="1"/>
  <c r="G31" i="127" s="1"/>
  <c r="H121" i="255"/>
  <c r="H127" i="255" s="1"/>
  <c r="H31" i="127" s="1"/>
  <c r="I121" i="255"/>
  <c r="I127" i="255" s="1"/>
  <c r="I31" i="127" s="1"/>
  <c r="J121" i="255"/>
  <c r="J127" i="255" s="1"/>
  <c r="J31" i="127" s="1"/>
  <c r="K121" i="255"/>
  <c r="K127" i="255" s="1"/>
  <c r="K31" i="127" s="1"/>
  <c r="L121" i="255"/>
  <c r="L127" i="255" s="1"/>
  <c r="L31" i="127" s="1"/>
  <c r="C157" i="255"/>
  <c r="C33" i="127"/>
  <c r="D157" i="255"/>
  <c r="D33" i="127" s="1"/>
  <c r="E157" i="255"/>
  <c r="E33" i="127" s="1"/>
  <c r="F157" i="255"/>
  <c r="F33" i="127" s="1"/>
  <c r="G157" i="255"/>
  <c r="G33" i="127" s="1"/>
  <c r="H157" i="255"/>
  <c r="H33" i="127" s="1"/>
  <c r="I157" i="255"/>
  <c r="I33" i="127" s="1"/>
  <c r="J157" i="255"/>
  <c r="J33" i="127" s="1"/>
  <c r="O33" i="137" s="1"/>
  <c r="K157" i="255"/>
  <c r="L157" i="255"/>
  <c r="L33" i="127" s="1"/>
  <c r="Q33" i="137" s="1"/>
  <c r="C164" i="255"/>
  <c r="D164" i="255"/>
  <c r="E164" i="255"/>
  <c r="F164" i="255"/>
  <c r="G164" i="255"/>
  <c r="H164" i="255"/>
  <c r="I164" i="255"/>
  <c r="J164" i="255"/>
  <c r="K164" i="255"/>
  <c r="L164" i="255"/>
  <c r="A169" i="255"/>
  <c r="A2" i="253"/>
  <c r="B2" i="253"/>
  <c r="C3" i="253"/>
  <c r="D3" i="253"/>
  <c r="E3" i="253"/>
  <c r="F3" i="253"/>
  <c r="G3" i="253"/>
  <c r="H3" i="253"/>
  <c r="B12" i="253"/>
  <c r="A22" i="253"/>
  <c r="A26" i="253"/>
  <c r="A27" i="253"/>
  <c r="B27" i="253"/>
  <c r="A31" i="253"/>
  <c r="A35" i="253"/>
  <c r="A36" i="253"/>
  <c r="B36" i="253"/>
  <c r="A39" i="253"/>
  <c r="A45" i="253"/>
  <c r="A46" i="253"/>
  <c r="B46" i="253"/>
  <c r="A80" i="253"/>
  <c r="A2" i="248"/>
  <c r="B2" i="248"/>
  <c r="C3" i="248"/>
  <c r="D3" i="248"/>
  <c r="E3" i="248"/>
  <c r="F3" i="248"/>
  <c r="G3" i="248"/>
  <c r="H3" i="248"/>
  <c r="C144" i="248"/>
  <c r="D144" i="248"/>
  <c r="D134" i="248" s="1"/>
  <c r="E144" i="248"/>
  <c r="F144" i="248"/>
  <c r="F165" i="248" s="1"/>
  <c r="E53" i="86" s="1"/>
  <c r="G144" i="248"/>
  <c r="H144" i="248"/>
  <c r="I144" i="248"/>
  <c r="J144" i="248"/>
  <c r="K144" i="248"/>
  <c r="A54" i="86"/>
  <c r="C170" i="248"/>
  <c r="A208" i="248"/>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A18" i="237"/>
  <c r="A20" i="237"/>
  <c r="A40" i="237"/>
  <c r="C52" i="237"/>
  <c r="C16" i="237" s="1"/>
  <c r="D52" i="237"/>
  <c r="D16" i="237"/>
  <c r="E52" i="237"/>
  <c r="E16" i="237" s="1"/>
  <c r="F52" i="237"/>
  <c r="F16" i="237" s="1"/>
  <c r="G52" i="237"/>
  <c r="G16" i="237" s="1"/>
  <c r="H52" i="237"/>
  <c r="H16" i="237"/>
  <c r="I52" i="237"/>
  <c r="I16" i="237" s="1"/>
  <c r="J52" i="237"/>
  <c r="J16" i="237" s="1"/>
  <c r="K52" i="237"/>
  <c r="K16" i="237" s="1"/>
  <c r="L52" i="237"/>
  <c r="L16" i="237" s="1"/>
  <c r="A53" i="237"/>
  <c r="A54" i="237"/>
  <c r="C54" i="237"/>
  <c r="C67" i="237" s="1"/>
  <c r="D54" i="237"/>
  <c r="D67" i="237" s="1"/>
  <c r="E54" i="237"/>
  <c r="F54" i="237"/>
  <c r="F67" i="237" s="1"/>
  <c r="G54" i="237"/>
  <c r="G67" i="237" s="1"/>
  <c r="H54" i="237"/>
  <c r="H67" i="237" s="1"/>
  <c r="I54" i="237"/>
  <c r="I67" i="237"/>
  <c r="J54" i="237"/>
  <c r="J67" i="237" s="1"/>
  <c r="K54" i="237"/>
  <c r="K67" i="237" s="1"/>
  <c r="L54" i="237"/>
  <c r="L67" i="237" s="1"/>
  <c r="A55" i="237"/>
  <c r="A56" i="237"/>
  <c r="E67" i="237"/>
  <c r="A2" i="131"/>
  <c r="B2" i="131"/>
  <c r="C3" i="131"/>
  <c r="D3" i="131"/>
  <c r="E3" i="131"/>
  <c r="F3" i="131"/>
  <c r="G3" i="131"/>
  <c r="H3" i="131"/>
  <c r="I3" i="131"/>
  <c r="J8" i="131"/>
  <c r="J9" i="131"/>
  <c r="K9" i="131"/>
  <c r="L9" i="131"/>
  <c r="J10" i="131"/>
  <c r="K10" i="131"/>
  <c r="L10" i="131"/>
  <c r="J11" i="131"/>
  <c r="J12" i="131"/>
  <c r="K12" i="131"/>
  <c r="L12" i="131"/>
  <c r="J14" i="131"/>
  <c r="K14" i="131"/>
  <c r="L14" i="131"/>
  <c r="J15" i="131"/>
  <c r="K15" i="131"/>
  <c r="L15" i="131"/>
  <c r="J16" i="131"/>
  <c r="K16" i="131"/>
  <c r="L16" i="131"/>
  <c r="C17" i="131"/>
  <c r="D17" i="131"/>
  <c r="C42" i="86" s="1"/>
  <c r="E17" i="131"/>
  <c r="F17" i="131"/>
  <c r="E42" i="86"/>
  <c r="G17" i="131"/>
  <c r="F42" i="86" s="1"/>
  <c r="H17" i="131"/>
  <c r="G42" i="86" s="1"/>
  <c r="I17" i="131"/>
  <c r="H42" i="86" s="1"/>
  <c r="J21" i="131"/>
  <c r="K21" i="131"/>
  <c r="L21" i="131"/>
  <c r="J22" i="131"/>
  <c r="K22" i="131"/>
  <c r="L22" i="131"/>
  <c r="J23" i="131"/>
  <c r="K23" i="131"/>
  <c r="L23" i="131"/>
  <c r="J24" i="131"/>
  <c r="K24" i="131"/>
  <c r="L24" i="131"/>
  <c r="J26" i="131"/>
  <c r="C27" i="131"/>
  <c r="B43" i="86"/>
  <c r="D27" i="131"/>
  <c r="C43" i="86" s="1"/>
  <c r="E27" i="131"/>
  <c r="D43" i="86" s="1"/>
  <c r="F27" i="131"/>
  <c r="G27" i="131"/>
  <c r="H27" i="131"/>
  <c r="G43" i="86" s="1"/>
  <c r="I27" i="131"/>
  <c r="J31" i="131"/>
  <c r="K31" i="131"/>
  <c r="L31" i="131"/>
  <c r="L49" i="88" s="1"/>
  <c r="J32" i="131"/>
  <c r="K32" i="131"/>
  <c r="L32" i="131"/>
  <c r="J33" i="131"/>
  <c r="K33" i="131"/>
  <c r="L33" i="131"/>
  <c r="L48" i="131" s="1"/>
  <c r="J35" i="131"/>
  <c r="K35" i="131"/>
  <c r="K49" i="131" s="1"/>
  <c r="L35" i="131"/>
  <c r="L49" i="131"/>
  <c r="C36" i="131"/>
  <c r="D36" i="131"/>
  <c r="E36" i="131"/>
  <c r="D44" i="86"/>
  <c r="F36" i="131"/>
  <c r="E44" i="86" s="1"/>
  <c r="G36" i="131"/>
  <c r="H36" i="131"/>
  <c r="G44" i="86" s="1"/>
  <c r="I36" i="131"/>
  <c r="H44" i="86" s="1"/>
  <c r="A41" i="131"/>
  <c r="C45" i="131"/>
  <c r="D45" i="131"/>
  <c r="E45" i="131"/>
  <c r="F45" i="131"/>
  <c r="G45" i="131"/>
  <c r="H45" i="131"/>
  <c r="I45" i="131"/>
  <c r="C46" i="131"/>
  <c r="D46" i="131"/>
  <c r="E46" i="131"/>
  <c r="F46" i="131"/>
  <c r="G46" i="131"/>
  <c r="G47" i="131" s="1"/>
  <c r="H46" i="131"/>
  <c r="I46" i="131"/>
  <c r="C48" i="131"/>
  <c r="D48" i="131"/>
  <c r="E48" i="131"/>
  <c r="F48" i="131"/>
  <c r="G48" i="131"/>
  <c r="H48" i="131"/>
  <c r="I48" i="131"/>
  <c r="A49" i="131"/>
  <c r="C49" i="131"/>
  <c r="D49" i="131"/>
  <c r="E49" i="131"/>
  <c r="F49" i="131"/>
  <c r="G49" i="131"/>
  <c r="H49" i="131"/>
  <c r="I49" i="131"/>
  <c r="A2" i="129"/>
  <c r="B2" i="129"/>
  <c r="C3" i="129"/>
  <c r="D3" i="129"/>
  <c r="E3" i="129"/>
  <c r="F3" i="129"/>
  <c r="G3" i="129"/>
  <c r="H3" i="129"/>
  <c r="I3" i="129"/>
  <c r="F7" i="129"/>
  <c r="H19" i="129"/>
  <c r="G37" i="129"/>
  <c r="A49" i="129"/>
  <c r="A2" i="343"/>
  <c r="B2" i="343"/>
  <c r="C3" i="343"/>
  <c r="D3" i="343"/>
  <c r="E3" i="343"/>
  <c r="F3" i="343"/>
  <c r="G3" i="343"/>
  <c r="H3" i="343"/>
  <c r="I3" i="343"/>
  <c r="C6" i="343"/>
  <c r="C6" i="126" s="1"/>
  <c r="D6" i="343"/>
  <c r="E6" i="343"/>
  <c r="F6" i="343"/>
  <c r="F6" i="126" s="1"/>
  <c r="G6" i="343"/>
  <c r="H6" i="343"/>
  <c r="H6" i="126" s="1"/>
  <c r="I6" i="343"/>
  <c r="I6" i="126"/>
  <c r="N6" i="343"/>
  <c r="O6" i="343"/>
  <c r="P6" i="343"/>
  <c r="R6" i="343"/>
  <c r="S6" i="343"/>
  <c r="T6" i="343"/>
  <c r="V6" i="343"/>
  <c r="W6" i="343"/>
  <c r="X6" i="343"/>
  <c r="A7" i="343"/>
  <c r="A177" i="343" s="1"/>
  <c r="L7" i="343"/>
  <c r="Q7" i="343"/>
  <c r="U7" i="343"/>
  <c r="K7" i="343" s="1"/>
  <c r="A8" i="343"/>
  <c r="A178" i="343" s="1"/>
  <c r="L8" i="343"/>
  <c r="Q8" i="343"/>
  <c r="J8" i="343" s="1"/>
  <c r="U8" i="343"/>
  <c r="K8" i="343" s="1"/>
  <c r="A9" i="343"/>
  <c r="A179" i="343" s="1"/>
  <c r="L9" i="343"/>
  <c r="Q9" i="343"/>
  <c r="J9" i="343" s="1"/>
  <c r="U9" i="343"/>
  <c r="K9" i="343" s="1"/>
  <c r="A10" i="343"/>
  <c r="A180" i="343" s="1"/>
  <c r="L10" i="343"/>
  <c r="Q10" i="343"/>
  <c r="J10" i="343" s="1"/>
  <c r="U10" i="343"/>
  <c r="K10" i="343" s="1"/>
  <c r="A11" i="343"/>
  <c r="L11" i="343"/>
  <c r="Q11" i="343"/>
  <c r="J11" i="343" s="1"/>
  <c r="U11" i="343"/>
  <c r="A12" i="343"/>
  <c r="A182" i="343" s="1"/>
  <c r="L12" i="343"/>
  <c r="Q12" i="343"/>
  <c r="J12" i="343" s="1"/>
  <c r="U12" i="343"/>
  <c r="K12" i="343" s="1"/>
  <c r="A13" i="343"/>
  <c r="A183" i="343" s="1"/>
  <c r="L13" i="343"/>
  <c r="Q13" i="343"/>
  <c r="J13" i="343" s="1"/>
  <c r="U13" i="343"/>
  <c r="K13" i="343"/>
  <c r="A14" i="343"/>
  <c r="A184" i="343" s="1"/>
  <c r="L14" i="343"/>
  <c r="Q14" i="343"/>
  <c r="J14" i="343"/>
  <c r="U14" i="343"/>
  <c r="K14" i="343" s="1"/>
  <c r="A15" i="343"/>
  <c r="A185" i="343" s="1"/>
  <c r="L15" i="343"/>
  <c r="Q15" i="343"/>
  <c r="J15" i="343" s="1"/>
  <c r="U15" i="343"/>
  <c r="K15" i="343" s="1"/>
  <c r="A16" i="343"/>
  <c r="A186" i="343" s="1"/>
  <c r="L16" i="343"/>
  <c r="Q16" i="343"/>
  <c r="J16" i="343" s="1"/>
  <c r="U16" i="343"/>
  <c r="K16" i="343" s="1"/>
  <c r="C17" i="343"/>
  <c r="D17" i="343"/>
  <c r="E17" i="343"/>
  <c r="F17" i="343"/>
  <c r="F7" i="126" s="1"/>
  <c r="G17" i="343"/>
  <c r="G7" i="126"/>
  <c r="H17" i="343"/>
  <c r="H7" i="126" s="1"/>
  <c r="I17" i="343"/>
  <c r="I7" i="126"/>
  <c r="N17" i="343"/>
  <c r="O17" i="343"/>
  <c r="P17" i="343"/>
  <c r="R17" i="343"/>
  <c r="S17" i="343"/>
  <c r="T17" i="343"/>
  <c r="V17" i="343"/>
  <c r="W17" i="343"/>
  <c r="X17" i="343"/>
  <c r="A18" i="343"/>
  <c r="A188" i="343" s="1"/>
  <c r="L18" i="343"/>
  <c r="Q18" i="343"/>
  <c r="J18" i="343" s="1"/>
  <c r="U18" i="343"/>
  <c r="A19" i="343"/>
  <c r="A189" i="343" s="1"/>
  <c r="L19" i="343"/>
  <c r="Q19" i="343"/>
  <c r="J19" i="343" s="1"/>
  <c r="U19" i="343"/>
  <c r="K19" i="343" s="1"/>
  <c r="A20" i="343"/>
  <c r="A190" i="343" s="1"/>
  <c r="L20" i="343"/>
  <c r="Q20" i="343"/>
  <c r="J20" i="343" s="1"/>
  <c r="U20" i="343"/>
  <c r="A21" i="343"/>
  <c r="A191" i="343" s="1"/>
  <c r="L21" i="343"/>
  <c r="Q21" i="343"/>
  <c r="J21" i="343" s="1"/>
  <c r="U21" i="343"/>
  <c r="A22" i="343"/>
  <c r="A192" i="343" s="1"/>
  <c r="L22" i="343"/>
  <c r="Q22" i="343"/>
  <c r="U22" i="343"/>
  <c r="K22" i="343" s="1"/>
  <c r="A23" i="343"/>
  <c r="A193" i="343" s="1"/>
  <c r="L23" i="343"/>
  <c r="Q23" i="343"/>
  <c r="J23" i="343" s="1"/>
  <c r="U23" i="343"/>
  <c r="K23" i="343" s="1"/>
  <c r="A24" i="343"/>
  <c r="A194" i="343" s="1"/>
  <c r="L24" i="343"/>
  <c r="Q24" i="343"/>
  <c r="J24" i="343" s="1"/>
  <c r="U24" i="343"/>
  <c r="K24" i="343" s="1"/>
  <c r="A25" i="343"/>
  <c r="A195" i="343" s="1"/>
  <c r="L25" i="343"/>
  <c r="Q25" i="343"/>
  <c r="J25" i="343" s="1"/>
  <c r="U25" i="343"/>
  <c r="K25" i="343" s="1"/>
  <c r="A26" i="343"/>
  <c r="A196" i="343" s="1"/>
  <c r="L26" i="343"/>
  <c r="Q26" i="343"/>
  <c r="J26" i="343" s="1"/>
  <c r="U26" i="343"/>
  <c r="K26" i="343" s="1"/>
  <c r="A27" i="343"/>
  <c r="A197" i="343" s="1"/>
  <c r="L27" i="343"/>
  <c r="Q27" i="343"/>
  <c r="J27" i="343" s="1"/>
  <c r="U27" i="343"/>
  <c r="K27" i="343"/>
  <c r="C28" i="343"/>
  <c r="C8" i="126" s="1"/>
  <c r="D28" i="343"/>
  <c r="D8" i="126" s="1"/>
  <c r="E28" i="343"/>
  <c r="F28" i="343"/>
  <c r="G28" i="343"/>
  <c r="G8" i="126"/>
  <c r="H28" i="343"/>
  <c r="H8" i="126" s="1"/>
  <c r="I28" i="343"/>
  <c r="I8" i="126" s="1"/>
  <c r="N28" i="343"/>
  <c r="O28" i="343"/>
  <c r="P28" i="343"/>
  <c r="R28" i="343"/>
  <c r="S28" i="343"/>
  <c r="T28" i="343"/>
  <c r="V28" i="343"/>
  <c r="W28" i="343"/>
  <c r="X28" i="343"/>
  <c r="A29" i="343"/>
  <c r="A199" i="343" s="1"/>
  <c r="L29" i="343"/>
  <c r="Q29" i="343"/>
  <c r="J29" i="343"/>
  <c r="U29" i="343"/>
  <c r="K29" i="343" s="1"/>
  <c r="A30" i="343"/>
  <c r="A200" i="343" s="1"/>
  <c r="L30" i="343"/>
  <c r="Q30" i="343"/>
  <c r="J30" i="343" s="1"/>
  <c r="U30" i="343"/>
  <c r="K30" i="343" s="1"/>
  <c r="A31" i="343"/>
  <c r="L31" i="343"/>
  <c r="Q31" i="343"/>
  <c r="J31" i="343" s="1"/>
  <c r="U31" i="343"/>
  <c r="K31" i="343" s="1"/>
  <c r="A32" i="343"/>
  <c r="A202" i="343" s="1"/>
  <c r="L32" i="343"/>
  <c r="Q32" i="343"/>
  <c r="J32" i="343" s="1"/>
  <c r="U32" i="343"/>
  <c r="K32" i="343" s="1"/>
  <c r="A33" i="343"/>
  <c r="A203" i="343" s="1"/>
  <c r="L33" i="343"/>
  <c r="Q33" i="343"/>
  <c r="J33" i="343" s="1"/>
  <c r="U33" i="343"/>
  <c r="K33" i="343" s="1"/>
  <c r="A34" i="343"/>
  <c r="A204" i="343" s="1"/>
  <c r="L34" i="343"/>
  <c r="Q34" i="343"/>
  <c r="U34" i="343"/>
  <c r="K34" i="343" s="1"/>
  <c r="A35" i="343"/>
  <c r="A205" i="343" s="1"/>
  <c r="L35" i="343"/>
  <c r="Q35" i="343"/>
  <c r="J35" i="343" s="1"/>
  <c r="U35" i="343"/>
  <c r="K35" i="343" s="1"/>
  <c r="A36" i="343"/>
  <c r="A206" i="343" s="1"/>
  <c r="L36" i="343"/>
  <c r="Q36" i="343"/>
  <c r="J36" i="343"/>
  <c r="U36" i="343"/>
  <c r="K36" i="343" s="1"/>
  <c r="A37" i="343"/>
  <c r="A207" i="343" s="1"/>
  <c r="L37" i="343"/>
  <c r="Q37" i="343"/>
  <c r="J37" i="343" s="1"/>
  <c r="U37" i="343"/>
  <c r="K37" i="343" s="1"/>
  <c r="A38" i="343"/>
  <c r="A208" i="343" s="1"/>
  <c r="L38" i="343"/>
  <c r="Q38" i="343"/>
  <c r="J38" i="343" s="1"/>
  <c r="U38" i="343"/>
  <c r="K38" i="343"/>
  <c r="C39" i="343"/>
  <c r="D39" i="343"/>
  <c r="E39" i="343"/>
  <c r="E9" i="126"/>
  <c r="F39" i="343"/>
  <c r="F9" i="126" s="1"/>
  <c r="G39" i="343"/>
  <c r="H39" i="343"/>
  <c r="I39" i="343"/>
  <c r="I9" i="126" s="1"/>
  <c r="N39" i="343"/>
  <c r="O39" i="343"/>
  <c r="P39" i="343"/>
  <c r="R39" i="343"/>
  <c r="S39" i="343"/>
  <c r="T39" i="343"/>
  <c r="V39" i="343"/>
  <c r="W39" i="343"/>
  <c r="X39" i="343"/>
  <c r="A40" i="343"/>
  <c r="A210" i="343" s="1"/>
  <c r="L40" i="343"/>
  <c r="Q40" i="343"/>
  <c r="J40" i="343" s="1"/>
  <c r="U40" i="343"/>
  <c r="K40" i="343" s="1"/>
  <c r="A41" i="343"/>
  <c r="A211" i="343" s="1"/>
  <c r="L41" i="343"/>
  <c r="Q41" i="343"/>
  <c r="J41" i="343" s="1"/>
  <c r="U41" i="343"/>
  <c r="K41" i="343" s="1"/>
  <c r="A42" i="343"/>
  <c r="A212" i="343" s="1"/>
  <c r="L42" i="343"/>
  <c r="Q42" i="343"/>
  <c r="U42" i="343"/>
  <c r="K42" i="343" s="1"/>
  <c r="A43" i="343"/>
  <c r="A213" i="343" s="1"/>
  <c r="L43" i="343"/>
  <c r="Q43" i="343"/>
  <c r="J43" i="343" s="1"/>
  <c r="U43" i="343"/>
  <c r="K43" i="343" s="1"/>
  <c r="A44" i="343"/>
  <c r="A214" i="343" s="1"/>
  <c r="L44" i="343"/>
  <c r="Q44" i="343"/>
  <c r="J44" i="343" s="1"/>
  <c r="U44" i="343"/>
  <c r="K44" i="343" s="1"/>
  <c r="A45" i="343"/>
  <c r="A215" i="343" s="1"/>
  <c r="L45" i="343"/>
  <c r="Q45" i="343"/>
  <c r="J45" i="343" s="1"/>
  <c r="U45" i="343"/>
  <c r="K45" i="343" s="1"/>
  <c r="A46" i="343"/>
  <c r="A216" i="343" s="1"/>
  <c r="L46" i="343"/>
  <c r="Q46" i="343"/>
  <c r="J46" i="343" s="1"/>
  <c r="U46" i="343"/>
  <c r="K46" i="343" s="1"/>
  <c r="A47" i="343"/>
  <c r="A217" i="343" s="1"/>
  <c r="L47" i="343"/>
  <c r="Q47" i="343"/>
  <c r="J47" i="343"/>
  <c r="U47" i="343"/>
  <c r="K47" i="343" s="1"/>
  <c r="A48" i="343"/>
  <c r="A218" i="343" s="1"/>
  <c r="L48" i="343"/>
  <c r="Q48" i="343"/>
  <c r="J48" i="343" s="1"/>
  <c r="U48" i="343"/>
  <c r="K48" i="343" s="1"/>
  <c r="A49" i="343"/>
  <c r="A219" i="343" s="1"/>
  <c r="L49" i="343"/>
  <c r="Q49" i="343"/>
  <c r="J49" i="343" s="1"/>
  <c r="U49" i="343"/>
  <c r="K49" i="343" s="1"/>
  <c r="C50" i="343"/>
  <c r="D50" i="343"/>
  <c r="D10" i="126"/>
  <c r="E50" i="343"/>
  <c r="E10" i="126" s="1"/>
  <c r="F50" i="343"/>
  <c r="F10" i="126" s="1"/>
  <c r="G50" i="343"/>
  <c r="G10" i="126" s="1"/>
  <c r="H50" i="343"/>
  <c r="H10" i="126" s="1"/>
  <c r="I50" i="343"/>
  <c r="N50" i="343"/>
  <c r="O50" i="343"/>
  <c r="P50" i="343"/>
  <c r="R50" i="343"/>
  <c r="S50" i="343"/>
  <c r="T50" i="343"/>
  <c r="V50" i="343"/>
  <c r="W50" i="343"/>
  <c r="X50" i="343"/>
  <c r="A51" i="343"/>
  <c r="A221" i="343" s="1"/>
  <c r="L51" i="343"/>
  <c r="Q51" i="343"/>
  <c r="U51" i="343"/>
  <c r="K51" i="343"/>
  <c r="A52" i="343"/>
  <c r="A222" i="343" s="1"/>
  <c r="L52" i="343"/>
  <c r="Q52" i="343"/>
  <c r="J52" i="343"/>
  <c r="U52" i="343"/>
  <c r="K52" i="343" s="1"/>
  <c r="A53" i="343"/>
  <c r="A223" i="343" s="1"/>
  <c r="L53" i="343"/>
  <c r="Q53" i="343"/>
  <c r="J53" i="343" s="1"/>
  <c r="U53" i="343"/>
  <c r="K53" i="343" s="1"/>
  <c r="A54" i="343"/>
  <c r="A224" i="343" s="1"/>
  <c r="L54" i="343"/>
  <c r="Q54" i="343"/>
  <c r="J54" i="343" s="1"/>
  <c r="U54" i="343"/>
  <c r="K54" i="343" s="1"/>
  <c r="A55" i="343"/>
  <c r="L55" i="343"/>
  <c r="Q55" i="343"/>
  <c r="J55" i="343" s="1"/>
  <c r="U55" i="343"/>
  <c r="K55" i="343" s="1"/>
  <c r="A56" i="343"/>
  <c r="A226" i="343" s="1"/>
  <c r="L56" i="343"/>
  <c r="Q56" i="343"/>
  <c r="J56" i="343" s="1"/>
  <c r="U56" i="343"/>
  <c r="K56" i="343" s="1"/>
  <c r="A57" i="343"/>
  <c r="A227" i="343" s="1"/>
  <c r="L57" i="343"/>
  <c r="Q57" i="343"/>
  <c r="J57" i="343" s="1"/>
  <c r="U57" i="343"/>
  <c r="K57" i="343" s="1"/>
  <c r="A58" i="343"/>
  <c r="A228" i="343" s="1"/>
  <c r="L58" i="343"/>
  <c r="Q58" i="343"/>
  <c r="J58" i="343"/>
  <c r="U58" i="343"/>
  <c r="K58" i="343" s="1"/>
  <c r="A59" i="343"/>
  <c r="A229" i="343" s="1"/>
  <c r="L59" i="343"/>
  <c r="Q59" i="343"/>
  <c r="J59" i="343" s="1"/>
  <c r="U59" i="343"/>
  <c r="K59" i="343" s="1"/>
  <c r="A60" i="343"/>
  <c r="A230" i="343" s="1"/>
  <c r="L60" i="343"/>
  <c r="Q60" i="343"/>
  <c r="J60" i="343" s="1"/>
  <c r="U60" i="343"/>
  <c r="K60" i="343" s="1"/>
  <c r="C61" i="343"/>
  <c r="D61" i="343"/>
  <c r="D11" i="126" s="1"/>
  <c r="E61" i="343"/>
  <c r="F61" i="343"/>
  <c r="F11" i="126"/>
  <c r="G61" i="343"/>
  <c r="H61" i="343"/>
  <c r="I61" i="343"/>
  <c r="I11" i="126" s="1"/>
  <c r="N61" i="343"/>
  <c r="O61" i="343"/>
  <c r="P61" i="343"/>
  <c r="R61" i="343"/>
  <c r="S61" i="343"/>
  <c r="T61" i="343"/>
  <c r="V61" i="343"/>
  <c r="W61" i="343"/>
  <c r="X61" i="343"/>
  <c r="A63" i="343"/>
  <c r="L63" i="343"/>
  <c r="Q63" i="343"/>
  <c r="U63" i="343"/>
  <c r="K63" i="343" s="1"/>
  <c r="A64" i="343"/>
  <c r="A234" i="343" s="1"/>
  <c r="L64" i="343"/>
  <c r="Q64" i="343"/>
  <c r="U64" i="343"/>
  <c r="K64" i="343" s="1"/>
  <c r="A65" i="343"/>
  <c r="A235" i="343" s="1"/>
  <c r="L65" i="343"/>
  <c r="Q65" i="343"/>
  <c r="J65" i="343" s="1"/>
  <c r="U65" i="343"/>
  <c r="K65" i="343" s="1"/>
  <c r="A66" i="343"/>
  <c r="A236" i="343" s="1"/>
  <c r="L66" i="343"/>
  <c r="Q66" i="343"/>
  <c r="J66" i="343" s="1"/>
  <c r="U66" i="343"/>
  <c r="K66" i="343" s="1"/>
  <c r="A67" i="343"/>
  <c r="A237" i="343" s="1"/>
  <c r="L67" i="343"/>
  <c r="Q67" i="343"/>
  <c r="J67" i="343"/>
  <c r="U67" i="343"/>
  <c r="K67" i="343" s="1"/>
  <c r="A68" i="343"/>
  <c r="A238" i="343" s="1"/>
  <c r="L68" i="343"/>
  <c r="Q68" i="343"/>
  <c r="J68" i="343"/>
  <c r="U68" i="343"/>
  <c r="K68" i="343" s="1"/>
  <c r="A69" i="343"/>
  <c r="A239" i="343" s="1"/>
  <c r="L69" i="343"/>
  <c r="Q69" i="343"/>
  <c r="J69" i="343" s="1"/>
  <c r="U69" i="343"/>
  <c r="K69" i="343" s="1"/>
  <c r="A70" i="343"/>
  <c r="A240" i="343" s="1"/>
  <c r="L70" i="343"/>
  <c r="Q70" i="343"/>
  <c r="J70" i="343" s="1"/>
  <c r="U70" i="343"/>
  <c r="K70" i="343" s="1"/>
  <c r="A71" i="343"/>
  <c r="A241" i="343" s="1"/>
  <c r="L71" i="343"/>
  <c r="Q71" i="343"/>
  <c r="J71" i="343" s="1"/>
  <c r="U71" i="343"/>
  <c r="K71" i="343" s="1"/>
  <c r="A72" i="343"/>
  <c r="A242" i="343" s="1"/>
  <c r="L72" i="343"/>
  <c r="Q72" i="343"/>
  <c r="J72" i="343" s="1"/>
  <c r="U72" i="343"/>
  <c r="K72" i="343"/>
  <c r="C73" i="343"/>
  <c r="C12" i="126" s="1"/>
  <c r="D73" i="343"/>
  <c r="D12" i="126" s="1"/>
  <c r="E73" i="343"/>
  <c r="E12" i="126" s="1"/>
  <c r="F73" i="343"/>
  <c r="G73" i="343"/>
  <c r="H73" i="343"/>
  <c r="H12" i="126" s="1"/>
  <c r="I73" i="343"/>
  <c r="N73" i="343"/>
  <c r="O73" i="343"/>
  <c r="P73" i="343"/>
  <c r="R73" i="343"/>
  <c r="S73" i="343"/>
  <c r="T73" i="343"/>
  <c r="V73" i="343"/>
  <c r="W73" i="343"/>
  <c r="X73" i="343"/>
  <c r="A74" i="343"/>
  <c r="A244" i="343" s="1"/>
  <c r="L74" i="343"/>
  <c r="Q74" i="343"/>
  <c r="J74" i="343"/>
  <c r="U74" i="343"/>
  <c r="K74" i="343" s="1"/>
  <c r="A75" i="343"/>
  <c r="A245" i="343" s="1"/>
  <c r="L75" i="343"/>
  <c r="Q75" i="343"/>
  <c r="J75" i="343" s="1"/>
  <c r="U75" i="343"/>
  <c r="K75" i="343" s="1"/>
  <c r="A76" i="343"/>
  <c r="A246" i="343" s="1"/>
  <c r="L76" i="343"/>
  <c r="Q76" i="343"/>
  <c r="J76" i="343" s="1"/>
  <c r="U76" i="343"/>
  <c r="K76" i="343" s="1"/>
  <c r="A77" i="343"/>
  <c r="A247" i="343" s="1"/>
  <c r="L77" i="343"/>
  <c r="Q77" i="343"/>
  <c r="J77" i="343"/>
  <c r="U77" i="343"/>
  <c r="K77" i="343" s="1"/>
  <c r="A78" i="343"/>
  <c r="A248" i="343" s="1"/>
  <c r="L78" i="343"/>
  <c r="Q78" i="343"/>
  <c r="J78" i="343" s="1"/>
  <c r="U78" i="343"/>
  <c r="K78" i="343" s="1"/>
  <c r="A79" i="343"/>
  <c r="A249" i="343" s="1"/>
  <c r="L79" i="343"/>
  <c r="Q79" i="343"/>
  <c r="U79" i="343"/>
  <c r="K79" i="343" s="1"/>
  <c r="A80" i="343"/>
  <c r="A250" i="343" s="1"/>
  <c r="L80" i="343"/>
  <c r="Q80" i="343"/>
  <c r="J80" i="343" s="1"/>
  <c r="U80" i="343"/>
  <c r="K80" i="343" s="1"/>
  <c r="A81" i="343"/>
  <c r="A251" i="343" s="1"/>
  <c r="L81" i="343"/>
  <c r="Q81" i="343"/>
  <c r="J81" i="343" s="1"/>
  <c r="U81" i="343"/>
  <c r="K81" i="343" s="1"/>
  <c r="A82" i="343"/>
  <c r="A252" i="343" s="1"/>
  <c r="L82" i="343"/>
  <c r="Q82" i="343"/>
  <c r="J82" i="343" s="1"/>
  <c r="U82" i="343"/>
  <c r="K82" i="343" s="1"/>
  <c r="A83" i="343"/>
  <c r="A253" i="343" s="1"/>
  <c r="L83" i="343"/>
  <c r="Q83" i="343"/>
  <c r="J83" i="343" s="1"/>
  <c r="U83" i="343"/>
  <c r="K83" i="343" s="1"/>
  <c r="C84" i="343"/>
  <c r="C13" i="126" s="1"/>
  <c r="D84" i="343"/>
  <c r="D13" i="126" s="1"/>
  <c r="E84" i="343"/>
  <c r="E13" i="126" s="1"/>
  <c r="F84" i="343"/>
  <c r="F13" i="126" s="1"/>
  <c r="G84" i="343"/>
  <c r="H84" i="343"/>
  <c r="H13" i="126" s="1"/>
  <c r="I84" i="343"/>
  <c r="N84" i="343"/>
  <c r="O84" i="343"/>
  <c r="P84" i="343"/>
  <c r="R84" i="343"/>
  <c r="S84" i="343"/>
  <c r="T84" i="343"/>
  <c r="V84" i="343"/>
  <c r="W84" i="343"/>
  <c r="X84" i="343"/>
  <c r="A85" i="343"/>
  <c r="A255" i="343" s="1"/>
  <c r="L85" i="343"/>
  <c r="Q85" i="343"/>
  <c r="U85" i="343"/>
  <c r="K85" i="343" s="1"/>
  <c r="A86" i="343"/>
  <c r="L86" i="343"/>
  <c r="Q86" i="343"/>
  <c r="J86" i="343" s="1"/>
  <c r="U86" i="343"/>
  <c r="K86" i="343" s="1"/>
  <c r="A87" i="343"/>
  <c r="A257" i="343" s="1"/>
  <c r="L87" i="343"/>
  <c r="Q87" i="343"/>
  <c r="J87" i="343" s="1"/>
  <c r="U87" i="343"/>
  <c r="K87" i="343" s="1"/>
  <c r="A88" i="343"/>
  <c r="A258" i="343" s="1"/>
  <c r="L88" i="343"/>
  <c r="Q88" i="343"/>
  <c r="J88" i="343" s="1"/>
  <c r="U88" i="343"/>
  <c r="K88" i="343" s="1"/>
  <c r="A89" i="343"/>
  <c r="A259" i="343" s="1"/>
  <c r="L89" i="343"/>
  <c r="Q89" i="343"/>
  <c r="J89" i="343" s="1"/>
  <c r="U89" i="343"/>
  <c r="K89" i="343" s="1"/>
  <c r="A90" i="343"/>
  <c r="A260" i="343" s="1"/>
  <c r="L90" i="343"/>
  <c r="Q90" i="343"/>
  <c r="J90" i="343" s="1"/>
  <c r="U90" i="343"/>
  <c r="K90" i="343" s="1"/>
  <c r="A91" i="343"/>
  <c r="A261" i="343" s="1"/>
  <c r="L91" i="343"/>
  <c r="Q91" i="343"/>
  <c r="J91" i="343" s="1"/>
  <c r="U91" i="343"/>
  <c r="K91" i="343" s="1"/>
  <c r="A92" i="343"/>
  <c r="A262" i="343" s="1"/>
  <c r="L92" i="343"/>
  <c r="Q92" i="343"/>
  <c r="J92" i="343" s="1"/>
  <c r="U92" i="343"/>
  <c r="K92" i="343"/>
  <c r="A93" i="343"/>
  <c r="A263" i="343" s="1"/>
  <c r="L93" i="343"/>
  <c r="Q93" i="343"/>
  <c r="J93" i="343" s="1"/>
  <c r="U93" i="343"/>
  <c r="K93" i="343" s="1"/>
  <c r="A94" i="343"/>
  <c r="A264" i="343" s="1"/>
  <c r="L94" i="343"/>
  <c r="Q94" i="343"/>
  <c r="J94" i="343"/>
  <c r="U94" i="343"/>
  <c r="K94" i="343" s="1"/>
  <c r="C95" i="343"/>
  <c r="D95" i="343"/>
  <c r="E95" i="343"/>
  <c r="E14" i="126" s="1"/>
  <c r="F95" i="343"/>
  <c r="F14" i="126" s="1"/>
  <c r="G95" i="343"/>
  <c r="G14" i="126" s="1"/>
  <c r="H95" i="343"/>
  <c r="H14" i="126"/>
  <c r="I95" i="343"/>
  <c r="I14" i="126"/>
  <c r="N95" i="343"/>
  <c r="N172" i="343" s="1"/>
  <c r="O95" i="343"/>
  <c r="P95" i="343"/>
  <c r="R95" i="343"/>
  <c r="S95" i="343"/>
  <c r="T95" i="343"/>
  <c r="V95" i="343"/>
  <c r="W95" i="343"/>
  <c r="X95" i="343"/>
  <c r="A96" i="343"/>
  <c r="A266" i="343" s="1"/>
  <c r="L96" i="343"/>
  <c r="Q96" i="343"/>
  <c r="U96" i="343"/>
  <c r="A97" i="343"/>
  <c r="A267" i="343" s="1"/>
  <c r="L97" i="343"/>
  <c r="Q97" i="343"/>
  <c r="J97" i="343" s="1"/>
  <c r="U97" i="343"/>
  <c r="U95" i="343" s="1"/>
  <c r="A98" i="343"/>
  <c r="A268" i="343" s="1"/>
  <c r="L98" i="343"/>
  <c r="Q98" i="343"/>
  <c r="J98" i="343" s="1"/>
  <c r="U98" i="343"/>
  <c r="K98" i="343" s="1"/>
  <c r="A99" i="343"/>
  <c r="A269" i="343" s="1"/>
  <c r="L99" i="343"/>
  <c r="Q99" i="343"/>
  <c r="J99" i="343" s="1"/>
  <c r="U99" i="343"/>
  <c r="K99" i="343" s="1"/>
  <c r="A100" i="343"/>
  <c r="A270" i="343" s="1"/>
  <c r="L100" i="343"/>
  <c r="Q100" i="343"/>
  <c r="J100" i="343"/>
  <c r="U100" i="343"/>
  <c r="K100" i="343" s="1"/>
  <c r="A101" i="343"/>
  <c r="A271" i="343" s="1"/>
  <c r="L101" i="343"/>
  <c r="Q101" i="343"/>
  <c r="J101" i="343" s="1"/>
  <c r="U101" i="343"/>
  <c r="K101" i="343"/>
  <c r="A102" i="343"/>
  <c r="L102" i="343"/>
  <c r="Q102" i="343"/>
  <c r="J102" i="343" s="1"/>
  <c r="U102" i="343"/>
  <c r="K102" i="343" s="1"/>
  <c r="A103" i="343"/>
  <c r="A273" i="343" s="1"/>
  <c r="L103" i="343"/>
  <c r="Q103" i="343"/>
  <c r="J103" i="343" s="1"/>
  <c r="U103" i="343"/>
  <c r="K103" i="343" s="1"/>
  <c r="A104" i="343"/>
  <c r="L104" i="343"/>
  <c r="Q104" i="343"/>
  <c r="J104" i="343" s="1"/>
  <c r="U104" i="343"/>
  <c r="K104" i="343" s="1"/>
  <c r="A105" i="343"/>
  <c r="A275" i="343" s="1"/>
  <c r="L105" i="343"/>
  <c r="Q105" i="343"/>
  <c r="J105" i="343" s="1"/>
  <c r="U105" i="343"/>
  <c r="K105" i="343" s="1"/>
  <c r="C106" i="343"/>
  <c r="C15" i="126" s="1"/>
  <c r="D106" i="343"/>
  <c r="E106" i="343"/>
  <c r="F106" i="343"/>
  <c r="F15" i="126" s="1"/>
  <c r="G106" i="343"/>
  <c r="G15" i="126" s="1"/>
  <c r="H106" i="343"/>
  <c r="H15" i="126" s="1"/>
  <c r="I106" i="343"/>
  <c r="I15" i="126" s="1"/>
  <c r="N106" i="343"/>
  <c r="O106" i="343"/>
  <c r="P106" i="343"/>
  <c r="R106" i="343"/>
  <c r="S106" i="343"/>
  <c r="T106" i="343"/>
  <c r="V106" i="343"/>
  <c r="W106" i="343"/>
  <c r="X106" i="343"/>
  <c r="A107" i="343"/>
  <c r="A277" i="343" s="1"/>
  <c r="L107" i="343"/>
  <c r="Q107" i="343"/>
  <c r="U107" i="343"/>
  <c r="A108" i="343"/>
  <c r="A278" i="343" s="1"/>
  <c r="L108" i="343"/>
  <c r="Q108" i="343"/>
  <c r="J108" i="343" s="1"/>
  <c r="U108" i="343"/>
  <c r="K108" i="343" s="1"/>
  <c r="A109" i="343"/>
  <c r="A279" i="343" s="1"/>
  <c r="L109" i="343"/>
  <c r="Q109" i="343"/>
  <c r="J109" i="343" s="1"/>
  <c r="U109" i="343"/>
  <c r="K109" i="343" s="1"/>
  <c r="A110" i="343"/>
  <c r="A280" i="343" s="1"/>
  <c r="L110" i="343"/>
  <c r="Q110" i="343"/>
  <c r="J110" i="343" s="1"/>
  <c r="U110" i="343"/>
  <c r="K110" i="343" s="1"/>
  <c r="A111" i="343"/>
  <c r="A281" i="343" s="1"/>
  <c r="L111" i="343"/>
  <c r="Q111" i="343"/>
  <c r="J111" i="343" s="1"/>
  <c r="U111" i="343"/>
  <c r="K111" i="343" s="1"/>
  <c r="A112" i="343"/>
  <c r="A282" i="343" s="1"/>
  <c r="L112" i="343"/>
  <c r="Q112" i="343"/>
  <c r="J112" i="343" s="1"/>
  <c r="U112" i="343"/>
  <c r="K112" i="343" s="1"/>
  <c r="A113" i="343"/>
  <c r="A283" i="343"/>
  <c r="L113" i="343"/>
  <c r="Q113" i="343"/>
  <c r="J113" i="343" s="1"/>
  <c r="U113" i="343"/>
  <c r="K113" i="343"/>
  <c r="A114" i="343"/>
  <c r="A284" i="343" s="1"/>
  <c r="L114" i="343"/>
  <c r="Q114" i="343"/>
  <c r="J114" i="343" s="1"/>
  <c r="U114" i="343"/>
  <c r="A115" i="343"/>
  <c r="A285" i="343" s="1"/>
  <c r="L115" i="343"/>
  <c r="Q115" i="343"/>
  <c r="J115" i="343" s="1"/>
  <c r="U115" i="343"/>
  <c r="K115" i="343" s="1"/>
  <c r="A116" i="343"/>
  <c r="A286" i="343" s="1"/>
  <c r="L116" i="343"/>
  <c r="Q116" i="343"/>
  <c r="J116" i="343"/>
  <c r="U116" i="343"/>
  <c r="K116" i="343" s="1"/>
  <c r="C117" i="343"/>
  <c r="C16" i="126" s="1"/>
  <c r="D117" i="343"/>
  <c r="E117" i="343"/>
  <c r="F117" i="343"/>
  <c r="F16" i="126" s="1"/>
  <c r="G117" i="343"/>
  <c r="H117" i="343"/>
  <c r="I117" i="343"/>
  <c r="N117" i="343"/>
  <c r="O117" i="343"/>
  <c r="P117" i="343"/>
  <c r="R117" i="343"/>
  <c r="S117" i="343"/>
  <c r="T117" i="343"/>
  <c r="V117" i="343"/>
  <c r="W117" i="343"/>
  <c r="X117" i="343"/>
  <c r="A118" i="343"/>
  <c r="A288" i="343" s="1"/>
  <c r="L118" i="343"/>
  <c r="Q118" i="343"/>
  <c r="J118" i="343" s="1"/>
  <c r="U118" i="343"/>
  <c r="K118" i="343" s="1"/>
  <c r="A119" i="343"/>
  <c r="A289" i="343" s="1"/>
  <c r="L119" i="343"/>
  <c r="Q119" i="343"/>
  <c r="U119" i="343"/>
  <c r="K119" i="343" s="1"/>
  <c r="A120" i="343"/>
  <c r="A290" i="343" s="1"/>
  <c r="L120" i="343"/>
  <c r="Q120" i="343"/>
  <c r="J120" i="343" s="1"/>
  <c r="U120" i="343"/>
  <c r="K120" i="343" s="1"/>
  <c r="A121" i="343"/>
  <c r="A291" i="343" s="1"/>
  <c r="L121" i="343"/>
  <c r="Q121" i="343"/>
  <c r="J121" i="343" s="1"/>
  <c r="U121" i="343"/>
  <c r="K121" i="343" s="1"/>
  <c r="A122" i="343"/>
  <c r="A292" i="343" s="1"/>
  <c r="L122" i="343"/>
  <c r="Q122" i="343"/>
  <c r="J122" i="343" s="1"/>
  <c r="U122" i="343"/>
  <c r="K122" i="343" s="1"/>
  <c r="A123" i="343"/>
  <c r="A293" i="343" s="1"/>
  <c r="L123" i="343"/>
  <c r="Q123" i="343"/>
  <c r="J123" i="343" s="1"/>
  <c r="U123" i="343"/>
  <c r="K123" i="343" s="1"/>
  <c r="A124" i="343"/>
  <c r="A294" i="343" s="1"/>
  <c r="L124" i="343"/>
  <c r="Q124" i="343"/>
  <c r="J124" i="343" s="1"/>
  <c r="U124" i="343"/>
  <c r="K124" i="343" s="1"/>
  <c r="A125" i="343"/>
  <c r="A295" i="343" s="1"/>
  <c r="L125" i="343"/>
  <c r="Q125" i="343"/>
  <c r="J125" i="343" s="1"/>
  <c r="U125" i="343"/>
  <c r="K125" i="343" s="1"/>
  <c r="A126" i="343"/>
  <c r="A296" i="343" s="1"/>
  <c r="L126" i="343"/>
  <c r="Q126" i="343"/>
  <c r="J126" i="343" s="1"/>
  <c r="U126" i="343"/>
  <c r="K126" i="343" s="1"/>
  <c r="A127" i="343"/>
  <c r="A297" i="343" s="1"/>
  <c r="L127" i="343"/>
  <c r="Q127" i="343"/>
  <c r="J127" i="343" s="1"/>
  <c r="U127" i="343"/>
  <c r="K127" i="343" s="1"/>
  <c r="C128" i="343"/>
  <c r="C17" i="126" s="1"/>
  <c r="D128" i="343"/>
  <c r="D17" i="126" s="1"/>
  <c r="E128" i="343"/>
  <c r="E17" i="126"/>
  <c r="F128" i="343"/>
  <c r="F17" i="126" s="1"/>
  <c r="G128" i="343"/>
  <c r="G17" i="126" s="1"/>
  <c r="H128" i="343"/>
  <c r="H17" i="126" s="1"/>
  <c r="I128" i="343"/>
  <c r="I17" i="126" s="1"/>
  <c r="N128" i="343"/>
  <c r="O128" i="343"/>
  <c r="P128" i="343"/>
  <c r="R128" i="343"/>
  <c r="S128" i="343"/>
  <c r="T128" i="343"/>
  <c r="V128" i="343"/>
  <c r="W128" i="343"/>
  <c r="X128" i="343"/>
  <c r="A129" i="343"/>
  <c r="A299" i="343" s="1"/>
  <c r="L129" i="343"/>
  <c r="Q129" i="343"/>
  <c r="J129" i="343" s="1"/>
  <c r="U129" i="343"/>
  <c r="K129" i="343" s="1"/>
  <c r="A130" i="343"/>
  <c r="A300" i="343" s="1"/>
  <c r="L130" i="343"/>
  <c r="Q130" i="343"/>
  <c r="J130" i="343" s="1"/>
  <c r="U130" i="343"/>
  <c r="K130" i="343"/>
  <c r="A131" i="343"/>
  <c r="A301" i="343" s="1"/>
  <c r="L131" i="343"/>
  <c r="Q131" i="343"/>
  <c r="J131" i="343" s="1"/>
  <c r="U131" i="343"/>
  <c r="K131" i="343" s="1"/>
  <c r="A132" i="343"/>
  <c r="A302" i="343" s="1"/>
  <c r="L132" i="343"/>
  <c r="Q132" i="343"/>
  <c r="U132" i="343"/>
  <c r="K132" i="343" s="1"/>
  <c r="A133" i="343"/>
  <c r="A303" i="343" s="1"/>
  <c r="L133" i="343"/>
  <c r="Q133" i="343"/>
  <c r="J133" i="343" s="1"/>
  <c r="U133" i="343"/>
  <c r="K133" i="343" s="1"/>
  <c r="A134" i="343"/>
  <c r="A304" i="343" s="1"/>
  <c r="L134" i="343"/>
  <c r="Q134" i="343"/>
  <c r="J134" i="343" s="1"/>
  <c r="U134" i="343"/>
  <c r="K134" i="343" s="1"/>
  <c r="A135" i="343"/>
  <c r="L135" i="343"/>
  <c r="Q135" i="343"/>
  <c r="J135" i="343"/>
  <c r="U135" i="343"/>
  <c r="K135" i="343" s="1"/>
  <c r="A136" i="343"/>
  <c r="A306" i="343" s="1"/>
  <c r="L136" i="343"/>
  <c r="Q136" i="343"/>
  <c r="J136" i="343" s="1"/>
  <c r="U136" i="343"/>
  <c r="A137" i="343"/>
  <c r="A307" i="343" s="1"/>
  <c r="L137" i="343"/>
  <c r="Q137" i="343"/>
  <c r="J137" i="343" s="1"/>
  <c r="U137" i="343"/>
  <c r="K137" i="343" s="1"/>
  <c r="A138" i="343"/>
  <c r="A308" i="343" s="1"/>
  <c r="L138" i="343"/>
  <c r="L17" i="233" s="1"/>
  <c r="Q138" i="343"/>
  <c r="J138" i="343" s="1"/>
  <c r="U138" i="343"/>
  <c r="C139" i="343"/>
  <c r="C18" i="126" s="1"/>
  <c r="D139" i="343"/>
  <c r="E139" i="343"/>
  <c r="F139" i="343"/>
  <c r="F18" i="126" s="1"/>
  <c r="G139" i="343"/>
  <c r="G18" i="126" s="1"/>
  <c r="H139" i="343"/>
  <c r="I139" i="343"/>
  <c r="I18" i="126" s="1"/>
  <c r="N139" i="343"/>
  <c r="O139" i="343"/>
  <c r="P139" i="343"/>
  <c r="R139" i="343"/>
  <c r="S139" i="343"/>
  <c r="T139" i="343"/>
  <c r="V139" i="343"/>
  <c r="W139" i="343"/>
  <c r="X139" i="343"/>
  <c r="A140" i="343"/>
  <c r="A310" i="343" s="1"/>
  <c r="L140" i="343"/>
  <c r="Q140" i="343"/>
  <c r="U140" i="343"/>
  <c r="K140" i="343" s="1"/>
  <c r="A141" i="343"/>
  <c r="A311" i="343" s="1"/>
  <c r="L141" i="343"/>
  <c r="Q141" i="343"/>
  <c r="J141" i="343" s="1"/>
  <c r="U141" i="343"/>
  <c r="A142" i="343"/>
  <c r="A312" i="343" s="1"/>
  <c r="L142" i="343"/>
  <c r="Q142" i="343"/>
  <c r="J142" i="343" s="1"/>
  <c r="U142" i="343"/>
  <c r="K142" i="343" s="1"/>
  <c r="A143" i="343"/>
  <c r="A313" i="343" s="1"/>
  <c r="L143" i="343"/>
  <c r="Q143" i="343"/>
  <c r="J143" i="343" s="1"/>
  <c r="U143" i="343"/>
  <c r="K143" i="343" s="1"/>
  <c r="A144" i="343"/>
  <c r="A314" i="343" s="1"/>
  <c r="L144" i="343"/>
  <c r="Q144" i="343"/>
  <c r="J144" i="343" s="1"/>
  <c r="U144" i="343"/>
  <c r="K144" i="343"/>
  <c r="A145" i="343"/>
  <c r="A315" i="343" s="1"/>
  <c r="L145" i="343"/>
  <c r="Q145" i="343"/>
  <c r="J145" i="343" s="1"/>
  <c r="U145" i="343"/>
  <c r="K145" i="343" s="1"/>
  <c r="A146" i="343"/>
  <c r="A316" i="343" s="1"/>
  <c r="L146" i="343"/>
  <c r="Q146" i="343"/>
  <c r="J146" i="343" s="1"/>
  <c r="U146" i="343"/>
  <c r="K146" i="343" s="1"/>
  <c r="A147" i="343"/>
  <c r="A317" i="343" s="1"/>
  <c r="L147" i="343"/>
  <c r="Q147" i="343"/>
  <c r="J147" i="343" s="1"/>
  <c r="U147" i="343"/>
  <c r="K147" i="343" s="1"/>
  <c r="A148" i="343"/>
  <c r="A318" i="343" s="1"/>
  <c r="L148" i="343"/>
  <c r="Q148" i="343"/>
  <c r="J148" i="343" s="1"/>
  <c r="U148" i="343"/>
  <c r="K148" i="343" s="1"/>
  <c r="A149" i="343"/>
  <c r="A319" i="343" s="1"/>
  <c r="L149" i="343"/>
  <c r="Q149" i="343"/>
  <c r="J149" i="343" s="1"/>
  <c r="U149" i="343"/>
  <c r="K149" i="343" s="1"/>
  <c r="C150" i="343"/>
  <c r="D150" i="343"/>
  <c r="D19" i="126" s="1"/>
  <c r="E150" i="343"/>
  <c r="E19" i="126" s="1"/>
  <c r="F150" i="343"/>
  <c r="G150" i="343"/>
  <c r="H150" i="343"/>
  <c r="H19" i="126" s="1"/>
  <c r="I150" i="343"/>
  <c r="I19" i="126"/>
  <c r="N150" i="343"/>
  <c r="O150" i="343"/>
  <c r="P150" i="343"/>
  <c r="R150" i="343"/>
  <c r="S150" i="343"/>
  <c r="T150" i="343"/>
  <c r="V150" i="343"/>
  <c r="W150" i="343"/>
  <c r="X150" i="343"/>
  <c r="A151" i="343"/>
  <c r="A321" i="343" s="1"/>
  <c r="L151" i="343"/>
  <c r="Q151" i="343"/>
  <c r="J151" i="343" s="1"/>
  <c r="U151" i="343"/>
  <c r="K151" i="343" s="1"/>
  <c r="A152" i="343"/>
  <c r="A322" i="343" s="1"/>
  <c r="L152" i="343"/>
  <c r="Q152" i="343"/>
  <c r="U152" i="343"/>
  <c r="K152" i="343" s="1"/>
  <c r="A153" i="343"/>
  <c r="A323" i="343" s="1"/>
  <c r="L153" i="343"/>
  <c r="Q153" i="343"/>
  <c r="J153" i="343" s="1"/>
  <c r="U153" i="343"/>
  <c r="K153" i="343" s="1"/>
  <c r="A154" i="343"/>
  <c r="A324" i="343" s="1"/>
  <c r="L154" i="343"/>
  <c r="Q154" i="343"/>
  <c r="J154" i="343" s="1"/>
  <c r="U154" i="343"/>
  <c r="A155" i="343"/>
  <c r="A325" i="343" s="1"/>
  <c r="L155" i="343"/>
  <c r="Q155" i="343"/>
  <c r="J155" i="343" s="1"/>
  <c r="U155" i="343"/>
  <c r="A156" i="343"/>
  <c r="A326" i="343" s="1"/>
  <c r="L156" i="343"/>
  <c r="Q156" i="343"/>
  <c r="J156" i="343" s="1"/>
  <c r="U156" i="343"/>
  <c r="K156" i="343" s="1"/>
  <c r="A157" i="343"/>
  <c r="A327" i="343" s="1"/>
  <c r="L157" i="343"/>
  <c r="Q157" i="343"/>
  <c r="J157" i="343" s="1"/>
  <c r="U157" i="343"/>
  <c r="K157" i="343" s="1"/>
  <c r="A158" i="343"/>
  <c r="A328" i="343" s="1"/>
  <c r="L158" i="343"/>
  <c r="Q158" i="343"/>
  <c r="J158" i="343" s="1"/>
  <c r="U158" i="343"/>
  <c r="K158" i="343" s="1"/>
  <c r="A159" i="343"/>
  <c r="A329" i="343" s="1"/>
  <c r="L159" i="343"/>
  <c r="Q159" i="343"/>
  <c r="J159" i="343" s="1"/>
  <c r="U159" i="343"/>
  <c r="K159" i="343" s="1"/>
  <c r="A160" i="343"/>
  <c r="A330" i="343" s="1"/>
  <c r="L160" i="343"/>
  <c r="L19" i="233" s="1"/>
  <c r="Q160" i="343"/>
  <c r="J160" i="343" s="1"/>
  <c r="U160" i="343"/>
  <c r="K160" i="343" s="1"/>
  <c r="C161" i="343"/>
  <c r="C20" i="126" s="1"/>
  <c r="D161" i="343"/>
  <c r="D20" i="126" s="1"/>
  <c r="E161" i="343"/>
  <c r="E20" i="126" s="1"/>
  <c r="F161" i="343"/>
  <c r="G161" i="343"/>
  <c r="G20" i="126" s="1"/>
  <c r="H161" i="343"/>
  <c r="H20" i="126" s="1"/>
  <c r="I161" i="343"/>
  <c r="I20" i="126" s="1"/>
  <c r="N161" i="343"/>
  <c r="O161" i="343"/>
  <c r="P161" i="343"/>
  <c r="R161" i="343"/>
  <c r="S161" i="343"/>
  <c r="T161" i="343"/>
  <c r="V161" i="343"/>
  <c r="W161" i="343"/>
  <c r="X161" i="343"/>
  <c r="A162" i="343"/>
  <c r="A332" i="343" s="1"/>
  <c r="L162" i="343"/>
  <c r="Q162" i="343"/>
  <c r="J162" i="343" s="1"/>
  <c r="U162" i="343"/>
  <c r="A163" i="343"/>
  <c r="A333" i="343" s="1"/>
  <c r="L163" i="343"/>
  <c r="Q163" i="343"/>
  <c r="J163" i="343" s="1"/>
  <c r="U163" i="343"/>
  <c r="K163" i="343" s="1"/>
  <c r="A164" i="343"/>
  <c r="A334" i="343" s="1"/>
  <c r="L164" i="343"/>
  <c r="Q164" i="343"/>
  <c r="J164" i="343" s="1"/>
  <c r="U164" i="343"/>
  <c r="K164" i="343" s="1"/>
  <c r="A165" i="343"/>
  <c r="A335" i="343" s="1"/>
  <c r="L165" i="343"/>
  <c r="Q165" i="343"/>
  <c r="U165" i="343"/>
  <c r="K165" i="343" s="1"/>
  <c r="A166" i="343"/>
  <c r="A336" i="343" s="1"/>
  <c r="L166" i="343"/>
  <c r="Q166" i="343"/>
  <c r="J166" i="343" s="1"/>
  <c r="U166" i="343"/>
  <c r="K166" i="343" s="1"/>
  <c r="A167" i="343"/>
  <c r="A337" i="343" s="1"/>
  <c r="L167" i="343"/>
  <c r="Q167" i="343"/>
  <c r="J167" i="343" s="1"/>
  <c r="U167" i="343"/>
  <c r="K167" i="343" s="1"/>
  <c r="A168" i="343"/>
  <c r="A338" i="343" s="1"/>
  <c r="L168" i="343"/>
  <c r="Q168" i="343"/>
  <c r="U168" i="343"/>
  <c r="K168" i="343" s="1"/>
  <c r="A169" i="343"/>
  <c r="A339" i="343" s="1"/>
  <c r="L169" i="343"/>
  <c r="Q169" i="343"/>
  <c r="J169" i="343" s="1"/>
  <c r="U169" i="343"/>
  <c r="K169" i="343" s="1"/>
  <c r="A170" i="343"/>
  <c r="A340" i="343" s="1"/>
  <c r="L170" i="343"/>
  <c r="Q170" i="343"/>
  <c r="J170" i="343" s="1"/>
  <c r="U170" i="343"/>
  <c r="K170" i="343" s="1"/>
  <c r="A171" i="343"/>
  <c r="A341" i="343" s="1"/>
  <c r="L171" i="343"/>
  <c r="Q171" i="343"/>
  <c r="J171" i="343" s="1"/>
  <c r="U171" i="343"/>
  <c r="K171" i="343" s="1"/>
  <c r="C176" i="343"/>
  <c r="D176" i="343"/>
  <c r="D24" i="126" s="1"/>
  <c r="E176" i="343"/>
  <c r="E24" i="126" s="1"/>
  <c r="F176" i="343"/>
  <c r="F24" i="126"/>
  <c r="G176" i="343"/>
  <c r="G24" i="126" s="1"/>
  <c r="H176" i="343"/>
  <c r="I176" i="343"/>
  <c r="I24" i="126" s="1"/>
  <c r="J176" i="343"/>
  <c r="J24" i="126" s="1"/>
  <c r="O23" i="140" s="1"/>
  <c r="K176" i="343"/>
  <c r="L176" i="343"/>
  <c r="A181" i="343"/>
  <c r="C187" i="343"/>
  <c r="C25" i="126" s="1"/>
  <c r="D187" i="343"/>
  <c r="D25" i="126" s="1"/>
  <c r="E187" i="343"/>
  <c r="E25" i="126" s="1"/>
  <c r="F187" i="343"/>
  <c r="F25" i="126" s="1"/>
  <c r="G187" i="343"/>
  <c r="G25" i="126" s="1"/>
  <c r="H187" i="343"/>
  <c r="H25" i="126" s="1"/>
  <c r="I187" i="343"/>
  <c r="I25" i="126" s="1"/>
  <c r="J187" i="343"/>
  <c r="K187" i="343"/>
  <c r="L187" i="343"/>
  <c r="L25" i="126" s="1"/>
  <c r="Q24" i="140" s="1"/>
  <c r="C198" i="343"/>
  <c r="C26" i="126" s="1"/>
  <c r="D198" i="343"/>
  <c r="D26" i="126" s="1"/>
  <c r="E198" i="343"/>
  <c r="E26" i="126" s="1"/>
  <c r="F198" i="343"/>
  <c r="G198" i="343"/>
  <c r="G26" i="126" s="1"/>
  <c r="H198" i="343"/>
  <c r="I198" i="343"/>
  <c r="I26" i="126" s="1"/>
  <c r="J198" i="343"/>
  <c r="J26" i="126" s="1"/>
  <c r="K198" i="343"/>
  <c r="K26" i="126" s="1"/>
  <c r="P25" i="140" s="1"/>
  <c r="L198" i="343"/>
  <c r="L26" i="126" s="1"/>
  <c r="Q25" i="140" s="1"/>
  <c r="A201" i="343"/>
  <c r="C209" i="343"/>
  <c r="D209" i="343"/>
  <c r="D27" i="126" s="1"/>
  <c r="E209" i="343"/>
  <c r="E27" i="126" s="1"/>
  <c r="F209" i="343"/>
  <c r="F27" i="126" s="1"/>
  <c r="G209" i="343"/>
  <c r="G27" i="126" s="1"/>
  <c r="H209" i="343"/>
  <c r="H27" i="126" s="1"/>
  <c r="I209" i="343"/>
  <c r="I27" i="126" s="1"/>
  <c r="J209" i="343"/>
  <c r="J27" i="126" s="1"/>
  <c r="O26" i="140" s="1"/>
  <c r="N26" i="140" s="1"/>
  <c r="K209" i="343"/>
  <c r="L209" i="343"/>
  <c r="C220" i="343"/>
  <c r="C28" i="126" s="1"/>
  <c r="D220" i="343"/>
  <c r="D28" i="126" s="1"/>
  <c r="E220" i="343"/>
  <c r="E28" i="126"/>
  <c r="F220" i="343"/>
  <c r="F28" i="126" s="1"/>
  <c r="G220" i="343"/>
  <c r="G28" i="126" s="1"/>
  <c r="H220" i="343"/>
  <c r="H28" i="126" s="1"/>
  <c r="I220" i="343"/>
  <c r="I28" i="126" s="1"/>
  <c r="J220" i="343"/>
  <c r="J28" i="126" s="1"/>
  <c r="O27" i="140" s="1"/>
  <c r="K220" i="343"/>
  <c r="K28" i="126" s="1"/>
  <c r="P27" i="140" s="1"/>
  <c r="L220" i="343"/>
  <c r="A225" i="343"/>
  <c r="C29" i="126"/>
  <c r="H29" i="126"/>
  <c r="I29" i="126"/>
  <c r="K29" i="126"/>
  <c r="P28" i="140" s="1"/>
  <c r="L29" i="126"/>
  <c r="Q28" i="140" s="1"/>
  <c r="C243" i="343"/>
  <c r="C30" i="126" s="1"/>
  <c r="D243" i="343"/>
  <c r="D30" i="126" s="1"/>
  <c r="E243" i="343"/>
  <c r="E30" i="126" s="1"/>
  <c r="F243" i="343"/>
  <c r="F30" i="126" s="1"/>
  <c r="G243" i="343"/>
  <c r="G30" i="126"/>
  <c r="H243" i="343"/>
  <c r="H30" i="126" s="1"/>
  <c r="I243" i="343"/>
  <c r="J243" i="343"/>
  <c r="J30" i="126" s="1"/>
  <c r="O29" i="140" s="1"/>
  <c r="N29" i="140" s="1"/>
  <c r="K243" i="343"/>
  <c r="K30" i="126" s="1"/>
  <c r="P29" i="140" s="1"/>
  <c r="L243" i="343"/>
  <c r="L30" i="126" s="1"/>
  <c r="Q29" i="140" s="1"/>
  <c r="C254" i="343"/>
  <c r="C31" i="126" s="1"/>
  <c r="D254" i="343"/>
  <c r="D31" i="126" s="1"/>
  <c r="E254" i="343"/>
  <c r="E31" i="126" s="1"/>
  <c r="F254" i="343"/>
  <c r="F31" i="126" s="1"/>
  <c r="G254" i="343"/>
  <c r="G31" i="126" s="1"/>
  <c r="H254" i="343"/>
  <c r="H31" i="126" s="1"/>
  <c r="I254" i="343"/>
  <c r="I31" i="126" s="1"/>
  <c r="J254" i="343"/>
  <c r="J31" i="126" s="1"/>
  <c r="O30" i="140" s="1"/>
  <c r="N30" i="140" s="1"/>
  <c r="K254" i="343"/>
  <c r="L254" i="343"/>
  <c r="L31" i="126" s="1"/>
  <c r="A256" i="343"/>
  <c r="C265" i="343"/>
  <c r="C32" i="126" s="1"/>
  <c r="D265" i="343"/>
  <c r="E265" i="343"/>
  <c r="E32" i="126" s="1"/>
  <c r="F265" i="343"/>
  <c r="G265" i="343"/>
  <c r="G32" i="126" s="1"/>
  <c r="H265" i="343"/>
  <c r="H32" i="126" s="1"/>
  <c r="I265" i="343"/>
  <c r="I32" i="126" s="1"/>
  <c r="J265" i="343"/>
  <c r="J32" i="126" s="1"/>
  <c r="O31" i="140" s="1"/>
  <c r="N31" i="140" s="1"/>
  <c r="K265" i="343"/>
  <c r="K32" i="126" s="1"/>
  <c r="P31" i="140" s="1"/>
  <c r="L265" i="343"/>
  <c r="L32" i="126" s="1"/>
  <c r="Q31" i="140" s="1"/>
  <c r="A272" i="343"/>
  <c r="A274" i="343"/>
  <c r="C276" i="343"/>
  <c r="C33" i="126" s="1"/>
  <c r="D276" i="343"/>
  <c r="D33" i="126" s="1"/>
  <c r="E276" i="343"/>
  <c r="E33" i="126" s="1"/>
  <c r="F276" i="343"/>
  <c r="F33" i="126" s="1"/>
  <c r="G276" i="343"/>
  <c r="G33" i="126" s="1"/>
  <c r="H276" i="343"/>
  <c r="H33" i="126" s="1"/>
  <c r="I276" i="343"/>
  <c r="I33" i="126" s="1"/>
  <c r="J276" i="343"/>
  <c r="J33" i="126" s="1"/>
  <c r="O32" i="140" s="1"/>
  <c r="N32" i="140" s="1"/>
  <c r="K276" i="343"/>
  <c r="K33" i="126" s="1"/>
  <c r="P32" i="140" s="1"/>
  <c r="L276" i="343"/>
  <c r="L33" i="126" s="1"/>
  <c r="Q32" i="140" s="1"/>
  <c r="C287" i="343"/>
  <c r="C34" i="126" s="1"/>
  <c r="D287" i="343"/>
  <c r="D34" i="126" s="1"/>
  <c r="E287" i="343"/>
  <c r="E34" i="126" s="1"/>
  <c r="F287" i="343"/>
  <c r="G287" i="343"/>
  <c r="G34" i="126"/>
  <c r="H287" i="343"/>
  <c r="I287" i="343"/>
  <c r="I34" i="126" s="1"/>
  <c r="J287" i="343"/>
  <c r="J34" i="126" s="1"/>
  <c r="O33" i="140" s="1"/>
  <c r="N33" i="140" s="1"/>
  <c r="K287" i="343"/>
  <c r="K34" i="126" s="1"/>
  <c r="P33" i="140" s="1"/>
  <c r="L287" i="343"/>
  <c r="L34" i="126" s="1"/>
  <c r="Q33" i="140" s="1"/>
  <c r="C298" i="343"/>
  <c r="C35" i="126" s="1"/>
  <c r="D298" i="343"/>
  <c r="D35" i="126" s="1"/>
  <c r="E298" i="343"/>
  <c r="E35" i="126" s="1"/>
  <c r="F298" i="343"/>
  <c r="F35" i="126" s="1"/>
  <c r="G298" i="343"/>
  <c r="H298" i="343"/>
  <c r="H35" i="126" s="1"/>
  <c r="I298" i="343"/>
  <c r="I35" i="126" s="1"/>
  <c r="J298" i="343"/>
  <c r="J35" i="126" s="1"/>
  <c r="O34" i="140"/>
  <c r="N34" i="140" s="1"/>
  <c r="K298" i="343"/>
  <c r="L298" i="343"/>
  <c r="L35" i="126" s="1"/>
  <c r="Q34" i="140" s="1"/>
  <c r="A305" i="343"/>
  <c r="C309" i="343"/>
  <c r="C36" i="126" s="1"/>
  <c r="D309" i="343"/>
  <c r="D36" i="126" s="1"/>
  <c r="E309" i="343"/>
  <c r="E36" i="126" s="1"/>
  <c r="F309" i="343"/>
  <c r="F36" i="126" s="1"/>
  <c r="G309" i="343"/>
  <c r="G36" i="126" s="1"/>
  <c r="H309" i="343"/>
  <c r="I309" i="343"/>
  <c r="I36" i="126" s="1"/>
  <c r="J309" i="343"/>
  <c r="J36" i="126" s="1"/>
  <c r="O35" i="140" s="1"/>
  <c r="N35" i="140" s="1"/>
  <c r="K309" i="343"/>
  <c r="K36" i="126" s="1"/>
  <c r="P35" i="140" s="1"/>
  <c r="L309" i="343"/>
  <c r="L36" i="126" s="1"/>
  <c r="Q35" i="140" s="1"/>
  <c r="C320" i="343"/>
  <c r="C37" i="126" s="1"/>
  <c r="D320" i="343"/>
  <c r="D37" i="126"/>
  <c r="E320" i="343"/>
  <c r="E37" i="126" s="1"/>
  <c r="F320" i="343"/>
  <c r="F37" i="126" s="1"/>
  <c r="G320" i="343"/>
  <c r="G37" i="126" s="1"/>
  <c r="H320" i="343"/>
  <c r="H37" i="126" s="1"/>
  <c r="I320" i="343"/>
  <c r="I37" i="126"/>
  <c r="J320" i="343"/>
  <c r="J37" i="126" s="1"/>
  <c r="O36" i="140" s="1"/>
  <c r="N36" i="140" s="1"/>
  <c r="K320" i="343"/>
  <c r="K37" i="126" s="1"/>
  <c r="P36" i="140" s="1"/>
  <c r="L320" i="343"/>
  <c r="L37" i="126" s="1"/>
  <c r="Q36" i="140" s="1"/>
  <c r="C331" i="343"/>
  <c r="C38" i="126" s="1"/>
  <c r="D331" i="343"/>
  <c r="D38" i="126" s="1"/>
  <c r="E331" i="343"/>
  <c r="E38" i="126" s="1"/>
  <c r="F331" i="343"/>
  <c r="F38" i="126" s="1"/>
  <c r="G331" i="343"/>
  <c r="G38" i="126" s="1"/>
  <c r="H331" i="343"/>
  <c r="I331" i="343"/>
  <c r="I38" i="126" s="1"/>
  <c r="J331" i="343"/>
  <c r="J38" i="126" s="1"/>
  <c r="O37" i="140" s="1"/>
  <c r="N37" i="140" s="1"/>
  <c r="K331" i="343"/>
  <c r="K38" i="126" s="1"/>
  <c r="P37" i="140" s="1"/>
  <c r="L331" i="343"/>
  <c r="L38" i="126" s="1"/>
  <c r="Q37" i="140" s="1"/>
  <c r="A2" i="126"/>
  <c r="B2" i="126"/>
  <c r="C3" i="126"/>
  <c r="D3" i="126"/>
  <c r="E3" i="126"/>
  <c r="F3" i="126"/>
  <c r="G3" i="126"/>
  <c r="H3" i="126"/>
  <c r="I3" i="126"/>
  <c r="E6" i="126"/>
  <c r="D7" i="126"/>
  <c r="E7" i="126"/>
  <c r="E8" i="126"/>
  <c r="C9" i="126"/>
  <c r="D9" i="126"/>
  <c r="G9" i="126"/>
  <c r="H9" i="126"/>
  <c r="C10" i="126"/>
  <c r="I10" i="126"/>
  <c r="C11" i="126"/>
  <c r="E11" i="126"/>
  <c r="G11" i="126"/>
  <c r="H11" i="126"/>
  <c r="F12" i="126"/>
  <c r="G12" i="126"/>
  <c r="I12" i="126"/>
  <c r="G13" i="126"/>
  <c r="C14" i="126"/>
  <c r="D14" i="126"/>
  <c r="D15" i="126"/>
  <c r="E15" i="126"/>
  <c r="D16" i="126"/>
  <c r="E16" i="126"/>
  <c r="I16" i="126"/>
  <c r="H18" i="126"/>
  <c r="C19" i="126"/>
  <c r="F19" i="126"/>
  <c r="G19" i="126"/>
  <c r="F20" i="126"/>
  <c r="H24" i="126"/>
  <c r="L24" i="126"/>
  <c r="K25" i="126"/>
  <c r="P24" i="140" s="1"/>
  <c r="H26" i="126"/>
  <c r="K27" i="126"/>
  <c r="P26" i="140" s="1"/>
  <c r="L28" i="126"/>
  <c r="E29" i="126"/>
  <c r="F29" i="126"/>
  <c r="G29" i="126"/>
  <c r="I30" i="126"/>
  <c r="K31" i="126"/>
  <c r="P30" i="140" s="1"/>
  <c r="D32" i="126"/>
  <c r="F34" i="126"/>
  <c r="H34" i="126"/>
  <c r="G35" i="126"/>
  <c r="K35" i="126"/>
  <c r="P34" i="140" s="1"/>
  <c r="H36" i="126"/>
  <c r="H38" i="126"/>
  <c r="C43" i="126"/>
  <c r="D43" i="126"/>
  <c r="E43" i="126"/>
  <c r="F43" i="126"/>
  <c r="G43" i="126"/>
  <c r="H43" i="126"/>
  <c r="I43" i="126"/>
  <c r="J43" i="126"/>
  <c r="O5" i="300" s="1"/>
  <c r="N5" i="300" s="1"/>
  <c r="K43" i="126"/>
  <c r="P5" i="300" s="1"/>
  <c r="L43" i="126"/>
  <c r="Q5" i="300" s="1"/>
  <c r="C47" i="126"/>
  <c r="D47" i="126"/>
  <c r="E47" i="126"/>
  <c r="F47" i="126"/>
  <c r="G47" i="126"/>
  <c r="H47" i="126"/>
  <c r="I47" i="126"/>
  <c r="J47" i="126"/>
  <c r="O9" i="300" s="1"/>
  <c r="N9" i="300" s="1"/>
  <c r="K47" i="126"/>
  <c r="P9" i="300" s="1"/>
  <c r="L47" i="126"/>
  <c r="C53" i="126"/>
  <c r="D53" i="126"/>
  <c r="E53" i="126"/>
  <c r="G53" i="126"/>
  <c r="H53" i="126"/>
  <c r="I53" i="126"/>
  <c r="J53" i="126"/>
  <c r="O15" i="300" s="1"/>
  <c r="N15" i="300" s="1"/>
  <c r="K53" i="126"/>
  <c r="P15" i="300" s="1"/>
  <c r="L53" i="126"/>
  <c r="Q15" i="300" s="1"/>
  <c r="C57" i="126"/>
  <c r="D57" i="126"/>
  <c r="E57" i="126"/>
  <c r="F57" i="126"/>
  <c r="G57" i="126"/>
  <c r="H57" i="126"/>
  <c r="I57" i="126"/>
  <c r="J57" i="126"/>
  <c r="O19" i="300" s="1"/>
  <c r="K57" i="126"/>
  <c r="P19" i="300" s="1"/>
  <c r="L57" i="126"/>
  <c r="Q19" i="300" s="1"/>
  <c r="C70" i="126"/>
  <c r="C60" i="316" s="1"/>
  <c r="D70" i="126"/>
  <c r="D74" i="126" s="1"/>
  <c r="E70" i="126"/>
  <c r="F70" i="126"/>
  <c r="E28" i="86" s="1"/>
  <c r="G70" i="126"/>
  <c r="G74" i="126" s="1"/>
  <c r="H70" i="126"/>
  <c r="I70" i="126"/>
  <c r="L70" i="126"/>
  <c r="L74" i="126" s="1"/>
  <c r="A75" i="126"/>
  <c r="A2" i="127"/>
  <c r="B2" i="127"/>
  <c r="M2" i="127"/>
  <c r="C3" i="127"/>
  <c r="D3" i="127"/>
  <c r="E3" i="127"/>
  <c r="F3" i="127"/>
  <c r="G3" i="127"/>
  <c r="H3" i="127"/>
  <c r="I3" i="127"/>
  <c r="C5" i="127"/>
  <c r="D45" i="123" s="1"/>
  <c r="D5" i="127"/>
  <c r="C5" i="86" s="1"/>
  <c r="J19" i="127"/>
  <c r="M21" i="127"/>
  <c r="N21" i="127"/>
  <c r="O21" i="127"/>
  <c r="P21" i="127"/>
  <c r="Q21" i="127"/>
  <c r="R21" i="127"/>
  <c r="S21" i="127"/>
  <c r="T21" i="127"/>
  <c r="T37" i="127" s="1"/>
  <c r="U21" i="127"/>
  <c r="V21" i="127"/>
  <c r="W21" i="127"/>
  <c r="X21" i="127"/>
  <c r="C27" i="127"/>
  <c r="B13" i="86" s="1"/>
  <c r="K33" i="127"/>
  <c r="P33" i="137" s="1"/>
  <c r="M35" i="127"/>
  <c r="N35" i="127"/>
  <c r="N37" i="127" s="1"/>
  <c r="O35" i="127"/>
  <c r="P35" i="127"/>
  <c r="Q35" i="127"/>
  <c r="R35" i="127"/>
  <c r="S35" i="127"/>
  <c r="T35" i="127"/>
  <c r="U35" i="127"/>
  <c r="V35" i="127"/>
  <c r="W35" i="127"/>
  <c r="X35" i="127"/>
  <c r="D39" i="127"/>
  <c r="C21" i="86" s="1"/>
  <c r="K39" i="127"/>
  <c r="P39" i="137" s="1"/>
  <c r="A47" i="127"/>
  <c r="A24" i="86" s="1"/>
  <c r="M47" i="127"/>
  <c r="N47" i="127"/>
  <c r="O47" i="127"/>
  <c r="P47" i="127"/>
  <c r="Q47" i="127"/>
  <c r="R47" i="127"/>
  <c r="S47" i="127"/>
  <c r="T47" i="127"/>
  <c r="U47" i="127"/>
  <c r="V47" i="127"/>
  <c r="W47" i="127"/>
  <c r="X47" i="127"/>
  <c r="A48" i="127"/>
  <c r="A2" i="342"/>
  <c r="B2" i="342"/>
  <c r="L2" i="342"/>
  <c r="C3" i="342"/>
  <c r="D3" i="342"/>
  <c r="E3" i="342"/>
  <c r="F3" i="342"/>
  <c r="G3" i="342"/>
  <c r="H3" i="342"/>
  <c r="C5" i="342"/>
  <c r="C5" i="233" s="1"/>
  <c r="D5" i="342"/>
  <c r="D5" i="233" s="1"/>
  <c r="E5" i="342"/>
  <c r="E5" i="233" s="1"/>
  <c r="F5" i="342"/>
  <c r="F5" i="233" s="1"/>
  <c r="G5" i="342"/>
  <c r="G5" i="233" s="1"/>
  <c r="H5" i="342"/>
  <c r="I5" i="342"/>
  <c r="I5" i="233" s="1"/>
  <c r="J5" i="342"/>
  <c r="J5" i="233" s="1"/>
  <c r="P5" i="299" s="1"/>
  <c r="K5" i="342"/>
  <c r="K5" i="233" s="1"/>
  <c r="Q5" i="299" s="1"/>
  <c r="A6" i="342"/>
  <c r="A175" i="342" s="1"/>
  <c r="A7" i="342"/>
  <c r="A176" i="342" s="1"/>
  <c r="A8" i="342"/>
  <c r="A177" i="342" s="1"/>
  <c r="A9" i="342"/>
  <c r="A178" i="342" s="1"/>
  <c r="A10" i="342"/>
  <c r="A179" i="342" s="1"/>
  <c r="A11" i="342"/>
  <c r="A180" i="342" s="1"/>
  <c r="A12" i="342"/>
  <c r="A13" i="342"/>
  <c r="A182" i="342" s="1"/>
  <c r="A14" i="342"/>
  <c r="A183" i="342" s="1"/>
  <c r="A15" i="342"/>
  <c r="A184" i="342" s="1"/>
  <c r="C16" i="342"/>
  <c r="C6" i="233" s="1"/>
  <c r="D16" i="342"/>
  <c r="D6" i="233" s="1"/>
  <c r="E16" i="342"/>
  <c r="E6" i="233" s="1"/>
  <c r="F16" i="342"/>
  <c r="G16" i="342"/>
  <c r="H16" i="342"/>
  <c r="I16" i="342"/>
  <c r="I6" i="233" s="1"/>
  <c r="O6" i="299" s="1"/>
  <c r="N6" i="299" s="1"/>
  <c r="J16" i="342"/>
  <c r="K16" i="342"/>
  <c r="K6" i="233" s="1"/>
  <c r="Q6" i="299" s="1"/>
  <c r="A17" i="342"/>
  <c r="A186" i="342" s="1"/>
  <c r="A18" i="342"/>
  <c r="A187" i="342" s="1"/>
  <c r="A19" i="342"/>
  <c r="A20" i="342"/>
  <c r="A189" i="342" s="1"/>
  <c r="A21" i="342"/>
  <c r="A190" i="342" s="1"/>
  <c r="A22" i="342"/>
  <c r="A191" i="342" s="1"/>
  <c r="A23" i="342"/>
  <c r="A192" i="342" s="1"/>
  <c r="A24" i="342"/>
  <c r="A193" i="342" s="1"/>
  <c r="A25" i="342"/>
  <c r="A194" i="342" s="1"/>
  <c r="A26" i="342"/>
  <c r="A195" i="342" s="1"/>
  <c r="C27" i="342"/>
  <c r="D27" i="342"/>
  <c r="D7" i="233" s="1"/>
  <c r="E27" i="342"/>
  <c r="E7" i="233" s="1"/>
  <c r="F27" i="342"/>
  <c r="F7" i="233" s="1"/>
  <c r="G27" i="342"/>
  <c r="G7" i="233" s="1"/>
  <c r="H27" i="342"/>
  <c r="I27" i="342"/>
  <c r="I7" i="233" s="1"/>
  <c r="O7" i="299" s="1"/>
  <c r="N7" i="299" s="1"/>
  <c r="J27" i="342"/>
  <c r="J7" i="233" s="1"/>
  <c r="P7" i="299" s="1"/>
  <c r="K27" i="342"/>
  <c r="K7" i="233" s="1"/>
  <c r="Q7" i="299" s="1"/>
  <c r="A28" i="342"/>
  <c r="A197" i="342" s="1"/>
  <c r="A29" i="342"/>
  <c r="A198" i="342" s="1"/>
  <c r="A30" i="342"/>
  <c r="A199" i="342" s="1"/>
  <c r="A31" i="342"/>
  <c r="A200" i="342" s="1"/>
  <c r="A32" i="342"/>
  <c r="A201" i="342" s="1"/>
  <c r="A33" i="342"/>
  <c r="A202" i="342" s="1"/>
  <c r="A34" i="342"/>
  <c r="A203" i="342" s="1"/>
  <c r="A35" i="342"/>
  <c r="A204" i="342" s="1"/>
  <c r="A36" i="342"/>
  <c r="A37" i="342"/>
  <c r="A206" i="342" s="1"/>
  <c r="C38" i="342"/>
  <c r="C8" i="233" s="1"/>
  <c r="D38" i="342"/>
  <c r="D8" i="233" s="1"/>
  <c r="E38" i="342"/>
  <c r="E8" i="233" s="1"/>
  <c r="F38" i="342"/>
  <c r="G38" i="342"/>
  <c r="H38" i="342"/>
  <c r="H8" i="233" s="1"/>
  <c r="I38" i="342"/>
  <c r="I8" i="233" s="1"/>
  <c r="O8" i="299" s="1"/>
  <c r="N8" i="299" s="1"/>
  <c r="J38" i="342"/>
  <c r="J8" i="233" s="1"/>
  <c r="P8" i="299" s="1"/>
  <c r="K38" i="342"/>
  <c r="K8" i="233" s="1"/>
  <c r="Q8" i="299" s="1"/>
  <c r="A39" i="342"/>
  <c r="A208" i="342" s="1"/>
  <c r="A40" i="342"/>
  <c r="A209" i="342" s="1"/>
  <c r="A41" i="342"/>
  <c r="A210" i="342" s="1"/>
  <c r="A42" i="342"/>
  <c r="A211" i="342" s="1"/>
  <c r="A43" i="342"/>
  <c r="A212" i="342" s="1"/>
  <c r="A44" i="342"/>
  <c r="A213" i="342" s="1"/>
  <c r="A45" i="342"/>
  <c r="A46" i="342"/>
  <c r="A215" i="342" s="1"/>
  <c r="A47" i="342"/>
  <c r="A216" i="342" s="1"/>
  <c r="A48" i="342"/>
  <c r="A217" i="342" s="1"/>
  <c r="C49" i="342"/>
  <c r="D49" i="342"/>
  <c r="D9" i="233" s="1"/>
  <c r="E49" i="342"/>
  <c r="E9" i="233" s="1"/>
  <c r="F49" i="342"/>
  <c r="F9" i="233" s="1"/>
  <c r="G49" i="342"/>
  <c r="H49" i="342"/>
  <c r="H9" i="233" s="1"/>
  <c r="I49" i="342"/>
  <c r="I9" i="233" s="1"/>
  <c r="O9" i="299" s="1"/>
  <c r="N9" i="299" s="1"/>
  <c r="J49" i="342"/>
  <c r="J9" i="233" s="1"/>
  <c r="P9" i="299" s="1"/>
  <c r="K49" i="342"/>
  <c r="K9" i="233" s="1"/>
  <c r="Q9" i="299" s="1"/>
  <c r="A50" i="342"/>
  <c r="A219" i="342" s="1"/>
  <c r="A51" i="342"/>
  <c r="A220" i="342" s="1"/>
  <c r="A52" i="342"/>
  <c r="A221" i="342" s="1"/>
  <c r="A53" i="342"/>
  <c r="A222" i="342" s="1"/>
  <c r="A54" i="342"/>
  <c r="A223" i="342" s="1"/>
  <c r="A55" i="342"/>
  <c r="A224" i="342" s="1"/>
  <c r="A56" i="342"/>
  <c r="A225" i="342" s="1"/>
  <c r="A57" i="342"/>
  <c r="A226" i="342" s="1"/>
  <c r="A58" i="342"/>
  <c r="A227" i="342" s="1"/>
  <c r="A59" i="342"/>
  <c r="A228" i="342" s="1"/>
  <c r="E10" i="233"/>
  <c r="F10" i="233"/>
  <c r="G10" i="233"/>
  <c r="H10" i="233"/>
  <c r="J10" i="233"/>
  <c r="P10" i="299" s="1"/>
  <c r="A230" i="342"/>
  <c r="A231" i="342"/>
  <c r="A232" i="342"/>
  <c r="A233" i="342"/>
  <c r="A234" i="342"/>
  <c r="A235" i="342"/>
  <c r="A236" i="342"/>
  <c r="A237" i="342"/>
  <c r="A238" i="342"/>
  <c r="A239" i="342"/>
  <c r="C11" i="233"/>
  <c r="D72" i="342"/>
  <c r="D11" i="233" s="1"/>
  <c r="E72" i="342"/>
  <c r="E11" i="233"/>
  <c r="F72" i="342"/>
  <c r="F11" i="233" s="1"/>
  <c r="G72" i="342"/>
  <c r="G11" i="233"/>
  <c r="H72" i="342"/>
  <c r="I72" i="342"/>
  <c r="I11" i="233" s="1"/>
  <c r="O11" i="299" s="1"/>
  <c r="N11" i="299" s="1"/>
  <c r="J72" i="342"/>
  <c r="J11" i="233" s="1"/>
  <c r="P11" i="299" s="1"/>
  <c r="K72" i="342"/>
  <c r="K11" i="233" s="1"/>
  <c r="Q11" i="299" s="1"/>
  <c r="A73" i="342"/>
  <c r="A241" i="342" s="1"/>
  <c r="A74" i="342"/>
  <c r="A242" i="342" s="1"/>
  <c r="A75" i="342"/>
  <c r="A243" i="342" s="1"/>
  <c r="A76" i="342"/>
  <c r="A244" i="342" s="1"/>
  <c r="A77" i="342"/>
  <c r="A245" i="342" s="1"/>
  <c r="A78" i="342"/>
  <c r="A246" i="342" s="1"/>
  <c r="A79" i="342"/>
  <c r="A247" i="342" s="1"/>
  <c r="A80" i="342"/>
  <c r="A248" i="342" s="1"/>
  <c r="A81" i="342"/>
  <c r="A249" i="342" s="1"/>
  <c r="A82" i="342"/>
  <c r="A250" i="342" s="1"/>
  <c r="C83" i="342"/>
  <c r="C12" i="233" s="1"/>
  <c r="D83" i="342"/>
  <c r="E83" i="342"/>
  <c r="E12" i="233"/>
  <c r="F83" i="342"/>
  <c r="G83" i="342"/>
  <c r="H83" i="342"/>
  <c r="H12" i="233"/>
  <c r="I83" i="342"/>
  <c r="I12" i="233" s="1"/>
  <c r="O12" i="299" s="1"/>
  <c r="N12" i="299" s="1"/>
  <c r="J83" i="342"/>
  <c r="J12" i="233" s="1"/>
  <c r="P12" i="299" s="1"/>
  <c r="K83" i="342"/>
  <c r="K12" i="233" s="1"/>
  <c r="Q12" i="299" s="1"/>
  <c r="A84" i="342"/>
  <c r="A252" i="342" s="1"/>
  <c r="A85" i="342"/>
  <c r="A253" i="342" s="1"/>
  <c r="A86" i="342"/>
  <c r="A254" i="342" s="1"/>
  <c r="A87" i="342"/>
  <c r="A255" i="342" s="1"/>
  <c r="A88" i="342"/>
  <c r="A256" i="342" s="1"/>
  <c r="A89" i="342"/>
  <c r="A257" i="342" s="1"/>
  <c r="A90" i="342"/>
  <c r="A258" i="342" s="1"/>
  <c r="A91" i="342"/>
  <c r="A259" i="342" s="1"/>
  <c r="A92" i="342"/>
  <c r="A260" i="342" s="1"/>
  <c r="A93" i="342"/>
  <c r="A261" i="342" s="1"/>
  <c r="C94" i="342"/>
  <c r="C13" i="233" s="1"/>
  <c r="D94" i="342"/>
  <c r="D13" i="233" s="1"/>
  <c r="E94" i="342"/>
  <c r="E13" i="233"/>
  <c r="F94" i="342"/>
  <c r="F13" i="233" s="1"/>
  <c r="G94" i="342"/>
  <c r="H94" i="342"/>
  <c r="H13" i="233" s="1"/>
  <c r="I94" i="342"/>
  <c r="I13" i="233" s="1"/>
  <c r="O13" i="299" s="1"/>
  <c r="N13" i="299" s="1"/>
  <c r="J94" i="342"/>
  <c r="J13" i="233" s="1"/>
  <c r="P13" i="299" s="1"/>
  <c r="K94" i="342"/>
  <c r="K13" i="233" s="1"/>
  <c r="Q13" i="299" s="1"/>
  <c r="A95" i="342"/>
  <c r="A263" i="342" s="1"/>
  <c r="A96" i="342"/>
  <c r="A264" i="342" s="1"/>
  <c r="A97" i="342"/>
  <c r="A265" i="342" s="1"/>
  <c r="A98" i="342"/>
  <c r="A266" i="342" s="1"/>
  <c r="A99" i="342"/>
  <c r="A267" i="342" s="1"/>
  <c r="A100" i="342"/>
  <c r="A268" i="342" s="1"/>
  <c r="A101" i="342"/>
  <c r="A269" i="342" s="1"/>
  <c r="A102" i="342"/>
  <c r="A270" i="342" s="1"/>
  <c r="A103" i="342"/>
  <c r="A271" i="342" s="1"/>
  <c r="A104" i="342"/>
  <c r="A272" i="342" s="1"/>
  <c r="C105" i="342"/>
  <c r="C14" i="233" s="1"/>
  <c r="D105" i="342"/>
  <c r="D14" i="233" s="1"/>
  <c r="E105" i="342"/>
  <c r="F105" i="342"/>
  <c r="F14" i="233"/>
  <c r="G105" i="342"/>
  <c r="G14" i="233" s="1"/>
  <c r="H105" i="342"/>
  <c r="H14" i="233" s="1"/>
  <c r="I105" i="342"/>
  <c r="I14" i="233"/>
  <c r="O14" i="299" s="1"/>
  <c r="N14" i="299" s="1"/>
  <c r="J105" i="342"/>
  <c r="K105" i="342"/>
  <c r="K14" i="233" s="1"/>
  <c r="Q14" i="299" s="1"/>
  <c r="A106" i="342"/>
  <c r="A274" i="342" s="1"/>
  <c r="A107" i="342"/>
  <c r="A275" i="342" s="1"/>
  <c r="A108" i="342"/>
  <c r="A276" i="342" s="1"/>
  <c r="A109" i="342"/>
  <c r="A277" i="342" s="1"/>
  <c r="A110" i="342"/>
  <c r="A278" i="342" s="1"/>
  <c r="A111" i="342"/>
  <c r="A279" i="342" s="1"/>
  <c r="A112" i="342"/>
  <c r="A280" i="342" s="1"/>
  <c r="A113" i="342"/>
  <c r="A281" i="342" s="1"/>
  <c r="A114" i="342"/>
  <c r="A282" i="342" s="1"/>
  <c r="A115" i="342"/>
  <c r="A283" i="342"/>
  <c r="C116" i="342"/>
  <c r="C15" i="233" s="1"/>
  <c r="D116" i="342"/>
  <c r="D15" i="233" s="1"/>
  <c r="E116" i="342"/>
  <c r="E15" i="233"/>
  <c r="F116" i="342"/>
  <c r="F15" i="233" s="1"/>
  <c r="G116" i="342"/>
  <c r="H116" i="342"/>
  <c r="I116" i="342"/>
  <c r="I15" i="233" s="1"/>
  <c r="O15" i="299" s="1"/>
  <c r="N15" i="299" s="1"/>
  <c r="J116" i="342"/>
  <c r="J15" i="233"/>
  <c r="P15" i="299" s="1"/>
  <c r="K116" i="342"/>
  <c r="A117" i="342"/>
  <c r="A285" i="342" s="1"/>
  <c r="A118" i="342"/>
  <c r="A286" i="342" s="1"/>
  <c r="A119" i="342"/>
  <c r="A287" i="342" s="1"/>
  <c r="A120" i="342"/>
  <c r="A288" i="342" s="1"/>
  <c r="A121" i="342"/>
  <c r="A122" i="342"/>
  <c r="A290" i="342" s="1"/>
  <c r="A123" i="342"/>
  <c r="A291" i="342" s="1"/>
  <c r="A124" i="342"/>
  <c r="A292" i="342" s="1"/>
  <c r="A125" i="342"/>
  <c r="A293" i="342" s="1"/>
  <c r="A126" i="342"/>
  <c r="A294" i="342" s="1"/>
  <c r="C127" i="342"/>
  <c r="C16" i="233"/>
  <c r="D127" i="342"/>
  <c r="D16" i="233" s="1"/>
  <c r="E127" i="342"/>
  <c r="E16" i="233" s="1"/>
  <c r="F127" i="342"/>
  <c r="F16" i="233" s="1"/>
  <c r="G127" i="342"/>
  <c r="G16" i="233" s="1"/>
  <c r="H127" i="342"/>
  <c r="H16" i="233" s="1"/>
  <c r="I127" i="342"/>
  <c r="I16" i="233"/>
  <c r="O16" i="299" s="1"/>
  <c r="N16" i="299" s="1"/>
  <c r="J127" i="342"/>
  <c r="J16" i="233" s="1"/>
  <c r="P16" i="299" s="1"/>
  <c r="K127" i="342"/>
  <c r="K16" i="233" s="1"/>
  <c r="Q16" i="299" s="1"/>
  <c r="A128" i="342"/>
  <c r="A296" i="342" s="1"/>
  <c r="A129" i="342"/>
  <c r="A297" i="342"/>
  <c r="A130" i="342"/>
  <c r="A298" i="342" s="1"/>
  <c r="A131" i="342"/>
  <c r="A299" i="342" s="1"/>
  <c r="A132" i="342"/>
  <c r="A300" i="342" s="1"/>
  <c r="A133" i="342"/>
  <c r="A301" i="342" s="1"/>
  <c r="A134" i="342"/>
  <c r="A302" i="342" s="1"/>
  <c r="A135" i="342"/>
  <c r="A303" i="342" s="1"/>
  <c r="A136" i="342"/>
  <c r="A304" i="342" s="1"/>
  <c r="A137" i="342"/>
  <c r="A305" i="342" s="1"/>
  <c r="C138" i="342"/>
  <c r="C17" i="233"/>
  <c r="D138" i="342"/>
  <c r="D17" i="233" s="1"/>
  <c r="E138" i="342"/>
  <c r="E17" i="233" s="1"/>
  <c r="F138" i="342"/>
  <c r="G138" i="342"/>
  <c r="G17" i="233" s="1"/>
  <c r="H138" i="342"/>
  <c r="H17" i="233" s="1"/>
  <c r="I138" i="342"/>
  <c r="I17" i="233"/>
  <c r="O17" i="299" s="1"/>
  <c r="N17" i="299" s="1"/>
  <c r="J138" i="342"/>
  <c r="J17" i="233" s="1"/>
  <c r="P17" i="299" s="1"/>
  <c r="K138" i="342"/>
  <c r="K17" i="233" s="1"/>
  <c r="Q17" i="299" s="1"/>
  <c r="A139" i="342"/>
  <c r="A307" i="342" s="1"/>
  <c r="A140" i="342"/>
  <c r="A308" i="342" s="1"/>
  <c r="A141" i="342"/>
  <c r="A142" i="342"/>
  <c r="A310" i="342" s="1"/>
  <c r="A143" i="342"/>
  <c r="A311" i="342" s="1"/>
  <c r="A144" i="342"/>
  <c r="A312" i="342" s="1"/>
  <c r="A145" i="342"/>
  <c r="A313" i="342" s="1"/>
  <c r="A146" i="342"/>
  <c r="A314" i="342" s="1"/>
  <c r="A147" i="342"/>
  <c r="A315" i="342" s="1"/>
  <c r="A148" i="342"/>
  <c r="A316" i="342" s="1"/>
  <c r="C149" i="342"/>
  <c r="C18" i="233"/>
  <c r="D149" i="342"/>
  <c r="D18" i="233" s="1"/>
  <c r="E149" i="342"/>
  <c r="E18" i="233"/>
  <c r="F149" i="342"/>
  <c r="F18" i="233" s="1"/>
  <c r="G149" i="342"/>
  <c r="G18" i="233" s="1"/>
  <c r="H149" i="342"/>
  <c r="H18" i="233" s="1"/>
  <c r="I149" i="342"/>
  <c r="I18" i="233" s="1"/>
  <c r="O18" i="299" s="1"/>
  <c r="N18" i="299" s="1"/>
  <c r="J149" i="342"/>
  <c r="J18" i="233" s="1"/>
  <c r="P18" i="299" s="1"/>
  <c r="K149" i="342"/>
  <c r="K18" i="233" s="1"/>
  <c r="Q18" i="299" s="1"/>
  <c r="A150" i="342"/>
  <c r="A318" i="342" s="1"/>
  <c r="A151" i="342"/>
  <c r="A319" i="342" s="1"/>
  <c r="A152" i="342"/>
  <c r="A320" i="342" s="1"/>
  <c r="A153" i="342"/>
  <c r="A321" i="342" s="1"/>
  <c r="A154" i="342"/>
  <c r="A322" i="342" s="1"/>
  <c r="A155" i="342"/>
  <c r="A323" i="342" s="1"/>
  <c r="A156" i="342"/>
  <c r="A324" i="342" s="1"/>
  <c r="A157" i="342"/>
  <c r="A325" i="342" s="1"/>
  <c r="A158" i="342"/>
  <c r="A326" i="342" s="1"/>
  <c r="A159" i="342"/>
  <c r="A327" i="342" s="1"/>
  <c r="C160" i="342"/>
  <c r="C19" i="233" s="1"/>
  <c r="D160" i="342"/>
  <c r="D19" i="233" s="1"/>
  <c r="E160" i="342"/>
  <c r="E19" i="233"/>
  <c r="F160" i="342"/>
  <c r="F19" i="233" s="1"/>
  <c r="G160" i="342"/>
  <c r="H160" i="342"/>
  <c r="H19" i="233" s="1"/>
  <c r="I160" i="342"/>
  <c r="I19" i="233" s="1"/>
  <c r="O19" i="299" s="1"/>
  <c r="N19" i="299" s="1"/>
  <c r="J160" i="342"/>
  <c r="J19" i="233"/>
  <c r="P19" i="299" s="1"/>
  <c r="K160" i="342"/>
  <c r="K19" i="233" s="1"/>
  <c r="Q19" i="299" s="1"/>
  <c r="A161" i="342"/>
  <c r="A329" i="342" s="1"/>
  <c r="A162" i="342"/>
  <c r="A330" i="342" s="1"/>
  <c r="A163" i="342"/>
  <c r="A331" i="342" s="1"/>
  <c r="A164" i="342"/>
  <c r="A332" i="342" s="1"/>
  <c r="A165" i="342"/>
  <c r="A333" i="342" s="1"/>
  <c r="A166" i="342"/>
  <c r="A334" i="342" s="1"/>
  <c r="A167" i="342"/>
  <c r="A335" i="342" s="1"/>
  <c r="A168" i="342"/>
  <c r="A336" i="342" s="1"/>
  <c r="A169" i="342"/>
  <c r="A337" i="342" s="1"/>
  <c r="A170" i="342"/>
  <c r="A338" i="342" s="1"/>
  <c r="L171" i="342"/>
  <c r="L341" i="342" s="1"/>
  <c r="M171" i="342"/>
  <c r="M341" i="342" s="1"/>
  <c r="N171" i="342"/>
  <c r="N341" i="342" s="1"/>
  <c r="O171" i="342"/>
  <c r="P171" i="342"/>
  <c r="Q171" i="342"/>
  <c r="R171" i="342"/>
  <c r="S171" i="342"/>
  <c r="S341" i="342" s="1"/>
  <c r="T171" i="342"/>
  <c r="U171" i="342"/>
  <c r="V171" i="342"/>
  <c r="W171" i="342"/>
  <c r="C174" i="342"/>
  <c r="C23" i="233" s="1"/>
  <c r="D174" i="342"/>
  <c r="D23" i="233" s="1"/>
  <c r="E174" i="342"/>
  <c r="E23" i="233" s="1"/>
  <c r="F174" i="342"/>
  <c r="G174" i="342"/>
  <c r="H174" i="342"/>
  <c r="H23" i="233"/>
  <c r="I174" i="342"/>
  <c r="I23" i="233" s="1"/>
  <c r="O23" i="299" s="1"/>
  <c r="N23" i="299" s="1"/>
  <c r="J174" i="342"/>
  <c r="J23" i="233"/>
  <c r="K174" i="342"/>
  <c r="K23" i="233" s="1"/>
  <c r="Q23" i="299" s="1"/>
  <c r="A181" i="342"/>
  <c r="C185" i="342"/>
  <c r="C24" i="233" s="1"/>
  <c r="D185" i="342"/>
  <c r="D24" i="233" s="1"/>
  <c r="E185" i="342"/>
  <c r="E24" i="233" s="1"/>
  <c r="F185" i="342"/>
  <c r="F24" i="233"/>
  <c r="G185" i="342"/>
  <c r="G24" i="233" s="1"/>
  <c r="H185" i="342"/>
  <c r="H24" i="233" s="1"/>
  <c r="I185" i="342"/>
  <c r="I24" i="233" s="1"/>
  <c r="O24" i="299" s="1"/>
  <c r="N24" i="299" s="1"/>
  <c r="J185" i="342"/>
  <c r="J24" i="233" s="1"/>
  <c r="P24" i="299" s="1"/>
  <c r="K185" i="342"/>
  <c r="K24" i="233" s="1"/>
  <c r="Q24" i="299" s="1"/>
  <c r="A188" i="342"/>
  <c r="C196" i="342"/>
  <c r="C25" i="233" s="1"/>
  <c r="D196" i="342"/>
  <c r="D25" i="233" s="1"/>
  <c r="E196" i="342"/>
  <c r="E25" i="233" s="1"/>
  <c r="F196" i="342"/>
  <c r="F25" i="233" s="1"/>
  <c r="G196" i="342"/>
  <c r="H196" i="342"/>
  <c r="H25" i="233" s="1"/>
  <c r="I196" i="342"/>
  <c r="J196" i="342"/>
  <c r="J25" i="233" s="1"/>
  <c r="P25" i="299" s="1"/>
  <c r="K196" i="342"/>
  <c r="K25" i="233" s="1"/>
  <c r="Q25" i="299" s="1"/>
  <c r="A205" i="342"/>
  <c r="C207" i="342"/>
  <c r="C26" i="233" s="1"/>
  <c r="D207" i="342"/>
  <c r="D26" i="233" s="1"/>
  <c r="E207" i="342"/>
  <c r="F207" i="342"/>
  <c r="F26" i="233" s="1"/>
  <c r="G207" i="342"/>
  <c r="G26" i="233" s="1"/>
  <c r="H207" i="342"/>
  <c r="H26" i="233" s="1"/>
  <c r="I207" i="342"/>
  <c r="I26" i="233" s="1"/>
  <c r="O26" i="299" s="1"/>
  <c r="N26" i="299" s="1"/>
  <c r="J207" i="342"/>
  <c r="J26" i="233" s="1"/>
  <c r="P26" i="299" s="1"/>
  <c r="K207" i="342"/>
  <c r="K26" i="233" s="1"/>
  <c r="Q26" i="299" s="1"/>
  <c r="A214" i="342"/>
  <c r="C218" i="342"/>
  <c r="D218" i="342"/>
  <c r="E218" i="342"/>
  <c r="F218" i="342"/>
  <c r="F27" i="233" s="1"/>
  <c r="G218" i="342"/>
  <c r="G27" i="233" s="1"/>
  <c r="H218" i="342"/>
  <c r="H27" i="233" s="1"/>
  <c r="I218" i="342"/>
  <c r="I27" i="233" s="1"/>
  <c r="O27" i="299" s="1"/>
  <c r="N27" i="299" s="1"/>
  <c r="J218" i="342"/>
  <c r="J27" i="233" s="1"/>
  <c r="P27" i="299" s="1"/>
  <c r="K218" i="342"/>
  <c r="K27" i="233" s="1"/>
  <c r="Q27" i="299" s="1"/>
  <c r="C229" i="342"/>
  <c r="D229" i="342"/>
  <c r="D28" i="233" s="1"/>
  <c r="E229" i="342"/>
  <c r="E28" i="233" s="1"/>
  <c r="F229" i="342"/>
  <c r="G229" i="342"/>
  <c r="G28" i="233" s="1"/>
  <c r="H229" i="342"/>
  <c r="H28" i="233" s="1"/>
  <c r="I229" i="342"/>
  <c r="J229" i="342"/>
  <c r="J28" i="233" s="1"/>
  <c r="P28" i="299" s="1"/>
  <c r="K229" i="342"/>
  <c r="K28" i="233" s="1"/>
  <c r="Q28" i="299" s="1"/>
  <c r="C240" i="342"/>
  <c r="C29" i="233" s="1"/>
  <c r="D240" i="342"/>
  <c r="D29" i="233" s="1"/>
  <c r="E240" i="342"/>
  <c r="E29" i="233"/>
  <c r="F240" i="342"/>
  <c r="F29" i="233" s="1"/>
  <c r="G240" i="342"/>
  <c r="G29" i="233" s="1"/>
  <c r="H240" i="342"/>
  <c r="H29" i="233" s="1"/>
  <c r="I240" i="342"/>
  <c r="I29" i="233" s="1"/>
  <c r="O29" i="299" s="1"/>
  <c r="N29" i="299" s="1"/>
  <c r="J240" i="342"/>
  <c r="J29" i="233"/>
  <c r="P29" i="299" s="1"/>
  <c r="K240" i="342"/>
  <c r="C251" i="342"/>
  <c r="C30" i="233"/>
  <c r="D251" i="342"/>
  <c r="D30" i="233" s="1"/>
  <c r="E251" i="342"/>
  <c r="E30" i="233" s="1"/>
  <c r="F251" i="342"/>
  <c r="F30" i="233"/>
  <c r="G251" i="342"/>
  <c r="G30" i="233" s="1"/>
  <c r="H251" i="342"/>
  <c r="H30" i="233" s="1"/>
  <c r="I251" i="342"/>
  <c r="I30" i="233" s="1"/>
  <c r="O30" i="299" s="1"/>
  <c r="N30" i="299" s="1"/>
  <c r="J251" i="342"/>
  <c r="J30" i="233" s="1"/>
  <c r="P30" i="299" s="1"/>
  <c r="K251" i="342"/>
  <c r="C262" i="342"/>
  <c r="C31" i="233" s="1"/>
  <c r="D262" i="342"/>
  <c r="D31" i="233" s="1"/>
  <c r="E262" i="342"/>
  <c r="E31" i="233" s="1"/>
  <c r="F262" i="342"/>
  <c r="F31" i="233"/>
  <c r="G262" i="342"/>
  <c r="G31" i="233" s="1"/>
  <c r="H262" i="342"/>
  <c r="H31" i="233"/>
  <c r="I262" i="342"/>
  <c r="I31" i="233" s="1"/>
  <c r="O31" i="299" s="1"/>
  <c r="N31" i="299" s="1"/>
  <c r="J262" i="342"/>
  <c r="J31" i="233" s="1"/>
  <c r="P31" i="299" s="1"/>
  <c r="K262" i="342"/>
  <c r="K31" i="233" s="1"/>
  <c r="Q31" i="299" s="1"/>
  <c r="C273" i="342"/>
  <c r="D273" i="342"/>
  <c r="D32" i="233" s="1"/>
  <c r="E273" i="342"/>
  <c r="E32" i="233" s="1"/>
  <c r="F273" i="342"/>
  <c r="F32" i="233" s="1"/>
  <c r="G273" i="342"/>
  <c r="G32" i="233" s="1"/>
  <c r="H273" i="342"/>
  <c r="H32" i="233"/>
  <c r="I273" i="342"/>
  <c r="I32" i="233" s="1"/>
  <c r="O32" i="299" s="1"/>
  <c r="N32" i="299" s="1"/>
  <c r="J273" i="342"/>
  <c r="J32" i="233" s="1"/>
  <c r="P32" i="299" s="1"/>
  <c r="K273" i="342"/>
  <c r="K32" i="233" s="1"/>
  <c r="Q32" i="299" s="1"/>
  <c r="C284" i="342"/>
  <c r="C33" i="233" s="1"/>
  <c r="D284" i="342"/>
  <c r="D33" i="233"/>
  <c r="E284" i="342"/>
  <c r="E33" i="233" s="1"/>
  <c r="F284" i="342"/>
  <c r="F33" i="233" s="1"/>
  <c r="G284" i="342"/>
  <c r="G33" i="233" s="1"/>
  <c r="H284" i="342"/>
  <c r="H33" i="233" s="1"/>
  <c r="I284" i="342"/>
  <c r="I33" i="233"/>
  <c r="O33" i="299" s="1"/>
  <c r="N33" i="299" s="1"/>
  <c r="J284" i="342"/>
  <c r="J33" i="233" s="1"/>
  <c r="P33" i="299" s="1"/>
  <c r="K284" i="342"/>
  <c r="K33" i="233" s="1"/>
  <c r="Q33" i="299" s="1"/>
  <c r="A289" i="342"/>
  <c r="C295" i="342"/>
  <c r="C34" i="233" s="1"/>
  <c r="D295" i="342"/>
  <c r="D34" i="233" s="1"/>
  <c r="E295" i="342"/>
  <c r="E34" i="233"/>
  <c r="F295" i="342"/>
  <c r="F34" i="233" s="1"/>
  <c r="G295" i="342"/>
  <c r="H295" i="342"/>
  <c r="H34" i="233"/>
  <c r="I295" i="342"/>
  <c r="I34" i="233" s="1"/>
  <c r="O34" i="299" s="1"/>
  <c r="N34" i="299" s="1"/>
  <c r="J295" i="342"/>
  <c r="J34" i="233" s="1"/>
  <c r="P34" i="299" s="1"/>
  <c r="K295" i="342"/>
  <c r="K34" i="233" s="1"/>
  <c r="Q34" i="299" s="1"/>
  <c r="C306" i="342"/>
  <c r="D306" i="342"/>
  <c r="D35" i="233"/>
  <c r="E306" i="342"/>
  <c r="E35" i="233" s="1"/>
  <c r="F306" i="342"/>
  <c r="F35" i="233" s="1"/>
  <c r="G306" i="342"/>
  <c r="G35" i="233"/>
  <c r="H306" i="342"/>
  <c r="H35" i="233" s="1"/>
  <c r="I306" i="342"/>
  <c r="I35" i="233" s="1"/>
  <c r="J306" i="342"/>
  <c r="J35" i="233" s="1"/>
  <c r="P35" i="299" s="1"/>
  <c r="K306" i="342"/>
  <c r="K35" i="233" s="1"/>
  <c r="Q35" i="299" s="1"/>
  <c r="A309" i="342"/>
  <c r="C317" i="342"/>
  <c r="C36" i="233"/>
  <c r="D317" i="342"/>
  <c r="D36" i="233" s="1"/>
  <c r="E317" i="342"/>
  <c r="E36" i="233" s="1"/>
  <c r="F317" i="342"/>
  <c r="F36" i="233"/>
  <c r="G317" i="342"/>
  <c r="H317" i="342"/>
  <c r="H36" i="233" s="1"/>
  <c r="I317" i="342"/>
  <c r="I36" i="233" s="1"/>
  <c r="O36" i="299" s="1"/>
  <c r="N36" i="299" s="1"/>
  <c r="J317" i="342"/>
  <c r="J36" i="233" s="1"/>
  <c r="P36" i="299" s="1"/>
  <c r="K317" i="342"/>
  <c r="K36" i="233" s="1"/>
  <c r="Q36" i="299" s="1"/>
  <c r="C328" i="342"/>
  <c r="C37" i="233" s="1"/>
  <c r="D328" i="342"/>
  <c r="D37" i="233" s="1"/>
  <c r="E328" i="342"/>
  <c r="E37" i="233"/>
  <c r="F328" i="342"/>
  <c r="F37" i="233" s="1"/>
  <c r="G328" i="342"/>
  <c r="G37" i="233" s="1"/>
  <c r="H328" i="342"/>
  <c r="I328" i="342"/>
  <c r="I37" i="233" s="1"/>
  <c r="O37" i="299" s="1"/>
  <c r="N37" i="299" s="1"/>
  <c r="J328" i="342"/>
  <c r="J37" i="233" s="1"/>
  <c r="P37" i="299" s="1"/>
  <c r="K328" i="342"/>
  <c r="K37" i="233" s="1"/>
  <c r="Q37" i="299" s="1"/>
  <c r="L339" i="342"/>
  <c r="M339" i="342"/>
  <c r="N339" i="342"/>
  <c r="O339" i="342"/>
  <c r="O341" i="342" s="1"/>
  <c r="P339" i="342"/>
  <c r="P341" i="342"/>
  <c r="Q339" i="342"/>
  <c r="Q341" i="342" s="1"/>
  <c r="R339" i="342"/>
  <c r="R341" i="342" s="1"/>
  <c r="S339" i="342"/>
  <c r="T339" i="342"/>
  <c r="T341" i="342" s="1"/>
  <c r="U339" i="342"/>
  <c r="V339" i="342"/>
  <c r="W339" i="342"/>
  <c r="W341" i="342" s="1"/>
  <c r="A341" i="342"/>
  <c r="A342" i="342"/>
  <c r="A2" i="233"/>
  <c r="B2" i="233"/>
  <c r="L2" i="233"/>
  <c r="C3" i="233"/>
  <c r="D3" i="233"/>
  <c r="E3" i="233"/>
  <c r="F3" i="233"/>
  <c r="G3" i="233"/>
  <c r="H3" i="233"/>
  <c r="H5" i="233"/>
  <c r="G6" i="233"/>
  <c r="H6" i="233"/>
  <c r="C7" i="233"/>
  <c r="H7" i="233"/>
  <c r="F8" i="233"/>
  <c r="C9" i="233"/>
  <c r="C10" i="233"/>
  <c r="D10" i="233"/>
  <c r="I10" i="233"/>
  <c r="O10" i="299" s="1"/>
  <c r="N10" i="299" s="1"/>
  <c r="K10" i="233"/>
  <c r="Q10" i="299" s="1"/>
  <c r="H11" i="233"/>
  <c r="D12" i="233"/>
  <c r="F12" i="233"/>
  <c r="G12" i="233"/>
  <c r="G13" i="233"/>
  <c r="J14" i="233"/>
  <c r="P14" i="299" s="1"/>
  <c r="G15" i="233"/>
  <c r="H15" i="233"/>
  <c r="K15" i="233"/>
  <c r="Q15" i="299" s="1"/>
  <c r="L15" i="233"/>
  <c r="L16" i="233"/>
  <c r="F17" i="233"/>
  <c r="L18" i="233"/>
  <c r="G19" i="233"/>
  <c r="G23" i="233"/>
  <c r="I25" i="233"/>
  <c r="O25" i="299" s="1"/>
  <c r="N25" i="299" s="1"/>
  <c r="D27" i="233"/>
  <c r="E27" i="233"/>
  <c r="C28" i="233"/>
  <c r="F28" i="233"/>
  <c r="K29" i="233"/>
  <c r="Q29" i="299" s="1"/>
  <c r="C32" i="233"/>
  <c r="L33" i="233"/>
  <c r="G34" i="233"/>
  <c r="L34" i="233"/>
  <c r="C35" i="233"/>
  <c r="L35" i="233"/>
  <c r="G36" i="233"/>
  <c r="L36" i="233"/>
  <c r="H37" i="233"/>
  <c r="L37" i="233"/>
  <c r="L38" i="233"/>
  <c r="L39" i="233" s="1"/>
  <c r="M38" i="233"/>
  <c r="M39" i="233" s="1"/>
  <c r="N38" i="233"/>
  <c r="N39" i="233" s="1"/>
  <c r="O38" i="233"/>
  <c r="O39" i="233"/>
  <c r="P38" i="233"/>
  <c r="P39" i="233" s="1"/>
  <c r="Q38" i="233"/>
  <c r="Q39" i="233" s="1"/>
  <c r="R38" i="233"/>
  <c r="R39" i="233" s="1"/>
  <c r="S38" i="233"/>
  <c r="S39" i="233" s="1"/>
  <c r="T38" i="233"/>
  <c r="T39" i="233"/>
  <c r="U38" i="233"/>
  <c r="U39" i="233" s="1"/>
  <c r="V38" i="233"/>
  <c r="V39" i="233"/>
  <c r="W38" i="233"/>
  <c r="W39" i="233" s="1"/>
  <c r="A39" i="233"/>
  <c r="A45" i="233" s="1"/>
  <c r="A40" i="233"/>
  <c r="B2" i="351"/>
  <c r="C3" i="351"/>
  <c r="D3" i="351"/>
  <c r="E3" i="351"/>
  <c r="F3" i="351"/>
  <c r="G3" i="351"/>
  <c r="H3" i="351"/>
  <c r="C6" i="351"/>
  <c r="C6" i="133" s="1"/>
  <c r="D6" i="351"/>
  <c r="D6" i="133" s="1"/>
  <c r="E6" i="351"/>
  <c r="F6" i="351"/>
  <c r="F6" i="133" s="1"/>
  <c r="G6" i="351"/>
  <c r="H6" i="351"/>
  <c r="H6" i="133" s="1"/>
  <c r="I6" i="351"/>
  <c r="I6" i="133"/>
  <c r="O6" i="298" s="1"/>
  <c r="N6" i="298" s="1"/>
  <c r="J6" i="351"/>
  <c r="K6" i="351"/>
  <c r="K6" i="133" s="1"/>
  <c r="C23" i="351"/>
  <c r="C8" i="133" s="1"/>
  <c r="D23" i="351"/>
  <c r="D8" i="133" s="1"/>
  <c r="E23" i="351"/>
  <c r="E8" i="133" s="1"/>
  <c r="G23" i="351"/>
  <c r="G8" i="133" s="1"/>
  <c r="H23" i="351"/>
  <c r="H8" i="133" s="1"/>
  <c r="I23" i="351"/>
  <c r="I8" i="133"/>
  <c r="O8" i="298" s="1"/>
  <c r="N8" i="298" s="1"/>
  <c r="J23" i="351"/>
  <c r="J8" i="133" s="1"/>
  <c r="P8" i="298" s="1"/>
  <c r="K23" i="351"/>
  <c r="K8" i="133" s="1"/>
  <c r="Q8" i="298" s="1"/>
  <c r="C54" i="351"/>
  <c r="C12" i="133" s="1"/>
  <c r="D54" i="351"/>
  <c r="D12" i="133" s="1"/>
  <c r="E54" i="351"/>
  <c r="E12" i="133" s="1"/>
  <c r="F54" i="351"/>
  <c r="F12" i="133" s="1"/>
  <c r="G54" i="351"/>
  <c r="G12" i="133" s="1"/>
  <c r="H54" i="351"/>
  <c r="H12" i="133" s="1"/>
  <c r="I54" i="351"/>
  <c r="I12" i="133"/>
  <c r="O12" i="298" s="1"/>
  <c r="N12" i="298" s="1"/>
  <c r="J54" i="351"/>
  <c r="J12" i="133" s="1"/>
  <c r="P12" i="298" s="1"/>
  <c r="K54" i="351"/>
  <c r="K12" i="133" s="1"/>
  <c r="Q12" i="298" s="1"/>
  <c r="C107" i="351"/>
  <c r="C22" i="133" s="1"/>
  <c r="D107" i="351"/>
  <c r="D22" i="133" s="1"/>
  <c r="E107" i="351"/>
  <c r="E22" i="133" s="1"/>
  <c r="F107" i="351"/>
  <c r="F22" i="133" s="1"/>
  <c r="G107" i="351"/>
  <c r="G22" i="133" s="1"/>
  <c r="H107" i="351"/>
  <c r="H22" i="133" s="1"/>
  <c r="I107" i="351"/>
  <c r="I22" i="133" s="1"/>
  <c r="O22" i="298" s="1"/>
  <c r="N22" i="298" s="1"/>
  <c r="J107" i="351"/>
  <c r="J22" i="133" s="1"/>
  <c r="P22" i="298" s="1"/>
  <c r="K107" i="351"/>
  <c r="K22" i="133" s="1"/>
  <c r="Q22" i="298" s="1"/>
  <c r="J23" i="133"/>
  <c r="P23" i="298"/>
  <c r="C117" i="351"/>
  <c r="C24" i="133" s="1"/>
  <c r="D117" i="351"/>
  <c r="D24" i="133" s="1"/>
  <c r="E117" i="351"/>
  <c r="E24" i="133" s="1"/>
  <c r="F117" i="351"/>
  <c r="F24" i="133" s="1"/>
  <c r="G117" i="351"/>
  <c r="G24" i="133" s="1"/>
  <c r="H117" i="351"/>
  <c r="H24" i="133"/>
  <c r="I117" i="351"/>
  <c r="I24" i="133" s="1"/>
  <c r="J117" i="351"/>
  <c r="J24" i="133" s="1"/>
  <c r="P24" i="298" s="1"/>
  <c r="K117" i="351"/>
  <c r="K24" i="133" s="1"/>
  <c r="Q24" i="298" s="1"/>
  <c r="A124" i="351"/>
  <c r="A127" i="351"/>
  <c r="A128" i="351"/>
  <c r="C128" i="351"/>
  <c r="C29" i="133" s="1"/>
  <c r="D128" i="351"/>
  <c r="E128" i="351"/>
  <c r="E29" i="133" s="1"/>
  <c r="F128" i="351"/>
  <c r="G128" i="351"/>
  <c r="G29" i="133" s="1"/>
  <c r="H128" i="351"/>
  <c r="H29" i="133" s="1"/>
  <c r="I128" i="351"/>
  <c r="I29" i="133" s="1"/>
  <c r="J128" i="351"/>
  <c r="J29" i="133" s="1"/>
  <c r="K128" i="351"/>
  <c r="K29" i="133" s="1"/>
  <c r="A129" i="351"/>
  <c r="A130" i="351"/>
  <c r="A131" i="351"/>
  <c r="A145" i="351"/>
  <c r="C145" i="351"/>
  <c r="C31" i="133" s="1"/>
  <c r="D145" i="351"/>
  <c r="D31" i="133" s="1"/>
  <c r="E145" i="351"/>
  <c r="E31" i="133" s="1"/>
  <c r="F145" i="351"/>
  <c r="F31" i="133" s="1"/>
  <c r="G145" i="351"/>
  <c r="G31" i="133" s="1"/>
  <c r="H145" i="351"/>
  <c r="I145" i="351"/>
  <c r="I31" i="133" s="1"/>
  <c r="O31" i="298" s="1"/>
  <c r="N31" i="298" s="1"/>
  <c r="J145" i="351"/>
  <c r="K145" i="351"/>
  <c r="A146" i="351"/>
  <c r="A147" i="351"/>
  <c r="A148" i="351"/>
  <c r="A170" i="351"/>
  <c r="A176" i="351"/>
  <c r="C176" i="351"/>
  <c r="C35" i="133" s="1"/>
  <c r="D176" i="351"/>
  <c r="D35" i="133" s="1"/>
  <c r="E176" i="351"/>
  <c r="E35" i="133" s="1"/>
  <c r="F176" i="351"/>
  <c r="F35" i="133" s="1"/>
  <c r="G176" i="351"/>
  <c r="H176" i="351"/>
  <c r="H35" i="133" s="1"/>
  <c r="I176" i="351"/>
  <c r="I35" i="133" s="1"/>
  <c r="O35" i="298" s="1"/>
  <c r="N35" i="298" s="1"/>
  <c r="J176" i="351"/>
  <c r="J35" i="133" s="1"/>
  <c r="P35" i="298" s="1"/>
  <c r="K176" i="351"/>
  <c r="K35" i="133" s="1"/>
  <c r="Q35" i="298" s="1"/>
  <c r="A177" i="351"/>
  <c r="A178" i="351"/>
  <c r="A185" i="351"/>
  <c r="A188" i="351"/>
  <c r="A196" i="351"/>
  <c r="A197" i="351"/>
  <c r="A208" i="351"/>
  <c r="C208" i="351"/>
  <c r="C40" i="133" s="1"/>
  <c r="D208" i="351"/>
  <c r="D40" i="133" s="1"/>
  <c r="E208" i="351"/>
  <c r="F208" i="351"/>
  <c r="F40" i="133" s="1"/>
  <c r="G208" i="351"/>
  <c r="G40" i="133" s="1"/>
  <c r="H208" i="351"/>
  <c r="H40" i="133"/>
  <c r="I208" i="351"/>
  <c r="I40" i="133" s="1"/>
  <c r="O40" i="298" s="1"/>
  <c r="N40" i="298" s="1"/>
  <c r="J208" i="351"/>
  <c r="J40" i="133" s="1"/>
  <c r="P40" i="298" s="1"/>
  <c r="K208" i="351"/>
  <c r="A209" i="351"/>
  <c r="A213" i="351"/>
  <c r="A220" i="351"/>
  <c r="A221" i="351"/>
  <c r="A222" i="351"/>
  <c r="A223" i="351"/>
  <c r="A225" i="351"/>
  <c r="A229" i="351"/>
  <c r="E45" i="133"/>
  <c r="A234" i="351"/>
  <c r="A239" i="351"/>
  <c r="A246" i="351"/>
  <c r="A247" i="351"/>
  <c r="A248" i="351"/>
  <c r="B2" i="133"/>
  <c r="C3" i="133"/>
  <c r="D3" i="133"/>
  <c r="E3" i="133"/>
  <c r="F3" i="133"/>
  <c r="G3" i="133"/>
  <c r="H3" i="133"/>
  <c r="A25" i="133"/>
  <c r="A25" i="298" s="1"/>
  <c r="A28" i="298"/>
  <c r="A29" i="298"/>
  <c r="A30" i="298"/>
  <c r="A31" i="298"/>
  <c r="A32" i="298"/>
  <c r="A33" i="298"/>
  <c r="A34" i="298"/>
  <c r="E34" i="133"/>
  <c r="A35" i="298"/>
  <c r="A37" i="298"/>
  <c r="A38" i="298"/>
  <c r="A40" i="298"/>
  <c r="A41" i="298"/>
  <c r="A42" i="298"/>
  <c r="A43" i="298"/>
  <c r="A44" i="298"/>
  <c r="A45" i="298"/>
  <c r="A46" i="298"/>
  <c r="A47" i="298"/>
  <c r="A48" i="133"/>
  <c r="A48" i="298" s="1"/>
  <c r="A49" i="133"/>
  <c r="A50" i="133"/>
  <c r="A2" i="86"/>
  <c r="B3" i="86"/>
  <c r="C3" i="86"/>
  <c r="D3" i="86"/>
  <c r="E3" i="86"/>
  <c r="F3" i="86"/>
  <c r="G3" i="86"/>
  <c r="H3" i="86"/>
  <c r="B7" i="86"/>
  <c r="C7" i="86"/>
  <c r="D7" i="86"/>
  <c r="E7" i="86"/>
  <c r="F7" i="86"/>
  <c r="G7" i="86"/>
  <c r="H7" i="86"/>
  <c r="I7" i="86"/>
  <c r="J7" i="86"/>
  <c r="K7" i="86"/>
  <c r="B8" i="86"/>
  <c r="C8" i="86"/>
  <c r="D8" i="86"/>
  <c r="E8" i="86"/>
  <c r="F8" i="86"/>
  <c r="G8" i="86"/>
  <c r="H8" i="86"/>
  <c r="I8" i="86"/>
  <c r="J8" i="86"/>
  <c r="K8" i="86"/>
  <c r="A10" i="86"/>
  <c r="B12" i="86"/>
  <c r="C12" i="86"/>
  <c r="D12" i="86"/>
  <c r="F100" i="123" s="1"/>
  <c r="E12" i="86"/>
  <c r="G100" i="123" s="1"/>
  <c r="F12" i="86"/>
  <c r="G12" i="86"/>
  <c r="H12" i="86"/>
  <c r="I12" i="86"/>
  <c r="K100" i="123" s="1"/>
  <c r="J12" i="86"/>
  <c r="K12" i="86"/>
  <c r="B14" i="86"/>
  <c r="C14" i="86"/>
  <c r="D14" i="86"/>
  <c r="E14" i="86"/>
  <c r="F14" i="86"/>
  <c r="G14" i="86"/>
  <c r="H14" i="86"/>
  <c r="I14" i="86"/>
  <c r="J14" i="86"/>
  <c r="K14" i="86"/>
  <c r="A18" i="86"/>
  <c r="A19" i="86"/>
  <c r="A20" i="86"/>
  <c r="B20" i="86"/>
  <c r="C20" i="86"/>
  <c r="D20" i="86"/>
  <c r="E20" i="86"/>
  <c r="F20" i="86"/>
  <c r="G20" i="86"/>
  <c r="H20" i="86"/>
  <c r="I20" i="86"/>
  <c r="J20" i="86"/>
  <c r="K20" i="86"/>
  <c r="A22" i="86"/>
  <c r="A23" i="86"/>
  <c r="B23" i="86"/>
  <c r="C23" i="86"/>
  <c r="D23" i="86"/>
  <c r="E23" i="86"/>
  <c r="F23" i="86"/>
  <c r="G23" i="86"/>
  <c r="H23" i="86"/>
  <c r="I23" i="86"/>
  <c r="J23" i="86"/>
  <c r="K23" i="86"/>
  <c r="F28" i="86"/>
  <c r="H107" i="123" s="1"/>
  <c r="A30" i="86"/>
  <c r="B30" i="86"/>
  <c r="D106" i="123" s="1"/>
  <c r="C30" i="86"/>
  <c r="E106" i="123" s="1"/>
  <c r="D30" i="86"/>
  <c r="F106" i="123" s="1"/>
  <c r="E30" i="86"/>
  <c r="G106" i="123"/>
  <c r="F30" i="86"/>
  <c r="H106" i="123" s="1"/>
  <c r="G30" i="86"/>
  <c r="H30" i="86"/>
  <c r="J106" i="123" s="1"/>
  <c r="I30" i="86"/>
  <c r="K106" i="123" s="1"/>
  <c r="J30" i="86"/>
  <c r="L106" i="123" s="1"/>
  <c r="K30" i="86"/>
  <c r="M106" i="123"/>
  <c r="A31" i="86"/>
  <c r="B31" i="86"/>
  <c r="D105" i="123" s="1"/>
  <c r="C31" i="86"/>
  <c r="E105" i="123" s="1"/>
  <c r="D31" i="86"/>
  <c r="E31" i="86"/>
  <c r="G105" i="123" s="1"/>
  <c r="F31" i="86"/>
  <c r="H105" i="123" s="1"/>
  <c r="G31" i="86"/>
  <c r="I105" i="123" s="1"/>
  <c r="H31" i="86"/>
  <c r="I31" i="86"/>
  <c r="K105" i="123" s="1"/>
  <c r="J31" i="86"/>
  <c r="L105" i="123" s="1"/>
  <c r="K31" i="86"/>
  <c r="M105" i="123" s="1"/>
  <c r="A35" i="86"/>
  <c r="A36" i="86"/>
  <c r="A37" i="86"/>
  <c r="A38" i="86"/>
  <c r="E43" i="86"/>
  <c r="F43" i="86"/>
  <c r="B44" i="86"/>
  <c r="C44" i="86"/>
  <c r="F44" i="86"/>
  <c r="A45" i="86"/>
  <c r="A41" i="301" s="1"/>
  <c r="A48" i="86"/>
  <c r="A49" i="86"/>
  <c r="A62" i="86"/>
  <c r="A63" i="86"/>
  <c r="A64" i="86"/>
  <c r="A65" i="86"/>
  <c r="A2" i="347"/>
  <c r="A5" i="342" s="1"/>
  <c r="A3" i="347"/>
  <c r="A16" i="342" s="1"/>
  <c r="D3" i="347"/>
  <c r="A4" i="347"/>
  <c r="A28" i="343" s="1"/>
  <c r="D4" i="347"/>
  <c r="A5" i="347"/>
  <c r="A39" i="343" s="1"/>
  <c r="D5" i="347"/>
  <c r="A6" i="347"/>
  <c r="A50" i="343" s="1"/>
  <c r="D6" i="347"/>
  <c r="D7" i="347"/>
  <c r="A8" i="347"/>
  <c r="D8" i="347"/>
  <c r="A9" i="347"/>
  <c r="A83" i="342" s="1"/>
  <c r="D9" i="347"/>
  <c r="A10" i="347"/>
  <c r="A94" i="342"/>
  <c r="A262" i="342" s="1"/>
  <c r="A31" i="233" s="1"/>
  <c r="D10" i="347"/>
  <c r="A11" i="347"/>
  <c r="D11" i="347"/>
  <c r="A12" i="347"/>
  <c r="A116" i="342" s="1"/>
  <c r="A15" i="233" s="1"/>
  <c r="A15" i="299" s="1"/>
  <c r="A33" i="299" s="1"/>
  <c r="D12" i="347"/>
  <c r="A13" i="347"/>
  <c r="A127" i="342" s="1"/>
  <c r="A14" i="347"/>
  <c r="D14" i="347"/>
  <c r="A15" i="347"/>
  <c r="A150" i="343" s="1"/>
  <c r="A19" i="126" s="1"/>
  <c r="D15" i="347"/>
  <c r="A16" i="347"/>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9" i="347"/>
  <c r="D60" i="347"/>
  <c r="D61" i="347"/>
  <c r="D62" i="347"/>
  <c r="D63" i="347"/>
  <c r="D64" i="347"/>
  <c r="D65" i="347"/>
  <c r="D66" i="347"/>
  <c r="D67" i="347"/>
  <c r="D68" i="347"/>
  <c r="D70" i="347"/>
  <c r="D71" i="347"/>
  <c r="D72" i="347"/>
  <c r="D73" i="347"/>
  <c r="D74" i="347"/>
  <c r="D75" i="347"/>
  <c r="D76" i="347"/>
  <c r="D77" i="347"/>
  <c r="D78" i="347"/>
  <c r="D79" i="347"/>
  <c r="D81" i="347"/>
  <c r="D82" i="347"/>
  <c r="D83" i="347"/>
  <c r="D84" i="347"/>
  <c r="D85" i="347"/>
  <c r="D86" i="347"/>
  <c r="D87" i="347"/>
  <c r="D88" i="347"/>
  <c r="D89" i="347"/>
  <c r="D90" i="347"/>
  <c r="D92" i="347"/>
  <c r="D93" i="347"/>
  <c r="D94" i="347"/>
  <c r="D95" i="347"/>
  <c r="D96" i="347"/>
  <c r="D97" i="347"/>
  <c r="D98" i="347"/>
  <c r="D99" i="347"/>
  <c r="D100" i="347"/>
  <c r="D101" i="347"/>
  <c r="D103" i="347"/>
  <c r="D104" i="347"/>
  <c r="D105" i="347"/>
  <c r="D106" i="347"/>
  <c r="D107" i="347"/>
  <c r="D108" i="347"/>
  <c r="D109" i="347"/>
  <c r="D110" i="347"/>
  <c r="D111" i="347"/>
  <c r="D112" i="347"/>
  <c r="D114" i="347"/>
  <c r="D115" i="347"/>
  <c r="D116" i="347"/>
  <c r="D117" i="347"/>
  <c r="D118" i="347"/>
  <c r="D119" i="347"/>
  <c r="D120" i="347"/>
  <c r="D121" i="347"/>
  <c r="D122" i="347"/>
  <c r="D123" i="347"/>
  <c r="D125" i="347"/>
  <c r="D126" i="347"/>
  <c r="D127" i="347"/>
  <c r="D128" i="347"/>
  <c r="D129" i="347"/>
  <c r="D130" i="347"/>
  <c r="D131" i="347"/>
  <c r="D132" i="347"/>
  <c r="D133" i="347"/>
  <c r="D134" i="347"/>
  <c r="D136" i="347"/>
  <c r="D137" i="347"/>
  <c r="D138" i="347"/>
  <c r="D139" i="347"/>
  <c r="D140" i="347"/>
  <c r="D141" i="347"/>
  <c r="D142" i="347"/>
  <c r="D143" i="347"/>
  <c r="D144" i="347"/>
  <c r="D145" i="347"/>
  <c r="D147" i="347"/>
  <c r="D148" i="347"/>
  <c r="D149" i="347"/>
  <c r="D150" i="347"/>
  <c r="D151" i="347"/>
  <c r="D152" i="347"/>
  <c r="D153" i="347"/>
  <c r="D154" i="347"/>
  <c r="D155" i="347"/>
  <c r="D156" i="347"/>
  <c r="D158" i="347"/>
  <c r="D159" i="347"/>
  <c r="D160" i="347"/>
  <c r="D161" i="347"/>
  <c r="D162" i="347"/>
  <c r="D163" i="347"/>
  <c r="D164" i="347"/>
  <c r="D165" i="347"/>
  <c r="D166" i="347"/>
  <c r="D167"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A95" i="100"/>
  <c r="B147" i="100" s="1"/>
  <c r="E100" i="100"/>
  <c r="F100" i="100"/>
  <c r="E102" i="100"/>
  <c r="F102" i="100"/>
  <c r="E103" i="100"/>
  <c r="F103" i="100"/>
  <c r="A25" i="315" s="1"/>
  <c r="E105" i="100"/>
  <c r="F105" i="100"/>
  <c r="A79" i="128" s="1"/>
  <c r="E106" i="100"/>
  <c r="F106" i="100"/>
  <c r="E107" i="100"/>
  <c r="F107" i="100"/>
  <c r="E108" i="100"/>
  <c r="F108" i="100"/>
  <c r="E109" i="100"/>
  <c r="F109" i="100"/>
  <c r="C110" i="100"/>
  <c r="D110" i="100"/>
  <c r="B111" i="100"/>
  <c r="E112" i="100"/>
  <c r="F112" i="100"/>
  <c r="B113" i="100"/>
  <c r="B114" i="100"/>
  <c r="B115" i="100"/>
  <c r="B116" i="100"/>
  <c r="B117" i="100"/>
  <c r="B118" i="100"/>
  <c r="B119" i="100"/>
  <c r="B120" i="100"/>
  <c r="B121" i="100"/>
  <c r="B122" i="100"/>
  <c r="B123" i="100"/>
  <c r="B124" i="100"/>
  <c r="B125" i="100"/>
  <c r="B126" i="100"/>
  <c r="B127" i="100"/>
  <c r="B128" i="100"/>
  <c r="B129" i="100"/>
  <c r="B130" i="100"/>
  <c r="B131" i="100"/>
  <c r="B132" i="100"/>
  <c r="B133" i="100"/>
  <c r="B134" i="100"/>
  <c r="B135" i="100"/>
  <c r="B136" i="100"/>
  <c r="E137" i="100"/>
  <c r="F137" i="100"/>
  <c r="E138" i="100"/>
  <c r="F138" i="100"/>
  <c r="E140" i="100"/>
  <c r="F140" i="100"/>
  <c r="E142" i="100"/>
  <c r="F142" i="100"/>
  <c r="E143" i="100"/>
  <c r="B144" i="100"/>
  <c r="A1" i="250" s="1"/>
  <c r="B145" i="100"/>
  <c r="E146" i="100"/>
  <c r="F146" i="100"/>
  <c r="F147" i="100"/>
  <c r="E148" i="100"/>
  <c r="F148" i="100"/>
  <c r="E149" i="100"/>
  <c r="F149" i="100"/>
  <c r="E151" i="100"/>
  <c r="F151" i="100"/>
  <c r="E152" i="100"/>
  <c r="F152" i="100"/>
  <c r="E153" i="100"/>
  <c r="F153" i="100"/>
  <c r="B157" i="100"/>
  <c r="B158" i="100"/>
  <c r="B159" i="100"/>
  <c r="B160" i="100"/>
  <c r="B161" i="100"/>
  <c r="B162" i="100"/>
  <c r="B163" i="100"/>
  <c r="B164" i="100"/>
  <c r="B165" i="100"/>
  <c r="B166" i="100"/>
  <c r="B167" i="100"/>
  <c r="B168" i="100"/>
  <c r="B169" i="100"/>
  <c r="B170" i="100"/>
  <c r="B171" i="100"/>
  <c r="B172" i="100"/>
  <c r="B173" i="100"/>
  <c r="B174" i="100"/>
  <c r="B175" i="100"/>
  <c r="B176" i="100"/>
  <c r="B177" i="100"/>
  <c r="B178" i="100"/>
  <c r="B179" i="100"/>
  <c r="X34" i="354"/>
  <c r="B1292" i="364" s="1"/>
  <c r="E58" i="253"/>
  <c r="H122" i="363"/>
  <c r="J134" i="363"/>
  <c r="H143" i="363"/>
  <c r="L143" i="363"/>
  <c r="J168" i="363"/>
  <c r="H214" i="363"/>
  <c r="F143" i="363"/>
  <c r="J235" i="363"/>
  <c r="G134" i="363"/>
  <c r="I214" i="363"/>
  <c r="F122" i="363"/>
  <c r="J122" i="363"/>
  <c r="G168" i="363"/>
  <c r="H189" i="363"/>
  <c r="E168" i="363"/>
  <c r="I168" i="363"/>
  <c r="I245" i="363"/>
  <c r="E122" i="363"/>
  <c r="E199" i="363"/>
  <c r="I199" i="363"/>
  <c r="E226" i="363"/>
  <c r="G235" i="363"/>
  <c r="E143" i="363"/>
  <c r="H180" i="363"/>
  <c r="F189" i="363"/>
  <c r="I189" i="363"/>
  <c r="M189" i="363"/>
  <c r="G226" i="363"/>
  <c r="K226" i="363"/>
  <c r="E235" i="363"/>
  <c r="I235" i="363"/>
  <c r="L122" i="363"/>
  <c r="E134" i="363"/>
  <c r="I134" i="363"/>
  <c r="I180" i="363"/>
  <c r="G189" i="363"/>
  <c r="H226" i="363"/>
  <c r="G245" i="363"/>
  <c r="G143" i="363"/>
  <c r="F199" i="363"/>
  <c r="J199" i="363"/>
  <c r="F226" i="363"/>
  <c r="E153" i="363"/>
  <c r="F180" i="363"/>
  <c r="J180" i="363"/>
  <c r="F214" i="363"/>
  <c r="J214" i="363"/>
  <c r="E214" i="363"/>
  <c r="M214" i="363"/>
  <c r="F245" i="363"/>
  <c r="J245" i="363"/>
  <c r="F134" i="363"/>
  <c r="H245" i="363"/>
  <c r="H168" i="363"/>
  <c r="J21" i="86"/>
  <c r="A27" i="255"/>
  <c r="A15" i="255"/>
  <c r="I96" i="363"/>
  <c r="G96" i="363"/>
  <c r="F83" i="363"/>
  <c r="F88" i="363" s="1"/>
  <c r="G63" i="305"/>
  <c r="G92" i="255" s="1"/>
  <c r="K32" i="305"/>
  <c r="C63" i="305"/>
  <c r="C64" i="305" s="1"/>
  <c r="L32" i="305"/>
  <c r="L91" i="255" s="1"/>
  <c r="D32" i="305"/>
  <c r="D91" i="255" s="1"/>
  <c r="C32" i="305"/>
  <c r="E63" i="305"/>
  <c r="E92" i="255" s="1"/>
  <c r="I32" i="305"/>
  <c r="J58" i="253"/>
  <c r="K55" i="253"/>
  <c r="K245" i="363"/>
  <c r="M235" i="363"/>
  <c r="J35" i="253"/>
  <c r="L96" i="363"/>
  <c r="K214" i="363"/>
  <c r="K189" i="363"/>
  <c r="L168" i="363"/>
  <c r="L75" i="363"/>
  <c r="M168" i="363"/>
  <c r="M153" i="363"/>
  <c r="L71" i="363"/>
  <c r="K235" i="363"/>
  <c r="L226" i="363"/>
  <c r="I17" i="253"/>
  <c r="L199" i="363"/>
  <c r="M180" i="363"/>
  <c r="L153" i="363"/>
  <c r="M134" i="363"/>
  <c r="K17" i="253"/>
  <c r="L100" i="363"/>
  <c r="K87" i="363"/>
  <c r="L189" i="363"/>
  <c r="J17" i="253"/>
  <c r="J23" i="253"/>
  <c r="A161" i="343"/>
  <c r="A331" i="343" s="1"/>
  <c r="A160" i="342"/>
  <c r="A328" i="342" s="1"/>
  <c r="A37" i="233" s="1"/>
  <c r="O12" i="143"/>
  <c r="Q9" i="300"/>
  <c r="Q23" i="140"/>
  <c r="F32" i="126"/>
  <c r="J63" i="343"/>
  <c r="I32" i="253"/>
  <c r="K96" i="363"/>
  <c r="H38" i="253"/>
  <c r="H39" i="253"/>
  <c r="J100" i="363"/>
  <c r="I42" i="253"/>
  <c r="K106" i="363"/>
  <c r="J7" i="343"/>
  <c r="Q6" i="343"/>
  <c r="S172" i="343"/>
  <c r="K44" i="139"/>
  <c r="C44" i="139"/>
  <c r="A38" i="342"/>
  <c r="A207" i="342" s="1"/>
  <c r="A26" i="233" s="1"/>
  <c r="J25" i="126"/>
  <c r="O24" i="140" s="1"/>
  <c r="N24" i="140" s="1"/>
  <c r="J51" i="343"/>
  <c r="K45" i="249"/>
  <c r="C45" i="249"/>
  <c r="I104" i="146"/>
  <c r="I100" i="146"/>
  <c r="E100" i="146"/>
  <c r="N42" i="137"/>
  <c r="G16" i="126"/>
  <c r="D6" i="126"/>
  <c r="J96" i="343"/>
  <c r="O22" i="143"/>
  <c r="K45" i="136"/>
  <c r="C45" i="136"/>
  <c r="H14" i="146"/>
  <c r="G40" i="299"/>
  <c r="G45" i="299" s="1"/>
  <c r="C40" i="299"/>
  <c r="C45" i="299" s="1"/>
  <c r="H45" i="136"/>
  <c r="D45" i="136"/>
  <c r="F59" i="316"/>
  <c r="J25" i="316"/>
  <c r="J59" i="316" s="1"/>
  <c r="I59" i="316"/>
  <c r="E25" i="316"/>
  <c r="E59" i="316" s="1"/>
  <c r="J82" i="146"/>
  <c r="F82" i="146"/>
  <c r="D66" i="146"/>
  <c r="A12" i="128"/>
  <c r="A14" i="128"/>
  <c r="K27" i="249"/>
  <c r="K47" i="249" s="1"/>
  <c r="C27" i="249"/>
  <c r="C47" i="249" s="1"/>
  <c r="H49" i="316"/>
  <c r="G49" i="316"/>
  <c r="G60" i="316" s="1"/>
  <c r="J37" i="148"/>
  <c r="D32" i="142"/>
  <c r="E27" i="136"/>
  <c r="J27" i="249"/>
  <c r="F27" i="249"/>
  <c r="F47" i="249" s="1"/>
  <c r="A47" i="316"/>
  <c r="K66" i="146"/>
  <c r="J100" i="146"/>
  <c r="K46" i="146"/>
  <c r="J104" i="146"/>
  <c r="G46" i="146"/>
  <c r="F104" i="146"/>
  <c r="J48" i="146"/>
  <c r="J102" i="146" s="1"/>
  <c r="K14" i="146"/>
  <c r="F48" i="146"/>
  <c r="G14" i="146"/>
  <c r="E25" i="298"/>
  <c r="E26" i="298" s="1"/>
  <c r="H8" i="253"/>
  <c r="K8" i="253"/>
  <c r="M71" i="363"/>
  <c r="G9" i="253"/>
  <c r="I71" i="363"/>
  <c r="I76" i="363" s="1"/>
  <c r="I75" i="363"/>
  <c r="G11" i="253"/>
  <c r="G14" i="253" s="1"/>
  <c r="F62" i="86" s="1"/>
  <c r="E13" i="253"/>
  <c r="E14" i="253" s="1"/>
  <c r="D62" i="86" s="1"/>
  <c r="G75" i="363"/>
  <c r="J25" i="298"/>
  <c r="F25" i="298"/>
  <c r="F26" i="298" s="1"/>
  <c r="K23" i="139"/>
  <c r="G23" i="139"/>
  <c r="C23" i="139"/>
  <c r="C15" i="255"/>
  <c r="C6" i="127" s="1"/>
  <c r="C57" i="253"/>
  <c r="G57" i="253"/>
  <c r="G15" i="255"/>
  <c r="G6" i="127" s="1"/>
  <c r="K39" i="140"/>
  <c r="G39" i="140"/>
  <c r="K25" i="300"/>
  <c r="G25" i="300"/>
  <c r="C25" i="300"/>
  <c r="I23" i="139"/>
  <c r="D44" i="139"/>
  <c r="J24" i="253"/>
  <c r="L87" i="363"/>
  <c r="F25" i="253"/>
  <c r="H33" i="253"/>
  <c r="H35" i="253"/>
  <c r="G64" i="86" s="1"/>
  <c r="J96" i="363"/>
  <c r="H55" i="253"/>
  <c r="H21" i="255"/>
  <c r="H7" i="127" s="1"/>
  <c r="I47" i="123" s="1"/>
  <c r="C13" i="253"/>
  <c r="C14" i="253"/>
  <c r="B62" i="86" s="1"/>
  <c r="E75" i="363"/>
  <c r="H79" i="253"/>
  <c r="G60" i="86" s="1"/>
  <c r="G59" i="253"/>
  <c r="E15" i="255"/>
  <c r="E6" i="127" s="1"/>
  <c r="F46" i="123" s="1"/>
  <c r="E57" i="253"/>
  <c r="I9" i="253"/>
  <c r="K71" i="363"/>
  <c r="M199" i="363"/>
  <c r="D59" i="253"/>
  <c r="F15" i="255"/>
  <c r="F6" i="127" s="1"/>
  <c r="F57" i="253"/>
  <c r="H40" i="253"/>
  <c r="G42" i="253"/>
  <c r="L15" i="255"/>
  <c r="L6" i="127" s="1"/>
  <c r="K57" i="253"/>
  <c r="K58" i="253"/>
  <c r="L34" i="255"/>
  <c r="L9" i="127" s="1"/>
  <c r="L83" i="363"/>
  <c r="J56" i="253"/>
  <c r="K27" i="255"/>
  <c r="K8" i="127" s="1"/>
  <c r="E59" i="253"/>
  <c r="D40" i="253"/>
  <c r="E92" i="363"/>
  <c r="A20" i="126"/>
  <c r="A19" i="140" s="1"/>
  <c r="J39" i="131"/>
  <c r="I21" i="86"/>
  <c r="B2595" i="364"/>
  <c r="B2760" i="364"/>
  <c r="B2757" i="364"/>
  <c r="B2254" i="364"/>
  <c r="B1213" i="364"/>
  <c r="B1103" i="364"/>
  <c r="B1552" i="364"/>
  <c r="B1406" i="364"/>
  <c r="B2470" i="364"/>
  <c r="B2070" i="364"/>
  <c r="B824" i="364"/>
  <c r="B712" i="364"/>
  <c r="B575" i="364"/>
  <c r="B800" i="364"/>
  <c r="F93" i="248"/>
  <c r="C139" i="367"/>
  <c r="I92" i="248"/>
  <c r="F139" i="367"/>
  <c r="E93" i="248"/>
  <c r="J118" i="367"/>
  <c r="G88" i="248"/>
  <c r="E118" i="367"/>
  <c r="E86" i="248"/>
  <c r="I110" i="367"/>
  <c r="J84" i="248"/>
  <c r="C110" i="367"/>
  <c r="G110" i="367"/>
  <c r="J86" i="248"/>
  <c r="D82" i="248"/>
  <c r="F81" i="248"/>
  <c r="F113" i="248"/>
  <c r="K82" i="248"/>
  <c r="K74" i="367"/>
  <c r="H74" i="367"/>
  <c r="D74" i="367"/>
  <c r="C6" i="367"/>
  <c r="K6" i="367"/>
  <c r="D118" i="358"/>
  <c r="H118" i="358"/>
  <c r="F110" i="358"/>
  <c r="C110" i="358"/>
  <c r="G110" i="358"/>
  <c r="K74" i="358"/>
  <c r="C74" i="358"/>
  <c r="G74" i="358"/>
  <c r="D6" i="358"/>
  <c r="C139" i="349"/>
  <c r="E139" i="349"/>
  <c r="G139" i="349"/>
  <c r="K192" i="248"/>
  <c r="K193" i="248" s="1"/>
  <c r="J118" i="349"/>
  <c r="H118" i="349"/>
  <c r="E110" i="349"/>
  <c r="D186" i="248"/>
  <c r="J110" i="349"/>
  <c r="K110" i="349"/>
  <c r="J74" i="349"/>
  <c r="C6" i="349"/>
  <c r="E60" i="248"/>
  <c r="E61" i="248" s="1"/>
  <c r="C60" i="248"/>
  <c r="C61" i="248" s="1"/>
  <c r="I60" i="248"/>
  <c r="I61" i="248" s="1"/>
  <c r="G139" i="350"/>
  <c r="K139" i="350"/>
  <c r="G61" i="248"/>
  <c r="K61" i="248"/>
  <c r="H61" i="248"/>
  <c r="E118" i="350"/>
  <c r="I118" i="350"/>
  <c r="J55" i="248"/>
  <c r="E54" i="248"/>
  <c r="I54" i="248"/>
  <c r="C50" i="248"/>
  <c r="I74" i="350"/>
  <c r="H108" i="248"/>
  <c r="I126" i="248"/>
  <c r="F28" i="248"/>
  <c r="F124" i="248" s="1"/>
  <c r="I123" i="248"/>
  <c r="G118" i="134"/>
  <c r="C118" i="134"/>
  <c r="D23" i="248"/>
  <c r="F110" i="134"/>
  <c r="J110" i="134"/>
  <c r="G110" i="134"/>
  <c r="K20" i="248"/>
  <c r="E110" i="134"/>
  <c r="H16" i="248"/>
  <c r="E108" i="248"/>
  <c r="K6" i="134"/>
  <c r="G67" i="144"/>
  <c r="G12" i="237" s="1"/>
  <c r="I34" i="144"/>
  <c r="K48" i="337"/>
  <c r="L48" i="337"/>
  <c r="G48" i="337"/>
  <c r="E48" i="337"/>
  <c r="I45" i="337"/>
  <c r="E33" i="337"/>
  <c r="D84" i="128"/>
  <c r="C84" i="128" s="1"/>
  <c r="J48" i="131"/>
  <c r="L36" i="131"/>
  <c r="K44" i="86" s="1"/>
  <c r="K48" i="131"/>
  <c r="I47" i="337"/>
  <c r="J48" i="337"/>
  <c r="F48" i="337"/>
  <c r="D48" i="337"/>
  <c r="D33" i="337"/>
  <c r="E34" i="337" s="1"/>
  <c r="C47" i="131"/>
  <c r="C50" i="131"/>
  <c r="D38" i="131"/>
  <c r="Q32" i="300"/>
  <c r="Q36" i="300" s="1"/>
  <c r="C28" i="86"/>
  <c r="E107" i="123" s="1"/>
  <c r="L63" i="126"/>
  <c r="L85" i="126" s="1"/>
  <c r="H38" i="131"/>
  <c r="H40" i="131" s="1"/>
  <c r="G38" i="131"/>
  <c r="F38" i="131"/>
  <c r="H47" i="131"/>
  <c r="H50" i="131" s="1"/>
  <c r="G37" i="246"/>
  <c r="G41" i="246" s="1"/>
  <c r="K37" i="246"/>
  <c r="K41" i="246" s="1"/>
  <c r="R35" i="246"/>
  <c r="K46" i="129"/>
  <c r="C11" i="88"/>
  <c r="F36" i="142"/>
  <c r="C36" i="142"/>
  <c r="K67" i="144"/>
  <c r="L12" i="237" s="1"/>
  <c r="C67" i="144"/>
  <c r="C12" i="237"/>
  <c r="K34" i="144"/>
  <c r="C34" i="144"/>
  <c r="C71" i="144"/>
  <c r="J34" i="144"/>
  <c r="F34" i="144"/>
  <c r="E34" i="144"/>
  <c r="E71" i="144" s="1"/>
  <c r="J49" i="131"/>
  <c r="J27" i="131"/>
  <c r="I43" i="86" s="1"/>
  <c r="K36" i="131"/>
  <c r="J44" i="86" s="1"/>
  <c r="G131" i="248"/>
  <c r="H131" i="248"/>
  <c r="H130" i="248"/>
  <c r="E130" i="248"/>
  <c r="D129" i="248"/>
  <c r="J128" i="248"/>
  <c r="D92" i="248"/>
  <c r="D93" i="248" s="1"/>
  <c r="J139" i="367"/>
  <c r="K139" i="367"/>
  <c r="G139" i="367"/>
  <c r="K93" i="248"/>
  <c r="H123" i="248"/>
  <c r="F123" i="248"/>
  <c r="F125" i="248" s="1"/>
  <c r="G123" i="248"/>
  <c r="K123" i="248"/>
  <c r="K122" i="248"/>
  <c r="H122" i="248"/>
  <c r="J89" i="248"/>
  <c r="C120" i="248"/>
  <c r="C118" i="367"/>
  <c r="C89" i="248"/>
  <c r="F118" i="367"/>
  <c r="H118" i="367"/>
  <c r="K89" i="248"/>
  <c r="K69" i="248" s="1"/>
  <c r="I89" i="248"/>
  <c r="K118" i="367"/>
  <c r="H87" i="248"/>
  <c r="G86" i="248"/>
  <c r="K117" i="248"/>
  <c r="F110" i="367"/>
  <c r="I86" i="248"/>
  <c r="C86" i="248"/>
  <c r="D110" i="367"/>
  <c r="K86" i="248"/>
  <c r="F86" i="248"/>
  <c r="D84" i="248"/>
  <c r="D86" i="248"/>
  <c r="E110" i="367"/>
  <c r="I116" i="248"/>
  <c r="K110" i="367"/>
  <c r="K167" i="367" s="1"/>
  <c r="I82" i="248"/>
  <c r="E74" i="367"/>
  <c r="C74" i="367"/>
  <c r="C167" i="367"/>
  <c r="C169" i="367" s="1"/>
  <c r="E82" i="248"/>
  <c r="I74" i="367"/>
  <c r="C80" i="248"/>
  <c r="C82" i="248" s="1"/>
  <c r="F110" i="248"/>
  <c r="D109" i="248"/>
  <c r="I6" i="367"/>
  <c r="I106" i="248"/>
  <c r="H6" i="367"/>
  <c r="F6" i="367"/>
  <c r="C71" i="248"/>
  <c r="C79" i="248" s="1"/>
  <c r="I79" i="248"/>
  <c r="G6" i="367"/>
  <c r="D6" i="367"/>
  <c r="H71" i="248"/>
  <c r="E6" i="367"/>
  <c r="K102" i="248"/>
  <c r="K79" i="248"/>
  <c r="F70" i="248"/>
  <c r="G70" i="248"/>
  <c r="J6" i="367"/>
  <c r="C118" i="358"/>
  <c r="J118" i="358"/>
  <c r="K110" i="358"/>
  <c r="F74" i="358"/>
  <c r="I6" i="358"/>
  <c r="K6" i="358"/>
  <c r="J6" i="358"/>
  <c r="E6" i="358"/>
  <c r="F6" i="358"/>
  <c r="C6" i="358"/>
  <c r="E74" i="349"/>
  <c r="D180" i="248"/>
  <c r="E193" i="248"/>
  <c r="J192" i="248"/>
  <c r="J193" i="248"/>
  <c r="C189" i="248"/>
  <c r="G188" i="248"/>
  <c r="H188" i="248"/>
  <c r="K118" i="349"/>
  <c r="K187" i="248"/>
  <c r="K189" i="248" s="1"/>
  <c r="D118" i="349"/>
  <c r="F118" i="349"/>
  <c r="C118" i="349"/>
  <c r="I186" i="248"/>
  <c r="F185" i="248"/>
  <c r="F186" i="248" s="1"/>
  <c r="J185" i="248"/>
  <c r="J186" i="248" s="1"/>
  <c r="K185" i="248"/>
  <c r="K186" i="248" s="1"/>
  <c r="D110" i="349"/>
  <c r="E184" i="248"/>
  <c r="E186" i="248" s="1"/>
  <c r="C182" i="248"/>
  <c r="C74" i="349"/>
  <c r="I74" i="349"/>
  <c r="I180" i="248"/>
  <c r="I182" i="248" s="1"/>
  <c r="F6" i="349"/>
  <c r="F172" i="248"/>
  <c r="G172" i="248"/>
  <c r="C179" i="248"/>
  <c r="D6" i="349"/>
  <c r="E6" i="349"/>
  <c r="E131" i="248"/>
  <c r="I131" i="248"/>
  <c r="J131" i="248"/>
  <c r="C131" i="248"/>
  <c r="C130" i="248"/>
  <c r="D130" i="248"/>
  <c r="I130" i="248"/>
  <c r="F130" i="248"/>
  <c r="K129" i="248"/>
  <c r="C129" i="248"/>
  <c r="I129" i="248"/>
  <c r="H129" i="248"/>
  <c r="C128" i="248"/>
  <c r="I127" i="248"/>
  <c r="C127" i="248"/>
  <c r="E126" i="248"/>
  <c r="C123" i="248"/>
  <c r="J123" i="248"/>
  <c r="G122" i="248"/>
  <c r="E122" i="248"/>
  <c r="I122" i="248"/>
  <c r="C122" i="248"/>
  <c r="J122" i="248"/>
  <c r="E57" i="248"/>
  <c r="K57" i="248"/>
  <c r="G57" i="248"/>
  <c r="I56" i="248"/>
  <c r="F118" i="350"/>
  <c r="K120" i="248"/>
  <c r="K118" i="350"/>
  <c r="G118" i="350"/>
  <c r="H120" i="248"/>
  <c r="D57" i="248"/>
  <c r="D118" i="350"/>
  <c r="E117" i="248"/>
  <c r="D54" i="248"/>
  <c r="F117" i="248"/>
  <c r="I110" i="350"/>
  <c r="H110" i="350"/>
  <c r="E110" i="350"/>
  <c r="D110" i="350"/>
  <c r="H54" i="248"/>
  <c r="F52" i="248"/>
  <c r="J52" i="248"/>
  <c r="J116" i="248"/>
  <c r="K110" i="350"/>
  <c r="G52" i="248"/>
  <c r="G116" i="248" s="1"/>
  <c r="E115" i="248"/>
  <c r="I115" i="248"/>
  <c r="F115" i="248"/>
  <c r="J115" i="248"/>
  <c r="G115" i="248"/>
  <c r="K115" i="248"/>
  <c r="D115" i="248"/>
  <c r="H115" i="248"/>
  <c r="G74" i="350"/>
  <c r="G50" i="248"/>
  <c r="H50" i="248"/>
  <c r="D50" i="248"/>
  <c r="H74" i="350"/>
  <c r="K74" i="350"/>
  <c r="K113" i="248"/>
  <c r="J50" i="248"/>
  <c r="I50" i="248"/>
  <c r="D74" i="350"/>
  <c r="C74" i="350"/>
  <c r="F50" i="248"/>
  <c r="K48" i="248"/>
  <c r="I110" i="248"/>
  <c r="C110" i="248"/>
  <c r="K45" i="248"/>
  <c r="K109" i="248" s="1"/>
  <c r="C109" i="248"/>
  <c r="J109" i="248"/>
  <c r="F109" i="248"/>
  <c r="F108" i="248"/>
  <c r="J108" i="248"/>
  <c r="C6" i="350"/>
  <c r="I107" i="248"/>
  <c r="E107" i="248"/>
  <c r="G6" i="350"/>
  <c r="F106" i="248"/>
  <c r="J106" i="248"/>
  <c r="K105" i="248"/>
  <c r="H6" i="350"/>
  <c r="E105" i="248"/>
  <c r="J104" i="248"/>
  <c r="D40" i="248"/>
  <c r="H40" i="248"/>
  <c r="I104" i="248"/>
  <c r="J47" i="248"/>
  <c r="J103" i="248"/>
  <c r="E103" i="248"/>
  <c r="E38" i="248"/>
  <c r="E102" i="248" s="1"/>
  <c r="I38" i="248"/>
  <c r="E29" i="248"/>
  <c r="E124" i="248"/>
  <c r="E125" i="248" s="1"/>
  <c r="G28" i="248"/>
  <c r="G29" i="248" s="1"/>
  <c r="K28" i="248"/>
  <c r="K124" i="248" s="1"/>
  <c r="E139" i="134"/>
  <c r="I139" i="134"/>
  <c r="C29" i="248"/>
  <c r="D123" i="248"/>
  <c r="C25" i="248"/>
  <c r="H25" i="248"/>
  <c r="G25" i="248"/>
  <c r="I23" i="248"/>
  <c r="H118" i="134"/>
  <c r="K23" i="248"/>
  <c r="K119" i="248" s="1"/>
  <c r="I22" i="248"/>
  <c r="I117" i="248"/>
  <c r="D22" i="248"/>
  <c r="D117" i="248"/>
  <c r="H110" i="134"/>
  <c r="I110" i="134"/>
  <c r="E22" i="248"/>
  <c r="J22" i="248"/>
  <c r="F22" i="248"/>
  <c r="G20" i="248"/>
  <c r="K22" i="248"/>
  <c r="H20" i="248"/>
  <c r="H116" i="248" s="1"/>
  <c r="F74" i="134"/>
  <c r="J17" i="248"/>
  <c r="J113" i="248" s="1"/>
  <c r="K74" i="134"/>
  <c r="G74" i="134"/>
  <c r="D112" i="248"/>
  <c r="F18" i="248"/>
  <c r="K18" i="248"/>
  <c r="E16" i="248"/>
  <c r="J16" i="248"/>
  <c r="J18" i="248" s="1"/>
  <c r="D74" i="134"/>
  <c r="K14" i="248"/>
  <c r="K110" i="248" s="1"/>
  <c r="H6" i="134"/>
  <c r="K103" i="248"/>
  <c r="H7" i="248"/>
  <c r="I7" i="248"/>
  <c r="D6" i="134"/>
  <c r="C6" i="248"/>
  <c r="I93" i="248"/>
  <c r="G22" i="248"/>
  <c r="I30" i="337"/>
  <c r="J32" i="337"/>
  <c r="J33" i="337" s="1"/>
  <c r="L18" i="337"/>
  <c r="H46" i="146"/>
  <c r="H48" i="146"/>
  <c r="D48" i="146"/>
  <c r="E46" i="146"/>
  <c r="D46" i="146"/>
  <c r="D30" i="146"/>
  <c r="C48" i="146"/>
  <c r="D49" i="146" s="1"/>
  <c r="J62" i="95"/>
  <c r="J51" i="95"/>
  <c r="D39" i="248"/>
  <c r="D6" i="350"/>
  <c r="I41" i="248"/>
  <c r="K42" i="248"/>
  <c r="K106" i="248" s="1"/>
  <c r="K6" i="350"/>
  <c r="F33" i="337"/>
  <c r="F34" i="337" s="1"/>
  <c r="I57" i="248"/>
  <c r="L27" i="126"/>
  <c r="K24" i="126"/>
  <c r="P23" i="140" s="1"/>
  <c r="C24" i="126"/>
  <c r="J6" i="350"/>
  <c r="C167" i="358"/>
  <c r="C173" i="358" s="1"/>
  <c r="C104" i="248"/>
  <c r="C104" i="146"/>
  <c r="I46" i="146"/>
  <c r="G9" i="233"/>
  <c r="J64" i="343"/>
  <c r="Q61" i="343"/>
  <c r="K21" i="343"/>
  <c r="K141" i="343"/>
  <c r="U139" i="343"/>
  <c r="E18" i="126"/>
  <c r="E172" i="343"/>
  <c r="H16" i="126"/>
  <c r="C7" i="126"/>
  <c r="E26" i="233"/>
  <c r="C27" i="233"/>
  <c r="O25" i="140"/>
  <c r="N25" i="140" s="1"/>
  <c r="J29" i="126"/>
  <c r="O28" i="140" s="1"/>
  <c r="J342" i="343"/>
  <c r="K114" i="343"/>
  <c r="J85" i="343"/>
  <c r="J84" i="343" s="1"/>
  <c r="J13" i="126" s="1"/>
  <c r="Q84" i="343"/>
  <c r="I13" i="126"/>
  <c r="J34" i="343"/>
  <c r="H48" i="298"/>
  <c r="D48" i="298"/>
  <c r="C25" i="298"/>
  <c r="C50" i="298" s="1"/>
  <c r="C53" i="298" s="1"/>
  <c r="J6" i="233"/>
  <c r="P6" i="299" s="1"/>
  <c r="F30" i="253"/>
  <c r="H92" i="363"/>
  <c r="I30" i="253"/>
  <c r="I31" i="253" s="1"/>
  <c r="K92" i="363"/>
  <c r="C32" i="253"/>
  <c r="C35" i="253" s="1"/>
  <c r="B64" i="86" s="1"/>
  <c r="E96" i="363"/>
  <c r="E97" i="363" s="1"/>
  <c r="B1853" i="364"/>
  <c r="B56" i="364"/>
  <c r="B342" i="364"/>
  <c r="B3" i="100"/>
  <c r="F2" i="314" s="1"/>
  <c r="A17" i="343"/>
  <c r="A7" i="126" s="1"/>
  <c r="G25" i="233"/>
  <c r="K28" i="86"/>
  <c r="K32" i="86" s="1"/>
  <c r="M110" i="123" s="1"/>
  <c r="L161" i="343"/>
  <c r="L20" i="126" s="1"/>
  <c r="K155" i="343"/>
  <c r="J107" i="343"/>
  <c r="L84" i="343"/>
  <c r="L13" i="126" s="1"/>
  <c r="Q12" i="140" s="1"/>
  <c r="F8" i="126"/>
  <c r="F45" i="136"/>
  <c r="L62" i="95"/>
  <c r="L51" i="95"/>
  <c r="C55" i="253"/>
  <c r="C21" i="255"/>
  <c r="C7" i="127" s="1"/>
  <c r="D47" i="123" s="1"/>
  <c r="E26" i="253"/>
  <c r="K42" i="253"/>
  <c r="B66" i="364"/>
  <c r="K91" i="255"/>
  <c r="F23" i="233"/>
  <c r="L73" i="343"/>
  <c r="L12" i="126" s="1"/>
  <c r="E11" i="294" s="1"/>
  <c r="W172" i="343"/>
  <c r="G6" i="126"/>
  <c r="I45" i="136"/>
  <c r="A48" i="316"/>
  <c r="A43" i="316"/>
  <c r="C25" i="316"/>
  <c r="C59" i="316" s="1"/>
  <c r="G25" i="298"/>
  <c r="G26" i="298" s="1"/>
  <c r="E25" i="300"/>
  <c r="K20" i="301"/>
  <c r="I13" i="253"/>
  <c r="I14" i="253"/>
  <c r="H62" i="86" s="1"/>
  <c r="K75" i="363"/>
  <c r="G18" i="253"/>
  <c r="K35" i="253"/>
  <c r="K64" i="86" s="1"/>
  <c r="C91" i="255"/>
  <c r="A139" i="343"/>
  <c r="A18" i="126" s="1"/>
  <c r="A17" i="140" s="1"/>
  <c r="A138" i="342"/>
  <c r="A306" i="342" s="1"/>
  <c r="A35" i="233" s="1"/>
  <c r="A117" i="343"/>
  <c r="F26" i="126"/>
  <c r="L106" i="343"/>
  <c r="L15" i="126" s="1"/>
  <c r="E14" i="294" s="1"/>
  <c r="K96" i="343"/>
  <c r="J37" i="246"/>
  <c r="J41" i="246" s="1"/>
  <c r="F37" i="246"/>
  <c r="F41" i="246" s="1"/>
  <c r="I32" i="142"/>
  <c r="L63" i="305"/>
  <c r="H63" i="305"/>
  <c r="H92" i="255" s="1"/>
  <c r="K25" i="298"/>
  <c r="K26" i="298" s="1"/>
  <c r="C7" i="253"/>
  <c r="C10" i="253"/>
  <c r="C15" i="253" s="1"/>
  <c r="E71" i="363"/>
  <c r="E76" i="363"/>
  <c r="F6" i="253"/>
  <c r="F10" i="253" s="1"/>
  <c r="H71" i="363"/>
  <c r="H76" i="363" s="1"/>
  <c r="K12" i="253"/>
  <c r="K14" i="253" s="1"/>
  <c r="M75" i="363"/>
  <c r="M76" i="363"/>
  <c r="P172" i="343"/>
  <c r="L14" i="123"/>
  <c r="F67" i="144"/>
  <c r="F12" i="237" s="1"/>
  <c r="H27" i="136"/>
  <c r="H46" i="136" s="1"/>
  <c r="I49" i="316"/>
  <c r="E49" i="316"/>
  <c r="E60" i="316" s="1"/>
  <c r="G57" i="145"/>
  <c r="C57" i="145"/>
  <c r="F48" i="298"/>
  <c r="C58" i="253"/>
  <c r="F87" i="363"/>
  <c r="D23" i="253"/>
  <c r="D26" i="253" s="1"/>
  <c r="C63" i="86" s="1"/>
  <c r="H23" i="253"/>
  <c r="H26" i="253"/>
  <c r="G63" i="86" s="1"/>
  <c r="J87" i="363"/>
  <c r="M96" i="363"/>
  <c r="M100" i="363"/>
  <c r="K38" i="253"/>
  <c r="K39" i="253"/>
  <c r="F139" i="350"/>
  <c r="C20" i="248"/>
  <c r="C22" i="248"/>
  <c r="C110" i="134"/>
  <c r="U50" i="343"/>
  <c r="K49" i="88"/>
  <c r="M42" i="123"/>
  <c r="E67" i="144"/>
  <c r="E12" i="237" s="1"/>
  <c r="K27" i="136"/>
  <c r="G27" i="136"/>
  <c r="D49" i="316"/>
  <c r="D60" i="316"/>
  <c r="G100" i="146"/>
  <c r="N23" i="139"/>
  <c r="F23" i="139"/>
  <c r="F55" i="253"/>
  <c r="F21" i="255"/>
  <c r="F7" i="127" s="1"/>
  <c r="G47" i="123" s="1"/>
  <c r="G87" i="363"/>
  <c r="G100" i="363"/>
  <c r="E38" i="253"/>
  <c r="E39" i="253" s="1"/>
  <c r="H98" i="146"/>
  <c r="H100" i="146"/>
  <c r="F57" i="145"/>
  <c r="G37" i="148"/>
  <c r="E48" i="298"/>
  <c r="L39" i="140"/>
  <c r="E39" i="140"/>
  <c r="H25" i="300"/>
  <c r="M25" i="300"/>
  <c r="I62" i="95"/>
  <c r="I51" i="95"/>
  <c r="E118" i="349"/>
  <c r="E167" i="349" s="1"/>
  <c r="E175" i="349" s="1"/>
  <c r="E187" i="248"/>
  <c r="E189" i="248" s="1"/>
  <c r="F49" i="316"/>
  <c r="F52" i="316" s="1"/>
  <c r="K53" i="316"/>
  <c r="H25" i="316"/>
  <c r="H59" i="316" s="1"/>
  <c r="D63" i="305"/>
  <c r="G98" i="146"/>
  <c r="J46" i="146"/>
  <c r="I48" i="146"/>
  <c r="I102" i="146" s="1"/>
  <c r="J103" i="146" s="1"/>
  <c r="L48" i="298"/>
  <c r="I25" i="300"/>
  <c r="G106" i="363"/>
  <c r="E40" i="253"/>
  <c r="E45" i="253" s="1"/>
  <c r="D65" i="86" s="1"/>
  <c r="F118" i="134"/>
  <c r="F23" i="248"/>
  <c r="F25" i="248" s="1"/>
  <c r="G185" i="248"/>
  <c r="G186" i="248" s="1"/>
  <c r="G110" i="349"/>
  <c r="F61" i="248"/>
  <c r="I74" i="134"/>
  <c r="I16" i="248"/>
  <c r="I112" i="248" s="1"/>
  <c r="I114" i="248" s="1"/>
  <c r="J74" i="367"/>
  <c r="J80" i="248"/>
  <c r="J82" i="248"/>
  <c r="C74" i="134"/>
  <c r="D28" i="248"/>
  <c r="D29" i="248" s="1"/>
  <c r="D139" i="134"/>
  <c r="I187" i="248"/>
  <c r="I189" i="248" s="1"/>
  <c r="I118" i="349"/>
  <c r="H192" i="248"/>
  <c r="H193" i="248" s="1"/>
  <c r="H139" i="349"/>
  <c r="C16" i="248"/>
  <c r="G118" i="367"/>
  <c r="D118" i="367"/>
  <c r="I118" i="367"/>
  <c r="D87" i="248"/>
  <c r="D89" i="248" s="1"/>
  <c r="H52" i="316"/>
  <c r="F60" i="316"/>
  <c r="A309" i="343"/>
  <c r="Q26" i="140"/>
  <c r="I55" i="253"/>
  <c r="B38" i="364"/>
  <c r="B1261" i="364"/>
  <c r="B388" i="364"/>
  <c r="B480" i="364"/>
  <c r="B936" i="364"/>
  <c r="B1541" i="364"/>
  <c r="B499" i="364"/>
  <c r="B1098" i="364"/>
  <c r="B1712" i="364"/>
  <c r="B873" i="364"/>
  <c r="B1327" i="364"/>
  <c r="B2521" i="364"/>
  <c r="B1964" i="364"/>
  <c r="B2343" i="364"/>
  <c r="B2620" i="364"/>
  <c r="B1068" i="364"/>
  <c r="B223" i="364"/>
  <c r="B2225" i="364"/>
  <c r="B1023" i="364"/>
  <c r="B276" i="364"/>
  <c r="B592" i="364"/>
  <c r="B1084" i="364"/>
  <c r="B1688" i="364"/>
  <c r="B611" i="364"/>
  <c r="B1254" i="364"/>
  <c r="B1906" i="364"/>
  <c r="B985" i="364"/>
  <c r="B1469" i="364"/>
  <c r="B1953" i="364"/>
  <c r="B2273" i="364"/>
  <c r="B2827" i="364"/>
  <c r="B992" i="364"/>
  <c r="D2" i="136"/>
  <c r="D2" i="128"/>
  <c r="E2" i="361"/>
  <c r="B15" i="364"/>
  <c r="B36" i="100"/>
  <c r="B26" i="100"/>
  <c r="T3" i="233" s="1"/>
  <c r="B2445" i="364"/>
  <c r="B2295" i="364"/>
  <c r="B2832" i="364"/>
  <c r="B2355" i="364"/>
  <c r="B2217" i="364"/>
  <c r="B2018" i="364"/>
  <c r="B1916" i="364"/>
  <c r="B1788" i="364"/>
  <c r="B1722" i="364"/>
  <c r="B1658" i="364"/>
  <c r="B1594" i="364"/>
  <c r="B1530" i="364"/>
  <c r="B1466" i="364"/>
  <c r="B1402" i="364"/>
  <c r="B1338" i="364"/>
  <c r="B1274" i="364"/>
  <c r="B1210" i="364"/>
  <c r="B1146" i="364"/>
  <c r="B1082" i="364"/>
  <c r="B1018" i="364"/>
  <c r="B954" i="364"/>
  <c r="B922" i="364"/>
  <c r="B890" i="364"/>
  <c r="B858" i="364"/>
  <c r="B2276" i="364"/>
  <c r="B1909" i="364"/>
  <c r="B1781" i="364"/>
  <c r="B1713" i="364"/>
  <c r="B1649" i="364"/>
  <c r="B1585" i="364"/>
  <c r="B1521" i="364"/>
  <c r="B1457" i="364"/>
  <c r="B1393" i="364"/>
  <c r="B1329" i="364"/>
  <c r="B1265" i="364"/>
  <c r="B1201" i="364"/>
  <c r="B1137" i="364"/>
  <c r="B1073" i="364"/>
  <c r="B1009" i="364"/>
  <c r="B848" i="364"/>
  <c r="B721" i="364"/>
  <c r="B684" i="364"/>
  <c r="B634" i="364"/>
  <c r="B593" i="364"/>
  <c r="B556" i="364"/>
  <c r="B2274" i="364"/>
  <c r="B2050" i="364"/>
  <c r="B1877" i="364"/>
  <c r="B1806" i="364"/>
  <c r="B1685" i="364"/>
  <c r="B1557" i="364"/>
  <c r="B1429" i="364"/>
  <c r="B1301" i="364"/>
  <c r="B1173" i="364"/>
  <c r="B1045" i="364"/>
  <c r="B941" i="364"/>
  <c r="B877" i="364"/>
  <c r="B830" i="364"/>
  <c r="B798" i="364"/>
  <c r="B766" i="364"/>
  <c r="B734" i="364"/>
  <c r="B697" i="364"/>
  <c r="B660" i="364"/>
  <c r="B610" i="364"/>
  <c r="B569" i="364"/>
  <c r="B532" i="364"/>
  <c r="B482" i="364"/>
  <c r="B441" i="364"/>
  <c r="B421" i="364"/>
  <c r="B405" i="364"/>
  <c r="B389" i="364"/>
  <c r="B373" i="364"/>
  <c r="B357" i="364"/>
  <c r="B341" i="364"/>
  <c r="B325" i="364"/>
  <c r="B2561" i="364"/>
  <c r="B1971" i="364"/>
  <c r="B1782" i="364"/>
  <c r="B1653" i="364"/>
  <c r="B1525" i="364"/>
  <c r="B2762" i="364"/>
  <c r="B2345" i="364"/>
  <c r="B2172" i="364"/>
  <c r="B2306" i="364"/>
  <c r="B2119" i="364"/>
  <c r="B1934" i="364"/>
  <c r="B1762" i="364"/>
  <c r="B1690" i="364"/>
  <c r="B1602" i="364"/>
  <c r="B1506" i="364"/>
  <c r="B1434" i="364"/>
  <c r="B1346" i="364"/>
  <c r="B1250" i="364"/>
  <c r="B1178" i="364"/>
  <c r="B1090" i="364"/>
  <c r="B994" i="364"/>
  <c r="B931" i="364"/>
  <c r="B894" i="364"/>
  <c r="B2679" i="364"/>
  <c r="B2089" i="364"/>
  <c r="B1821" i="364"/>
  <c r="B1703" i="364"/>
  <c r="B1612" i="364"/>
  <c r="B1536" i="364"/>
  <c r="B1447" i="364"/>
  <c r="B1356" i="364"/>
  <c r="B1280" i="364"/>
  <c r="B1191" i="364"/>
  <c r="B1100" i="364"/>
  <c r="B1024" i="364"/>
  <c r="B816" i="364"/>
  <c r="B698" i="364"/>
  <c r="B652" i="364"/>
  <c r="B588" i="364"/>
  <c r="B2804" i="364"/>
  <c r="B2099" i="364"/>
  <c r="B1864" i="364"/>
  <c r="B1749" i="364"/>
  <c r="B1595" i="364"/>
  <c r="B1403" i="364"/>
  <c r="B1237" i="364"/>
  <c r="B1083" i="364"/>
  <c r="B935" i="364"/>
  <c r="B851" i="364"/>
  <c r="B803" i="364"/>
  <c r="B762" i="364"/>
  <c r="B724" i="364"/>
  <c r="B665" i="364"/>
  <c r="B601" i="364"/>
  <c r="B546" i="364"/>
  <c r="B500" i="364"/>
  <c r="B438" i="364"/>
  <c r="B411" i="364"/>
  <c r="B392" i="364"/>
  <c r="B370" i="364"/>
  <c r="B347" i="364"/>
  <c r="B328" i="364"/>
  <c r="B2504" i="364"/>
  <c r="B1884" i="364"/>
  <c r="B1691" i="364"/>
  <c r="B1489" i="364"/>
  <c r="B1361" i="364"/>
  <c r="B1233" i="364"/>
  <c r="B1105" i="364"/>
  <c r="B977" i="364"/>
  <c r="B813" i="364"/>
  <c r="B2097" i="364"/>
  <c r="B1832" i="364"/>
  <c r="B1568" i="364"/>
  <c r="B1312" i="364"/>
  <c r="B1056" i="364"/>
  <c r="B775" i="364"/>
  <c r="B681" i="364"/>
  <c r="B636" i="364"/>
  <c r="B577" i="364"/>
  <c r="B530" i="364"/>
  <c r="B490" i="364"/>
  <c r="B435" i="364"/>
  <c r="B415" i="364"/>
  <c r="B391" i="364"/>
  <c r="B371" i="364"/>
  <c r="B351" i="364"/>
  <c r="B327" i="364"/>
  <c r="B302" i="364"/>
  <c r="B270" i="364"/>
  <c r="B238" i="364"/>
  <c r="B206" i="364"/>
  <c r="B2158" i="364"/>
  <c r="B1671" i="364"/>
  <c r="B1415" i="364"/>
  <c r="B1159" i="364"/>
  <c r="B845" i="364"/>
  <c r="B690" i="364"/>
  <c r="B580" i="364"/>
  <c r="B497" i="364"/>
  <c r="B465" i="364"/>
  <c r="B394" i="364"/>
  <c r="B334" i="364"/>
  <c r="B299" i="364"/>
  <c r="B278" i="364"/>
  <c r="B253" i="364"/>
  <c r="B235" i="364"/>
  <c r="B214" i="364"/>
  <c r="B189" i="364"/>
  <c r="B173" i="364"/>
  <c r="B157" i="364"/>
  <c r="B141" i="364"/>
  <c r="B125" i="364"/>
  <c r="B109" i="364"/>
  <c r="B93" i="364"/>
  <c r="B77" i="364"/>
  <c r="B61" i="364"/>
  <c r="B45" i="364"/>
  <c r="B29" i="364"/>
  <c r="B13" i="364"/>
  <c r="B2622" i="364"/>
  <c r="B1553" i="364"/>
  <c r="B1041" i="364"/>
  <c r="B554" i="364"/>
  <c r="B452" i="364"/>
  <c r="B410" i="364"/>
  <c r="B350" i="364"/>
  <c r="B307" i="364"/>
  <c r="B275" i="364"/>
  <c r="B243" i="364"/>
  <c r="B211" i="364"/>
  <c r="B183" i="364"/>
  <c r="B151" i="364"/>
  <c r="B119" i="364"/>
  <c r="B87" i="364"/>
  <c r="B55" i="364"/>
  <c r="B23" i="364"/>
  <c r="B53" i="364"/>
  <c r="B117" i="364"/>
  <c r="B181" i="364"/>
  <c r="B234" i="364"/>
  <c r="B298" i="364"/>
  <c r="B604" i="364"/>
  <c r="B714" i="364"/>
  <c r="B1589" i="364"/>
  <c r="B31" i="364"/>
  <c r="B63" i="364"/>
  <c r="B95" i="364"/>
  <c r="B127" i="364"/>
  <c r="B159" i="364"/>
  <c r="B191" i="364"/>
  <c r="B230" i="364"/>
  <c r="B269" i="364"/>
  <c r="B333" i="364"/>
  <c r="B400" i="364"/>
  <c r="B442" i="364"/>
  <c r="B529" i="364"/>
  <c r="B1031" i="364"/>
  <c r="B1543" i="364"/>
  <c r="B2741" i="364"/>
  <c r="B59" i="364"/>
  <c r="B123" i="364"/>
  <c r="B187" i="364"/>
  <c r="B251" i="364"/>
  <c r="B378" i="364"/>
  <c r="B562" i="364"/>
  <c r="B2310" i="364"/>
  <c r="B2432" i="364"/>
  <c r="B2138" i="364"/>
  <c r="B1878" i="364"/>
  <c r="B1730" i="364"/>
  <c r="B1626" i="364"/>
  <c r="B1498" i="364"/>
  <c r="B1378" i="364"/>
  <c r="B1282" i="364"/>
  <c r="B1154" i="364"/>
  <c r="B1050" i="364"/>
  <c r="B947" i="364"/>
  <c r="B883" i="364"/>
  <c r="B2353" i="364"/>
  <c r="B1838" i="364"/>
  <c r="B1676" i="364"/>
  <c r="B1575" i="364"/>
  <c r="B1472" i="364"/>
  <c r="B1344" i="364"/>
  <c r="B1228" i="364"/>
  <c r="B1127" i="364"/>
  <c r="B999" i="364"/>
  <c r="B752" i="364"/>
  <c r="B657" i="364"/>
  <c r="B570" i="364"/>
  <c r="B2203" i="364"/>
  <c r="B1917" i="364"/>
  <c r="B1723" i="364"/>
  <c r="B1493" i="364"/>
  <c r="B1275" i="364"/>
  <c r="B1019" i="364"/>
  <c r="B903" i="364"/>
  <c r="B819" i="364"/>
  <c r="B755" i="364"/>
  <c r="B692" i="364"/>
  <c r="B628" i="364"/>
  <c r="B537" i="364"/>
  <c r="B468" i="364"/>
  <c r="B418" i="364"/>
  <c r="B386" i="364"/>
  <c r="B360" i="364"/>
  <c r="B331" i="364"/>
  <c r="B2394" i="364"/>
  <c r="B1745" i="364"/>
  <c r="B1563" i="364"/>
  <c r="B1324" i="364"/>
  <c r="B1179" i="364"/>
  <c r="B1013" i="364"/>
  <c r="B807" i="364"/>
  <c r="B1885" i="364"/>
  <c r="B1607" i="364"/>
  <c r="B1223" i="364"/>
  <c r="B829" i="364"/>
  <c r="B700" i="364"/>
  <c r="B617" i="364"/>
  <c r="B553" i="364"/>
  <c r="B506" i="364"/>
  <c r="B431" i="364"/>
  <c r="B403" i="364"/>
  <c r="B375" i="364"/>
  <c r="B343" i="364"/>
  <c r="B319" i="364"/>
  <c r="B279" i="364"/>
  <c r="B231" i="364"/>
  <c r="B190" i="364"/>
  <c r="B1717" i="364"/>
  <c r="B1388" i="364"/>
  <c r="B1115" i="364"/>
  <c r="B743" i="364"/>
  <c r="B545" i="364"/>
  <c r="B481" i="364"/>
  <c r="B398" i="364"/>
  <c r="B330" i="364"/>
  <c r="B285" i="364"/>
  <c r="B264" i="364"/>
  <c r="B232" i="364"/>
  <c r="B203" i="364"/>
  <c r="B176" i="364"/>
  <c r="B154" i="364"/>
  <c r="B131" i="364"/>
  <c r="B112" i="364"/>
  <c r="B90" i="364"/>
  <c r="B67" i="364"/>
  <c r="B48" i="364"/>
  <c r="B26" i="364"/>
  <c r="B3" i="364"/>
  <c r="B1376" i="364"/>
  <c r="B626" i="364"/>
  <c r="B457" i="364"/>
  <c r="B390" i="364"/>
  <c r="B326" i="364"/>
  <c r="B290" i="364"/>
  <c r="B240" i="364"/>
  <c r="B197" i="364"/>
  <c r="B158" i="364"/>
  <c r="B110" i="364"/>
  <c r="B71" i="364"/>
  <c r="B30" i="364"/>
  <c r="B43" i="364"/>
  <c r="B139" i="364"/>
  <c r="B219" i="364"/>
  <c r="B288" i="364"/>
  <c r="B609" i="364"/>
  <c r="B1077" i="364"/>
  <c r="B8" i="364"/>
  <c r="B50" i="364"/>
  <c r="B86" i="364"/>
  <c r="B136" i="364"/>
  <c r="B178" i="364"/>
  <c r="B216" i="364"/>
  <c r="B280" i="364"/>
  <c r="B358" i="364"/>
  <c r="B436" i="364"/>
  <c r="B682" i="364"/>
  <c r="B1499" i="364"/>
  <c r="B2755" i="364"/>
  <c r="B69" i="364"/>
  <c r="B155" i="364"/>
  <c r="B242" i="364"/>
  <c r="B382" i="364"/>
  <c r="B649" i="364"/>
  <c r="B1333" i="364"/>
  <c r="B2753" i="364"/>
  <c r="B2724" i="364"/>
  <c r="B2865" i="364"/>
  <c r="B2849" i="364"/>
  <c r="B2830" i="364"/>
  <c r="B2814" i="364"/>
  <c r="B2798" i="364"/>
  <c r="B2782" i="364"/>
  <c r="B2767" i="364"/>
  <c r="B2713" i="364"/>
  <c r="B2698" i="364"/>
  <c r="B2682" i="364"/>
  <c r="B2663" i="364"/>
  <c r="B2647" i="364"/>
  <c r="B2632" i="364"/>
  <c r="B2616" i="364"/>
  <c r="B2601" i="364"/>
  <c r="B2585" i="364"/>
  <c r="B2570" i="364"/>
  <c r="B2554" i="364"/>
  <c r="B2535" i="364"/>
  <c r="B2519" i="364"/>
  <c r="B2723" i="364"/>
  <c r="B2859" i="364"/>
  <c r="B2838" i="364"/>
  <c r="B2819" i="364"/>
  <c r="B2797" i="364"/>
  <c r="B2776" i="364"/>
  <c r="B2718" i="364"/>
  <c r="B2697" i="364"/>
  <c r="B2676" i="364"/>
  <c r="B2657" i="364"/>
  <c r="B2637" i="364"/>
  <c r="B2615" i="364"/>
  <c r="B2590" i="364"/>
  <c r="B2569" i="364"/>
  <c r="B2548" i="364"/>
  <c r="B2529" i="364"/>
  <c r="B2507" i="364"/>
  <c r="B2491" i="364"/>
  <c r="B2477" i="364"/>
  <c r="B2462" i="364"/>
  <c r="B2447" i="364"/>
  <c r="B2428" i="364"/>
  <c r="B2413" i="364"/>
  <c r="B2738" i="364"/>
  <c r="B2756" i="364"/>
  <c r="B2722" i="364"/>
  <c r="B2858" i="364"/>
  <c r="B2833" i="364"/>
  <c r="B2812" i="364"/>
  <c r="B2791" i="364"/>
  <c r="B2770" i="364"/>
  <c r="B2711" i="364"/>
  <c r="B2685" i="364"/>
  <c r="B2666" i="364"/>
  <c r="B2645" i="364"/>
  <c r="B2625" i="364"/>
  <c r="B2604" i="364"/>
  <c r="B2583" i="364"/>
  <c r="B2557" i="364"/>
  <c r="B2538" i="364"/>
  <c r="B2517" i="364"/>
  <c r="B2502" i="364"/>
  <c r="B2486" i="364"/>
  <c r="B2464" i="364"/>
  <c r="B2754" i="364"/>
  <c r="B2855" i="364"/>
  <c r="B2816" i="364"/>
  <c r="B2764" i="364"/>
  <c r="B2677" i="364"/>
  <c r="B2638" i="364"/>
  <c r="B2598" i="364"/>
  <c r="B2549" i="364"/>
  <c r="B2513" i="364"/>
  <c r="B2479" i="364"/>
  <c r="B2446" i="364"/>
  <c r="B2422" i="364"/>
  <c r="B2403" i="364"/>
  <c r="B2384" i="364"/>
  <c r="B2369" i="364"/>
  <c r="B2354" i="364"/>
  <c r="B2339" i="364"/>
  <c r="B2320" i="364"/>
  <c r="B2305" i="364"/>
  <c r="B2290" i="364"/>
  <c r="B2275" i="364"/>
  <c r="B2256" i="364"/>
  <c r="B2241" i="364"/>
  <c r="B2226" i="364"/>
  <c r="B2211" i="364"/>
  <c r="B2192" i="364"/>
  <c r="B2177" i="364"/>
  <c r="B2162" i="364"/>
  <c r="B2147" i="364"/>
  <c r="B2128" i="364"/>
  <c r="B2113" i="364"/>
  <c r="B2098" i="364"/>
  <c r="B2083" i="364"/>
  <c r="B2064" i="364"/>
  <c r="B2049" i="364"/>
  <c r="B2034" i="364"/>
  <c r="B2019" i="364"/>
  <c r="B2000" i="364"/>
  <c r="B1985" i="364"/>
  <c r="B1970" i="364"/>
  <c r="B1956" i="364"/>
  <c r="B1938" i="364"/>
  <c r="B1924" i="364"/>
  <c r="B2862" i="364"/>
  <c r="B2799" i="364"/>
  <c r="B2708" i="364"/>
  <c r="B2660" i="364"/>
  <c r="B2607" i="364"/>
  <c r="B2556" i="364"/>
  <c r="B2509" i="364"/>
  <c r="B2475" i="364"/>
  <c r="B2444" i="364"/>
  <c r="B2414" i="364"/>
  <c r="B2393" i="364"/>
  <c r="B2372" i="364"/>
  <c r="B2348" i="364"/>
  <c r="B2329" i="364"/>
  <c r="B2308" i="364"/>
  <c r="B2284" i="364"/>
  <c r="B2265" i="364"/>
  <c r="B2244" i="364"/>
  <c r="B2220" i="364"/>
  <c r="B2201" i="364"/>
  <c r="B2180" i="364"/>
  <c r="B2156" i="364"/>
  <c r="B2137" i="364"/>
  <c r="B2116" i="364"/>
  <c r="B2092" i="364"/>
  <c r="B2073" i="364"/>
  <c r="B2052" i="364"/>
  <c r="B2028" i="364"/>
  <c r="B2009" i="364"/>
  <c r="B1988" i="364"/>
  <c r="B1959" i="364"/>
  <c r="B1941" i="364"/>
  <c r="B1919" i="364"/>
  <c r="B1901" i="364"/>
  <c r="B1887" i="364"/>
  <c r="B1869" i="364"/>
  <c r="B1855" i="364"/>
  <c r="B1837" i="364"/>
  <c r="B1823" i="364"/>
  <c r="B1805" i="364"/>
  <c r="B1791" i="364"/>
  <c r="B1773" i="364"/>
  <c r="B2872" i="364"/>
  <c r="B2821" i="364"/>
  <c r="B2769" i="364"/>
  <c r="B2670" i="364"/>
  <c r="B2603" i="364"/>
  <c r="B2542" i="364"/>
  <c r="B2496" i="364"/>
  <c r="B2455" i="364"/>
  <c r="B2431" i="364"/>
  <c r="B2405" i="364"/>
  <c r="B2386" i="364"/>
  <c r="B2367" i="364"/>
  <c r="B2341" i="364"/>
  <c r="B2322" i="364"/>
  <c r="B2303" i="364"/>
  <c r="B2277" i="364"/>
  <c r="B2258" i="364"/>
  <c r="B2239" i="364"/>
  <c r="B2213" i="364"/>
  <c r="B2194" i="364"/>
  <c r="B2175" i="364"/>
  <c r="B2149" i="364"/>
  <c r="B2130" i="364"/>
  <c r="B2111" i="364"/>
  <c r="B2085" i="364"/>
  <c r="B2066" i="364"/>
  <c r="B2047" i="364"/>
  <c r="B2021" i="364"/>
  <c r="B2002" i="364"/>
  <c r="B1983" i="364"/>
  <c r="B1962" i="364"/>
  <c r="B1940" i="364"/>
  <c r="B1921" i="364"/>
  <c r="B1907" i="364"/>
  <c r="B1889" i="364"/>
  <c r="B1875" i="364"/>
  <c r="B1857" i="364"/>
  <c r="B1843" i="364"/>
  <c r="B1825" i="364"/>
  <c r="B1811" i="364"/>
  <c r="B1793" i="364"/>
  <c r="B1779" i="364"/>
  <c r="B2867" i="364"/>
  <c r="B2768" i="364"/>
  <c r="B2611" i="364"/>
  <c r="B2501" i="364"/>
  <c r="B2421" i="364"/>
  <c r="B2379" i="364"/>
  <c r="B2335" i="364"/>
  <c r="B2296" i="364"/>
  <c r="B2251" i="364"/>
  <c r="B2207" i="364"/>
  <c r="B2168" i="364"/>
  <c r="B2123" i="364"/>
  <c r="B2079" i="364"/>
  <c r="B2040" i="364"/>
  <c r="B1995" i="364"/>
  <c r="B1944" i="364"/>
  <c r="B1895" i="364"/>
  <c r="B1863" i="364"/>
  <c r="B16" i="100"/>
  <c r="B2221" i="364"/>
  <c r="B2262" i="364"/>
  <c r="B1955" i="364"/>
  <c r="B1698" i="364"/>
  <c r="B1562" i="364"/>
  <c r="B1410" i="364"/>
  <c r="B1242" i="364"/>
  <c r="B1114" i="364"/>
  <c r="B962" i="364"/>
  <c r="B867" i="364"/>
  <c r="B2054" i="364"/>
  <c r="B1728" i="364"/>
  <c r="B1548" i="364"/>
  <c r="B1408" i="364"/>
  <c r="B1255" i="364"/>
  <c r="B1088" i="364"/>
  <c r="B960" i="364"/>
  <c r="B666" i="364"/>
  <c r="B561" i="364"/>
  <c r="B2020" i="364"/>
  <c r="B1789" i="364"/>
  <c r="B1467" i="364"/>
  <c r="B1147" i="364"/>
  <c r="B909" i="364"/>
  <c r="B794" i="364"/>
  <c r="B730" i="364"/>
  <c r="B633" i="364"/>
  <c r="B514" i="364"/>
  <c r="B427" i="364"/>
  <c r="B395" i="364"/>
  <c r="B354" i="364"/>
  <c r="B315" i="364"/>
  <c r="B1845" i="364"/>
  <c r="B1452" i="364"/>
  <c r="B1269" i="364"/>
  <c r="B1051" i="364"/>
  <c r="B2743" i="364"/>
  <c r="B1735" i="364"/>
  <c r="B1351" i="364"/>
  <c r="B781" i="364"/>
  <c r="B658" i="364"/>
  <c r="B572" i="364"/>
  <c r="B449" i="364"/>
  <c r="B419" i="364"/>
  <c r="B383" i="364"/>
  <c r="B339" i="364"/>
  <c r="B295" i="364"/>
  <c r="B247" i="364"/>
  <c r="B2300" i="364"/>
  <c r="B1627" i="364"/>
  <c r="B1132" i="364"/>
  <c r="B650" i="364"/>
  <c r="B522" i="364"/>
  <c r="B413" i="364"/>
  <c r="B310" i="364"/>
  <c r="B271" i="364"/>
  <c r="B239" i="364"/>
  <c r="B200" i="364"/>
  <c r="B163" i="364"/>
  <c r="B138" i="364"/>
  <c r="B106" i="364"/>
  <c r="B80" i="364"/>
  <c r="B51" i="364"/>
  <c r="B19" i="364"/>
  <c r="B28" i="100"/>
  <c r="B1632" i="364"/>
  <c r="B586" i="364"/>
  <c r="B429" i="364"/>
  <c r="B346" i="364"/>
  <c r="B272" i="364"/>
  <c r="B226" i="364"/>
  <c r="B167" i="364"/>
  <c r="B103" i="364"/>
  <c r="B46" i="364"/>
  <c r="B24" i="100"/>
  <c r="R3" i="233"/>
  <c r="B7" i="100"/>
  <c r="K247" i="363" s="1"/>
  <c r="B85" i="364"/>
  <c r="B210" i="364"/>
  <c r="B314" i="364"/>
  <c r="B673" i="364"/>
  <c r="B2148" i="364"/>
  <c r="B18" i="364"/>
  <c r="B72" i="364"/>
  <c r="B2649" i="364"/>
  <c r="B2193" i="364"/>
  <c r="B2237" i="364"/>
  <c r="B1852" i="364"/>
  <c r="B1666" i="364"/>
  <c r="B1538" i="364"/>
  <c r="B1370" i="364"/>
  <c r="B1218" i="364"/>
  <c r="B1058" i="364"/>
  <c r="B926" i="364"/>
  <c r="B862" i="364"/>
  <c r="B1896" i="364"/>
  <c r="B1664" i="364"/>
  <c r="B1511" i="364"/>
  <c r="B1383" i="364"/>
  <c r="B1216" i="364"/>
  <c r="B1063" i="364"/>
  <c r="B784" i="364"/>
  <c r="B625" i="364"/>
  <c r="B538" i="364"/>
  <c r="B1965" i="364"/>
  <c r="B1659" i="364"/>
  <c r="B1365" i="364"/>
  <c r="B1109" i="364"/>
  <c r="B871" i="364"/>
  <c r="B787" i="364"/>
  <c r="B706" i="364"/>
  <c r="B596" i="364"/>
  <c r="B505" i="364"/>
  <c r="B424" i="364"/>
  <c r="B379" i="364"/>
  <c r="B344" i="364"/>
  <c r="B312" i="364"/>
  <c r="B1708" i="364"/>
  <c r="B1435" i="364"/>
  <c r="B1196" i="364"/>
  <c r="B925" i="364"/>
  <c r="B2871" i="364"/>
  <c r="B1696" i="364"/>
  <c r="B1184" i="364"/>
  <c r="B722" i="364"/>
  <c r="B641" i="364"/>
  <c r="B548" i="364"/>
  <c r="B444" i="364"/>
  <c r="B407" i="364"/>
  <c r="B367" i="364"/>
  <c r="B335" i="364"/>
  <c r="B286" i="364"/>
  <c r="B222" i="364"/>
  <c r="B2124" i="364"/>
  <c r="B1461" i="364"/>
  <c r="B944" i="364"/>
  <c r="B618" i="364"/>
  <c r="B492" i="364"/>
  <c r="B374" i="364"/>
  <c r="B303" i="364"/>
  <c r="B267" i="364"/>
  <c r="B221" i="364"/>
  <c r="B186" i="364"/>
  <c r="B160" i="364"/>
  <c r="B128" i="364"/>
  <c r="B99" i="364"/>
  <c r="B74" i="364"/>
  <c r="B42" i="364"/>
  <c r="B16" i="364"/>
  <c r="B20" i="100"/>
  <c r="B1297" i="364"/>
  <c r="B498" i="364"/>
  <c r="B414" i="364"/>
  <c r="B320" i="364"/>
  <c r="B261" i="364"/>
  <c r="B208" i="364"/>
  <c r="B142" i="364"/>
  <c r="B94" i="364"/>
  <c r="B39" i="364"/>
  <c r="B11" i="364"/>
  <c r="B107" i="364"/>
  <c r="B224" i="364"/>
  <c r="B318" i="364"/>
  <c r="B797" i="364"/>
  <c r="B17" i="100"/>
  <c r="B22" i="364"/>
  <c r="B82" i="364"/>
  <c r="B146" i="364"/>
  <c r="B195" i="364"/>
  <c r="B259" i="364"/>
  <c r="B381" i="364"/>
  <c r="B489" i="364"/>
  <c r="B1169" i="364"/>
  <c r="B5" i="364"/>
  <c r="B101" i="364"/>
  <c r="B202" i="364"/>
  <c r="B426" i="364"/>
  <c r="B893" i="364"/>
  <c r="B2375" i="364"/>
  <c r="B2728" i="364"/>
  <c r="B2861" i="364"/>
  <c r="B2841" i="364"/>
  <c r="B2818" i="364"/>
  <c r="B2794" i="364"/>
  <c r="B2774" i="364"/>
  <c r="B2717" i="364"/>
  <c r="B2694" i="364"/>
  <c r="B2671" i="364"/>
  <c r="B2651" i="364"/>
  <c r="B2628" i="364"/>
  <c r="B2609" i="364"/>
  <c r="B2589" i="364"/>
  <c r="B2566" i="364"/>
  <c r="B2543" i="364"/>
  <c r="B2523" i="364"/>
  <c r="B2875" i="364"/>
  <c r="B2848" i="364"/>
  <c r="B2824" i="364"/>
  <c r="B2792" i="364"/>
  <c r="B2766" i="364"/>
  <c r="B2703" i="364"/>
  <c r="B2673" i="364"/>
  <c r="B2646" i="364"/>
  <c r="B2621" i="364"/>
  <c r="B2584" i="364"/>
  <c r="B2559" i="364"/>
  <c r="B2534" i="364"/>
  <c r="B2503" i="364"/>
  <c r="B2483" i="364"/>
  <c r="B2465" i="364"/>
  <c r="B2443" i="364"/>
  <c r="B2420" i="364"/>
  <c r="B2740" i="364"/>
  <c r="B2751" i="364"/>
  <c r="B2868" i="364"/>
  <c r="B2842" i="364"/>
  <c r="B2807" i="364"/>
  <c r="B2780" i="364"/>
  <c r="B2716" i="364"/>
  <c r="B2680" i="364"/>
  <c r="B2656" i="364"/>
  <c r="B2630" i="364"/>
  <c r="B2599" i="364"/>
  <c r="B2568" i="364"/>
  <c r="B2544" i="364"/>
  <c r="B2514" i="364"/>
  <c r="B2494" i="364"/>
  <c r="B2468" i="364"/>
  <c r="B2730" i="364"/>
  <c r="B2837" i="364"/>
  <c r="B2784" i="364"/>
  <c r="B2669" i="364"/>
  <c r="B2617" i="364"/>
  <c r="B2560" i="364"/>
  <c r="B2505" i="364"/>
  <c r="B2456" i="364"/>
  <c r="B2427" i="364"/>
  <c r="B2396" i="364"/>
  <c r="B2377" i="364"/>
  <c r="B2358" i="364"/>
  <c r="B2332" i="364"/>
  <c r="B2313" i="364"/>
  <c r="B2294" i="364"/>
  <c r="B2268" i="364"/>
  <c r="B2249" i="364"/>
  <c r="B2230" i="364"/>
  <c r="B2204" i="364"/>
  <c r="B2185" i="364"/>
  <c r="B2166" i="364"/>
  <c r="B2140" i="364"/>
  <c r="B2121" i="364"/>
  <c r="B2102" i="364"/>
  <c r="B2076" i="364"/>
  <c r="B2057" i="364"/>
  <c r="B2038" i="364"/>
  <c r="B2012" i="364"/>
  <c r="B1993" i="364"/>
  <c r="B1974" i="364"/>
  <c r="B1949" i="364"/>
  <c r="B1931" i="364"/>
  <c r="B2721" i="364"/>
  <c r="B2783" i="364"/>
  <c r="B2684" i="364"/>
  <c r="B2618" i="364"/>
  <c r="B2546" i="364"/>
  <c r="B2488" i="364"/>
  <c r="B2449" i="364"/>
  <c r="B2406" i="364"/>
  <c r="B2383" i="364"/>
  <c r="B2352" i="364"/>
  <c r="B2323" i="364"/>
  <c r="B2293" i="364"/>
  <c r="B2270" i="364"/>
  <c r="B2235" i="364"/>
  <c r="B2209" i="364"/>
  <c r="B2186" i="364"/>
  <c r="B2150" i="364"/>
  <c r="B2127" i="364"/>
  <c r="B2096" i="364"/>
  <c r="B2067" i="364"/>
  <c r="B2037" i="364"/>
  <c r="B2014" i="364"/>
  <c r="B1979" i="364"/>
  <c r="B1951" i="364"/>
  <c r="B1922" i="364"/>
  <c r="B1897" i="364"/>
  <c r="B1880" i="364"/>
  <c r="B1858" i="364"/>
  <c r="B1833" i="364"/>
  <c r="B1816" i="364"/>
  <c r="B1794" i="364"/>
  <c r="B2739" i="364"/>
  <c r="B2846" i="364"/>
  <c r="B2779" i="364"/>
  <c r="B2654" i="364"/>
  <c r="B2567" i="364"/>
  <c r="B2508" i="364"/>
  <c r="B2448" i="364"/>
  <c r="B2418" i="364"/>
  <c r="B2391" i="364"/>
  <c r="B2361" i="364"/>
  <c r="B2333" i="364"/>
  <c r="B2307" i="364"/>
  <c r="B2272" i="364"/>
  <c r="B2248" i="364"/>
  <c r="B2218" i="364"/>
  <c r="B2190" i="364"/>
  <c r="B2164" i="364"/>
  <c r="B2135" i="364"/>
  <c r="B2105" i="364"/>
  <c r="B2077" i="364"/>
  <c r="B2051" i="364"/>
  <c r="B2016" i="364"/>
  <c r="B1992" i="364"/>
  <c r="B1968" i="364"/>
  <c r="B1936" i="364"/>
  <c r="B1914" i="364"/>
  <c r="B1893" i="364"/>
  <c r="B1872" i="364"/>
  <c r="B1850" i="364"/>
  <c r="B1829" i="364"/>
  <c r="B1808" i="364"/>
  <c r="B1786" i="364"/>
  <c r="B2750" i="364"/>
  <c r="B2689" i="364"/>
  <c r="B2576" i="364"/>
  <c r="B2440" i="364"/>
  <c r="B2368" i="364"/>
  <c r="B2315" i="364"/>
  <c r="B2261" i="364"/>
  <c r="B2197" i="364"/>
  <c r="B2143" i="364"/>
  <c r="B2088" i="364"/>
  <c r="B2024" i="364"/>
  <c r="B1976" i="364"/>
  <c r="B1899" i="364"/>
  <c r="B1856" i="364"/>
  <c r="B1824" i="364"/>
  <c r="B1792" i="364"/>
  <c r="B1764" i="364"/>
  <c r="B1746" i="364"/>
  <c r="B1732" i="364"/>
  <c r="B1714" i="364"/>
  <c r="B1700" i="364"/>
  <c r="B1682" i="364"/>
  <c r="B1668" i="364"/>
  <c r="B1650" i="364"/>
  <c r="B1636" i="364"/>
  <c r="B1618" i="364"/>
  <c r="B1604" i="364"/>
  <c r="B1586" i="364"/>
  <c r="B1572" i="364"/>
  <c r="B1554" i="364"/>
  <c r="B1540" i="364"/>
  <c r="B1522" i="364"/>
  <c r="B1508" i="364"/>
  <c r="B1490" i="364"/>
  <c r="B1476" i="364"/>
  <c r="B1458" i="364"/>
  <c r="B1444" i="364"/>
  <c r="B1426" i="364"/>
  <c r="B1412" i="364"/>
  <c r="B1394" i="364"/>
  <c r="B1380" i="364"/>
  <c r="B1362" i="364"/>
  <c r="B1348" i="364"/>
  <c r="B1330" i="364"/>
  <c r="B1316" i="364"/>
  <c r="B1298" i="364"/>
  <c r="B1284" i="364"/>
  <c r="B1266" i="364"/>
  <c r="B1252" i="364"/>
  <c r="B1234" i="364"/>
  <c r="B1220" i="364"/>
  <c r="B1202" i="364"/>
  <c r="B1188" i="364"/>
  <c r="B1170" i="364"/>
  <c r="B1156" i="364"/>
  <c r="B1138" i="364"/>
  <c r="B1124" i="364"/>
  <c r="B1106" i="364"/>
  <c r="B1092" i="364"/>
  <c r="B1074" i="364"/>
  <c r="B1060" i="364"/>
  <c r="B1042" i="364"/>
  <c r="B1028" i="364"/>
  <c r="B1010" i="364"/>
  <c r="B996" i="364"/>
  <c r="B978" i="364"/>
  <c r="B964" i="364"/>
  <c r="B945" i="364"/>
  <c r="B929" i="364"/>
  <c r="B913" i="364"/>
  <c r="B897" i="364"/>
  <c r="B881" i="364"/>
  <c r="B865" i="364"/>
  <c r="B849" i="364"/>
  <c r="B833" i="364"/>
  <c r="B817" i="364"/>
  <c r="B801" i="364"/>
  <c r="B785" i="364"/>
  <c r="B769" i="364"/>
  <c r="B753" i="364"/>
  <c r="B737" i="364"/>
  <c r="B2851" i="364"/>
  <c r="B2704" i="364"/>
  <c r="B2577" i="364"/>
  <c r="B2438" i="364"/>
  <c r="B2374" i="364"/>
  <c r="B2316" i="364"/>
  <c r="B2246" i="364"/>
  <c r="B2188" i="364"/>
  <c r="B2118" i="364"/>
  <c r="B2060" i="364"/>
  <c r="B1990" i="364"/>
  <c r="B1933" i="364"/>
  <c r="B1898" i="364"/>
  <c r="B1866" i="364"/>
  <c r="B1834" i="364"/>
  <c r="B1802" i="364"/>
  <c r="B1770" i="364"/>
  <c r="B1748" i="364"/>
  <c r="B1729" i="364"/>
  <c r="B1706" i="364"/>
  <c r="B1684" i="364"/>
  <c r="B1665" i="364"/>
  <c r="B1642" i="364"/>
  <c r="B1620" i="364"/>
  <c r="B1601" i="364"/>
  <c r="B1578" i="364"/>
  <c r="B1556" i="364"/>
  <c r="B1537" i="364"/>
  <c r="B1514" i="364"/>
  <c r="B1492" i="364"/>
  <c r="B1473" i="364"/>
  <c r="B1450" i="364"/>
  <c r="B1428" i="364"/>
  <c r="B1409" i="364"/>
  <c r="B1386" i="364"/>
  <c r="B1364" i="364"/>
  <c r="B1345" i="364"/>
  <c r="B1322" i="364"/>
  <c r="B1300" i="364"/>
  <c r="B1281" i="364"/>
  <c r="B1258" i="364"/>
  <c r="B1236" i="364"/>
  <c r="B1217" i="364"/>
  <c r="B1194" i="364"/>
  <c r="B1172" i="364"/>
  <c r="B1153" i="364"/>
  <c r="B1130" i="364"/>
  <c r="B1108" i="364"/>
  <c r="B1089" i="364"/>
  <c r="B1066" i="364"/>
  <c r="B1044" i="364"/>
  <c r="B1025" i="364"/>
  <c r="B1002" i="364"/>
  <c r="B980" i="364"/>
  <c r="B961" i="364"/>
  <c r="B934" i="364"/>
  <c r="B902" i="364"/>
  <c r="B870" i="364"/>
  <c r="B838" i="364"/>
  <c r="B806" i="364"/>
  <c r="B774" i="364"/>
  <c r="B742" i="364"/>
  <c r="B718" i="364"/>
  <c r="B702" i="364"/>
  <c r="B686" i="364"/>
  <c r="B670" i="364"/>
  <c r="B654" i="364"/>
  <c r="B638" i="364"/>
  <c r="B622" i="364"/>
  <c r="B606" i="364"/>
  <c r="B590" i="364"/>
  <c r="B574" i="364"/>
  <c r="B558" i="364"/>
  <c r="B542" i="364"/>
  <c r="B526" i="364"/>
  <c r="B510" i="364"/>
  <c r="B494" i="364"/>
  <c r="B478" i="364"/>
  <c r="B462" i="364"/>
  <c r="B446" i="364"/>
  <c r="B2815" i="364"/>
  <c r="B2653" i="364"/>
  <c r="B2537" i="364"/>
  <c r="B2452" i="364"/>
  <c r="B2395" i="364"/>
  <c r="B2338" i="364"/>
  <c r="B2289" i="364"/>
  <c r="B2231" i="364"/>
  <c r="B2183" i="364"/>
  <c r="B2139" i="364"/>
  <c r="B2082" i="364"/>
  <c r="B2033" i="364"/>
  <c r="B1975" i="364"/>
  <c r="B1937" i="364"/>
  <c r="B1756" i="364"/>
  <c r="B1737" i="364"/>
  <c r="B1715" i="364"/>
  <c r="B1692" i="364"/>
  <c r="B1673" i="364"/>
  <c r="B1651" i="364"/>
  <c r="B1628" i="364"/>
  <c r="B1609" i="364"/>
  <c r="B1587" i="364"/>
  <c r="B1564" i="364"/>
  <c r="B1545" i="364"/>
  <c r="B1523" i="364"/>
  <c r="B1500" i="364"/>
  <c r="B1481" i="364"/>
  <c r="B1459" i="364"/>
  <c r="B1436" i="364"/>
  <c r="B1417" i="364"/>
  <c r="B1395" i="364"/>
  <c r="B1372" i="364"/>
  <c r="B1353" i="364"/>
  <c r="B1331" i="364"/>
  <c r="B1308" i="364"/>
  <c r="B1289" i="364"/>
  <c r="B1267" i="364"/>
  <c r="B1244" i="364"/>
  <c r="B1225" i="364"/>
  <c r="B1203" i="364"/>
  <c r="B1180" i="364"/>
  <c r="B1161" i="364"/>
  <c r="B1139" i="364"/>
  <c r="B1116" i="364"/>
  <c r="B1097" i="364"/>
  <c r="B1075" i="364"/>
  <c r="B1052" i="364"/>
  <c r="B1033" i="364"/>
  <c r="B1011" i="364"/>
  <c r="B988" i="364"/>
  <c r="B969" i="364"/>
  <c r="B949" i="364"/>
  <c r="B933" i="364"/>
  <c r="B917" i="364"/>
  <c r="B901" i="364"/>
  <c r="B885" i="364"/>
  <c r="B869" i="364"/>
  <c r="B853" i="364"/>
  <c r="B837" i="364"/>
  <c r="B821" i="364"/>
  <c r="B805" i="364"/>
  <c r="B789" i="364"/>
  <c r="B773" i="364"/>
  <c r="B757" i="364"/>
  <c r="B741" i="364"/>
  <c r="B725" i="364"/>
  <c r="B709" i="364"/>
  <c r="B693" i="364"/>
  <c r="B677" i="364"/>
  <c r="B661" i="364"/>
  <c r="B645" i="364"/>
  <c r="B629" i="364"/>
  <c r="B613" i="364"/>
  <c r="B597" i="364"/>
  <c r="B581" i="364"/>
  <c r="B565" i="364"/>
  <c r="B549" i="364"/>
  <c r="B533" i="364"/>
  <c r="B517" i="364"/>
  <c r="B501" i="364"/>
  <c r="B485" i="364"/>
  <c r="B469" i="364"/>
  <c r="B453" i="364"/>
  <c r="B437" i="364"/>
  <c r="B12" i="364"/>
  <c r="B28" i="364"/>
  <c r="B44" i="364"/>
  <c r="B60" i="364"/>
  <c r="B76" i="364"/>
  <c r="B92" i="364"/>
  <c r="B108" i="364"/>
  <c r="B124" i="364"/>
  <c r="B140" i="364"/>
  <c r="B156" i="364"/>
  <c r="B172" i="364"/>
  <c r="B188" i="364"/>
  <c r="B204" i="364"/>
  <c r="B220" i="364"/>
  <c r="B236" i="364"/>
  <c r="B252" i="364"/>
  <c r="B268" i="364"/>
  <c r="B284" i="364"/>
  <c r="B300" i="364"/>
  <c r="B316" i="364"/>
  <c r="B332" i="364"/>
  <c r="B348" i="364"/>
  <c r="B364" i="364"/>
  <c r="B380" i="364"/>
  <c r="B396" i="364"/>
  <c r="B412" i="364"/>
  <c r="B428" i="364"/>
  <c r="B455" i="364"/>
  <c r="B487" i="364"/>
  <c r="B519" i="364"/>
  <c r="B551" i="364"/>
  <c r="B583" i="364"/>
  <c r="B615" i="364"/>
  <c r="B647" i="364"/>
  <c r="B679" i="364"/>
  <c r="B711" i="364"/>
  <c r="B746" i="364"/>
  <c r="B778" i="364"/>
  <c r="B810" i="364"/>
  <c r="B842" i="364"/>
  <c r="B874" i="364"/>
  <c r="B906" i="364"/>
  <c r="B938" i="364"/>
  <c r="B963" i="364"/>
  <c r="B995" i="364"/>
  <c r="B1027" i="364"/>
  <c r="B1059" i="364"/>
  <c r="B1091" i="364"/>
  <c r="B1123" i="364"/>
  <c r="B1155" i="364"/>
  <c r="B1187" i="364"/>
  <c r="B1219" i="364"/>
  <c r="B1251" i="364"/>
  <c r="B1283" i="364"/>
  <c r="B1315" i="364"/>
  <c r="B1347" i="364"/>
  <c r="B1379" i="364"/>
  <c r="B1411" i="364"/>
  <c r="B1443" i="364"/>
  <c r="B1475" i="364"/>
  <c r="B1507" i="364"/>
  <c r="B1539" i="364"/>
  <c r="B1571" i="364"/>
  <c r="B1603" i="364"/>
  <c r="B1635" i="364"/>
  <c r="B1667" i="364"/>
  <c r="B1699" i="364"/>
  <c r="B1731" i="364"/>
  <c r="B1763" i="364"/>
  <c r="B1828" i="364"/>
  <c r="B1892" i="364"/>
  <c r="B1969" i="364"/>
  <c r="B2065" i="364"/>
  <c r="B2167" i="364"/>
  <c r="B2266" i="364"/>
  <c r="B2365" i="364"/>
  <c r="B2536" i="364"/>
  <c r="B2582" i="364"/>
  <c r="B2044" i="364"/>
  <c r="B1634" i="364"/>
  <c r="B1314" i="364"/>
  <c r="B1026" i="364"/>
  <c r="B2423" i="364"/>
  <c r="B1639" i="364"/>
  <c r="B1319" i="364"/>
  <c r="B1036" i="364"/>
  <c r="B620" i="364"/>
  <c r="B1846" i="364"/>
  <c r="B1339" i="364"/>
  <c r="B835" i="364"/>
  <c r="B674" i="364"/>
  <c r="B473" i="364"/>
  <c r="B376" i="364"/>
  <c r="B2006" i="364"/>
  <c r="B1397" i="364"/>
  <c r="B912" i="364"/>
  <c r="B1479" i="364"/>
  <c r="B705" i="364"/>
  <c r="B521" i="364"/>
  <c r="B399" i="364"/>
  <c r="B323" i="364"/>
  <c r="B215" i="364"/>
  <c r="B1371" i="364"/>
  <c r="B585" i="364"/>
  <c r="B368" i="364"/>
  <c r="B250" i="364"/>
  <c r="B179" i="364"/>
  <c r="B122" i="364"/>
  <c r="B64" i="364"/>
  <c r="B10" i="364"/>
  <c r="B1120" i="364"/>
  <c r="B384" i="364"/>
  <c r="B258" i="364"/>
  <c r="B135" i="364"/>
  <c r="B14" i="364"/>
  <c r="B21" i="364"/>
  <c r="B274" i="364"/>
  <c r="B1248" i="364"/>
  <c r="B40" i="364"/>
  <c r="B118" i="364"/>
  <c r="B205" i="364"/>
  <c r="B309" i="364"/>
  <c r="B484" i="364"/>
  <c r="B1516" i="364"/>
  <c r="B37" i="364"/>
  <c r="B192" i="364"/>
  <c r="B458" i="364"/>
  <c r="B1504" i="364"/>
  <c r="B2873" i="364"/>
  <c r="B2845" i="364"/>
  <c r="B2810" i="364"/>
  <c r="B2786" i="364"/>
  <c r="B2759" i="364"/>
  <c r="B2690" i="364"/>
  <c r="B2659" i="364"/>
  <c r="B2636" i="364"/>
  <c r="B2605" i="364"/>
  <c r="B2578" i="364"/>
  <c r="B2550" i="364"/>
  <c r="B2752" i="364"/>
  <c r="B2864" i="364"/>
  <c r="B2829" i="364"/>
  <c r="B2787" i="364"/>
  <c r="B2712" i="364"/>
  <c r="B2681" i="364"/>
  <c r="B2642" i="364"/>
  <c r="B2600" i="364"/>
  <c r="B2564" i="364"/>
  <c r="B2524" i="364"/>
  <c r="B2495" i="364"/>
  <c r="B2469" i="364"/>
  <c r="B2439" i="364"/>
  <c r="B2409" i="364"/>
  <c r="B2732" i="364"/>
  <c r="B2863" i="364"/>
  <c r="B2823" i="364"/>
  <c r="B2785" i="364"/>
  <c r="B2701" i="364"/>
  <c r="B2672" i="364"/>
  <c r="B2404" i="364"/>
  <c r="B1570" i="364"/>
  <c r="B1186" i="364"/>
  <c r="B899" i="364"/>
  <c r="B1600" i="364"/>
  <c r="B1164" i="364"/>
  <c r="B689" i="364"/>
  <c r="B1820" i="364"/>
  <c r="B981" i="364"/>
  <c r="B739" i="364"/>
  <c r="B450" i="364"/>
  <c r="B338" i="364"/>
  <c r="B1580" i="364"/>
  <c r="B861" i="364"/>
  <c r="B1095" i="364"/>
  <c r="B594" i="364"/>
  <c r="B387" i="364"/>
  <c r="B263" i="364"/>
  <c r="B1644" i="364"/>
  <c r="B540" i="364"/>
  <c r="B296" i="364"/>
  <c r="B207" i="364"/>
  <c r="B115" i="364"/>
  <c r="B35" i="364"/>
  <c r="B1813" i="364"/>
  <c r="B365" i="364"/>
  <c r="B194" i="364"/>
  <c r="B62" i="364"/>
  <c r="B75" i="364"/>
  <c r="B362" i="364"/>
  <c r="B150" i="364"/>
  <c r="B255" i="364"/>
  <c r="B430" i="364"/>
  <c r="B1681" i="364"/>
  <c r="B133" i="364"/>
  <c r="B306" i="364"/>
  <c r="B2331" i="364"/>
  <c r="B2720" i="364"/>
  <c r="B2834" i="364"/>
  <c r="B2802" i="364"/>
  <c r="B2763" i="364"/>
  <c r="B2686" i="364"/>
  <c r="B2643" i="364"/>
  <c r="B2612" i="364"/>
  <c r="B2574" i="364"/>
  <c r="B2531" i="364"/>
  <c r="B2870" i="364"/>
  <c r="B2813" i="364"/>
  <c r="B2772" i="364"/>
  <c r="B2687" i="364"/>
  <c r="B2631" i="364"/>
  <c r="B2579" i="364"/>
  <c r="B2540" i="364"/>
  <c r="B2487" i="364"/>
  <c r="B2454" i="364"/>
  <c r="B2416" i="364"/>
  <c r="B2746" i="364"/>
  <c r="B2847" i="364"/>
  <c r="B2796" i="364"/>
  <c r="B2696" i="364"/>
  <c r="B2650" i="364"/>
  <c r="B2614" i="364"/>
  <c r="B2573" i="364"/>
  <c r="B2533" i="364"/>
  <c r="B2506" i="364"/>
  <c r="B2472" i="364"/>
  <c r="B2719" i="364"/>
  <c r="B2805" i="364"/>
  <c r="B2688" i="364"/>
  <c r="B2608" i="364"/>
  <c r="B2530" i="364"/>
  <c r="B2471" i="364"/>
  <c r="B2417" i="364"/>
  <c r="B2388" i="364"/>
  <c r="B2362" i="364"/>
  <c r="B2328" i="364"/>
  <c r="B2302" i="364"/>
  <c r="B2279" i="364"/>
  <c r="B2245" i="364"/>
  <c r="B2219" i="364"/>
  <c r="B2189" i="364"/>
  <c r="B2159" i="364"/>
  <c r="B2132" i="364"/>
  <c r="B2106" i="364"/>
  <c r="B2072" i="364"/>
  <c r="B2046" i="364"/>
  <c r="B2023" i="364"/>
  <c r="B1989" i="364"/>
  <c r="B1963" i="364"/>
  <c r="B1935" i="364"/>
  <c r="B2850" i="364"/>
  <c r="B2758" i="364"/>
  <c r="B2633" i="364"/>
  <c r="B2532" i="364"/>
  <c r="B2466" i="364"/>
  <c r="B2419" i="364"/>
  <c r="B2378" i="364"/>
  <c r="B2337" i="364"/>
  <c r="B2299" i="364"/>
  <c r="B2259" i="364"/>
  <c r="B2224" i="364"/>
  <c r="B2191" i="364"/>
  <c r="B2145" i="364"/>
  <c r="B2107" i="364"/>
  <c r="B2078" i="364"/>
  <c r="B2032" i="364"/>
  <c r="B1999" i="364"/>
  <c r="B1954" i="364"/>
  <c r="B1915" i="364"/>
  <c r="B1890" i="364"/>
  <c r="B1862" i="364"/>
  <c r="B1830" i="364"/>
  <c r="B1801" i="364"/>
  <c r="B1780" i="364"/>
  <c r="B2836" i="364"/>
  <c r="B2695" i="364"/>
  <c r="B2591" i="364"/>
  <c r="B2485" i="364"/>
  <c r="B2434" i="364"/>
  <c r="B2397" i="364"/>
  <c r="B2356" i="364"/>
  <c r="B2318" i="364"/>
  <c r="B2282" i="364"/>
  <c r="B2243" i="364"/>
  <c r="B2205" i="364"/>
  <c r="B2169" i="364"/>
  <c r="B2126" i="364"/>
  <c r="B2090" i="364"/>
  <c r="B2056" i="364"/>
  <c r="B2013" i="364"/>
  <c r="B1977" i="364"/>
  <c r="B1950" i="364"/>
  <c r="B1911" i="364"/>
  <c r="B1882" i="364"/>
  <c r="B1854" i="364"/>
  <c r="B1822" i="364"/>
  <c r="B1797" i="364"/>
  <c r="B1772" i="364"/>
  <c r="B2664" i="364"/>
  <c r="B2467" i="364"/>
  <c r="B2389" i="364"/>
  <c r="B2304" i="364"/>
  <c r="B2232" i="364"/>
  <c r="B2152" i="364"/>
  <c r="B2069" i="364"/>
  <c r="B2005" i="364"/>
  <c r="B1905" i="364"/>
  <c r="B1841" i="364"/>
  <c r="B1803" i="364"/>
  <c r="B1768" i="364"/>
  <c r="B1743" i="364"/>
  <c r="B1721" i="364"/>
  <c r="B1704" i="364"/>
  <c r="B1679" i="364"/>
  <c r="B1657" i="364"/>
  <c r="B1640" i="364"/>
  <c r="B1615" i="364"/>
  <c r="B1593" i="364"/>
  <c r="B1576" i="364"/>
  <c r="B1551" i="364"/>
  <c r="B1529" i="364"/>
  <c r="B1512" i="364"/>
  <c r="B1487" i="364"/>
  <c r="B1465" i="364"/>
  <c r="B1448" i="364"/>
  <c r="B1423" i="364"/>
  <c r="B1401" i="364"/>
  <c r="B1996" i="364"/>
  <c r="B1474" i="364"/>
  <c r="B1122" i="364"/>
  <c r="B2252" i="364"/>
  <c r="B1484" i="364"/>
  <c r="B1152" i="364"/>
  <c r="B602" i="364"/>
  <c r="B1621" i="364"/>
  <c r="B955" i="364"/>
  <c r="B642" i="364"/>
  <c r="B408" i="364"/>
  <c r="B322" i="364"/>
  <c r="B1307" i="364"/>
  <c r="B1981" i="364"/>
  <c r="B967" i="364"/>
  <c r="B516" i="364"/>
  <c r="B359" i="364"/>
  <c r="B254" i="364"/>
  <c r="B1205" i="364"/>
  <c r="B476" i="364"/>
  <c r="B282" i="364"/>
  <c r="B170" i="364"/>
  <c r="B96" i="364"/>
  <c r="B32" i="364"/>
  <c r="B765" i="364"/>
  <c r="B304" i="364"/>
  <c r="B174" i="364"/>
  <c r="B7" i="364"/>
  <c r="B149" i="364"/>
  <c r="B668" i="364"/>
  <c r="B54" i="364"/>
  <c r="B168" i="364"/>
  <c r="B294" i="364"/>
  <c r="B524" i="364"/>
  <c r="B2551" i="364"/>
  <c r="B165" i="364"/>
  <c r="B644" i="364"/>
  <c r="B2869" i="364"/>
  <c r="B2826" i="364"/>
  <c r="B2790" i="364"/>
  <c r="B2709" i="364"/>
  <c r="B2678" i="364"/>
  <c r="B2640" i="364"/>
  <c r="B2597" i="364"/>
  <c r="B2562" i="364"/>
  <c r="B2527" i="364"/>
  <c r="B2854" i="364"/>
  <c r="B2808" i="364"/>
  <c r="B2761" i="364"/>
  <c r="B2668" i="364"/>
  <c r="B2626" i="364"/>
  <c r="B2575" i="364"/>
  <c r="B2518" i="364"/>
  <c r="B2480" i="364"/>
  <c r="B2450" i="364"/>
  <c r="B2742" i="364"/>
  <c r="B2727" i="364"/>
  <c r="B2828" i="364"/>
  <c r="B2775" i="364"/>
  <c r="B2691" i="364"/>
  <c r="B2641" i="364"/>
  <c r="B2610" i="364"/>
  <c r="B2563" i="364"/>
  <c r="B2528" i="364"/>
  <c r="B2498" i="364"/>
  <c r="B2461" i="364"/>
  <c r="B2866" i="364"/>
  <c r="B2795" i="364"/>
  <c r="B2658" i="364"/>
  <c r="B2587" i="364"/>
  <c r="B2520" i="364"/>
  <c r="B2451" i="364"/>
  <c r="B2412" i="364"/>
  <c r="B2381" i="364"/>
  <c r="B2351" i="364"/>
  <c r="B2324" i="364"/>
  <c r="B2298" i="364"/>
  <c r="B2264" i="364"/>
  <c r="B2238" i="364"/>
  <c r="B2215" i="364"/>
  <c r="B2181" i="364"/>
  <c r="B2155" i="364"/>
  <c r="B2125" i="364"/>
  <c r="B2095" i="364"/>
  <c r="B2068" i="364"/>
  <c r="B2042" i="364"/>
  <c r="B2008" i="364"/>
  <c r="B1982" i="364"/>
  <c r="B1960" i="364"/>
  <c r="B1928" i="364"/>
  <c r="B2825" i="364"/>
  <c r="B2700" i="364"/>
  <c r="B2592" i="364"/>
  <c r="B2516" i="364"/>
  <c r="B2459" i="364"/>
  <c r="B2401" i="364"/>
  <c r="B2363" i="364"/>
  <c r="B2334" i="364"/>
  <c r="B2288" i="364"/>
  <c r="B2255" i="364"/>
  <c r="B2214" i="364"/>
  <c r="B2171" i="364"/>
  <c r="B2142" i="364"/>
  <c r="B2101" i="364"/>
  <c r="B2063" i="364"/>
  <c r="B2022" i="364"/>
  <c r="B1994" i="364"/>
  <c r="B1946" i="364"/>
  <c r="B1912" i="364"/>
  <c r="B1883" i="364"/>
  <c r="B1851" i="364"/>
  <c r="B1826" i="364"/>
  <c r="B1798" i="364"/>
  <c r="B2733" i="364"/>
  <c r="B2809" i="364"/>
  <c r="B2683" i="364"/>
  <c r="B2555" i="364"/>
  <c r="B2481" i="364"/>
  <c r="B2425" i="364"/>
  <c r="B2382" i="364"/>
  <c r="B2346" i="364"/>
  <c r="B2312" i="364"/>
  <c r="B2269" i="364"/>
  <c r="B2233" i="364"/>
  <c r="B2199" i="364"/>
  <c r="B2154" i="364"/>
  <c r="B2120" i="364"/>
  <c r="B2080" i="364"/>
  <c r="B2041" i="364"/>
  <c r="B2007" i="364"/>
  <c r="B1972" i="364"/>
  <c r="B1930" i="364"/>
  <c r="B1904" i="364"/>
  <c r="B1879" i="364"/>
  <c r="B1847" i="364"/>
  <c r="B1818" i="364"/>
  <c r="B1790" i="364"/>
  <c r="B2839" i="364"/>
  <c r="B2639" i="364"/>
  <c r="B2453" i="364"/>
  <c r="B2360" i="364"/>
  <c r="B2280" i="364"/>
  <c r="B2216" i="364"/>
  <c r="B2133" i="364"/>
  <c r="B2059" i="364"/>
  <c r="B1984" i="364"/>
  <c r="B1888" i="364"/>
  <c r="B1835" i="364"/>
  <c r="B1799" i="364"/>
  <c r="B1757" i="364"/>
  <c r="B1739" i="364"/>
  <c r="B1718" i="364"/>
  <c r="B1693" i="364"/>
  <c r="B1675" i="364"/>
  <c r="B1654" i="364"/>
  <c r="B1629" i="364"/>
  <c r="B1611" i="364"/>
  <c r="B1590" i="364"/>
  <c r="B1565" i="364"/>
  <c r="B1547" i="364"/>
  <c r="B1526" i="364"/>
  <c r="B1501" i="364"/>
  <c r="B1483" i="364"/>
  <c r="B1462" i="364"/>
  <c r="B1437" i="364"/>
  <c r="B1419" i="364"/>
  <c r="B1398" i="364"/>
  <c r="B1373" i="364"/>
  <c r="B1355" i="364"/>
  <c r="B1334" i="364"/>
  <c r="B1309" i="364"/>
  <c r="B1291" i="364"/>
  <c r="B1270" i="364"/>
  <c r="B1245" i="364"/>
  <c r="B1227" i="364"/>
  <c r="B1206" i="364"/>
  <c r="B1181" i="364"/>
  <c r="B1163" i="364"/>
  <c r="B1142" i="364"/>
  <c r="B1117" i="364"/>
  <c r="B1099" i="364"/>
  <c r="B1078" i="364"/>
  <c r="B1053" i="364"/>
  <c r="B1035" i="364"/>
  <c r="B1014" i="364"/>
  <c r="B989" i="364"/>
  <c r="B971" i="364"/>
  <c r="B948" i="364"/>
  <c r="B924" i="364"/>
  <c r="B905" i="364"/>
  <c r="B884" i="364"/>
  <c r="B860" i="364"/>
  <c r="B841" i="364"/>
  <c r="B820" i="364"/>
  <c r="B796" i="364"/>
  <c r="B777" i="364"/>
  <c r="B756" i="364"/>
  <c r="B732" i="364"/>
  <c r="B2788" i="364"/>
  <c r="B2602" i="364"/>
  <c r="B2430" i="364"/>
  <c r="B2340" i="364"/>
  <c r="B2257" i="364"/>
  <c r="B2163" i="364"/>
  <c r="B2084" i="364"/>
  <c r="B2001" i="364"/>
  <c r="B1923" i="364"/>
  <c r="B1881" i="364"/>
  <c r="B1842" i="364"/>
  <c r="B1795" i="364"/>
  <c r="B1761" i="364"/>
  <c r="B1734" i="364"/>
  <c r="B1702" i="364"/>
  <c r="B1674" i="364"/>
  <c r="B1648" i="364"/>
  <c r="B1616" i="364"/>
  <c r="B1588" i="364"/>
  <c r="B1566" i="364"/>
  <c r="B1534" i="364"/>
  <c r="B1505" i="364"/>
  <c r="B1478" i="364"/>
  <c r="B1446" i="364"/>
  <c r="B1418" i="364"/>
  <c r="B1392" i="364"/>
  <c r="B1360" i="364"/>
  <c r="B1332" i="364"/>
  <c r="B1310" i="364"/>
  <c r="B1278" i="364"/>
  <c r="B1249" i="364"/>
  <c r="B1222" i="364"/>
  <c r="B1190" i="364"/>
  <c r="B1162" i="364"/>
  <c r="B1136" i="364"/>
  <c r="B1104" i="364"/>
  <c r="B1076" i="364"/>
  <c r="B1054" i="364"/>
  <c r="B1022" i="364"/>
  <c r="B993" i="364"/>
  <c r="B966" i="364"/>
  <c r="B927" i="364"/>
  <c r="B886" i="364"/>
  <c r="B847" i="364"/>
  <c r="B799" i="364"/>
  <c r="B758" i="364"/>
  <c r="B723" i="364"/>
  <c r="B699" i="364"/>
  <c r="B678" i="364"/>
  <c r="B659" i="364"/>
  <c r="B635" i="364"/>
  <c r="B614" i="364"/>
  <c r="B595" i="364"/>
  <c r="B571" i="364"/>
  <c r="B550" i="364"/>
  <c r="B531" i="364"/>
  <c r="B507" i="364"/>
  <c r="B486" i="364"/>
  <c r="B467" i="364"/>
  <c r="B2735" i="364"/>
  <c r="B2710" i="364"/>
  <c r="B2565" i="364"/>
  <c r="B2433" i="364"/>
  <c r="B2359" i="364"/>
  <c r="B2301" i="364"/>
  <c r="B2222" i="364"/>
  <c r="B2161" i="364"/>
  <c r="B2094" i="364"/>
  <c r="B2025" i="364"/>
  <c r="B1957" i="364"/>
  <c r="B1765" i="364"/>
  <c r="B1733" i="364"/>
  <c r="B1705" i="364"/>
  <c r="B1678" i="364"/>
  <c r="B1646" i="364"/>
  <c r="B1619" i="364"/>
  <c r="B1592" i="364"/>
  <c r="B1560" i="364"/>
  <c r="B1532" i="364"/>
  <c r="B1509" i="364"/>
  <c r="B1477" i="364"/>
  <c r="B1449" i="364"/>
  <c r="B1422" i="364"/>
  <c r="B1390" i="364"/>
  <c r="B1363" i="364"/>
  <c r="B1336" i="364"/>
  <c r="B1304" i="364"/>
  <c r="B1276" i="364"/>
  <c r="B1253" i="364"/>
  <c r="B1221" i="364"/>
  <c r="B1193" i="364"/>
  <c r="B1166" i="364"/>
  <c r="B1134" i="364"/>
  <c r="B1107" i="364"/>
  <c r="B1080" i="364"/>
  <c r="B1048" i="364"/>
  <c r="B1020" i="364"/>
  <c r="B997" i="364"/>
  <c r="B965" i="364"/>
  <c r="B939" i="364"/>
  <c r="B920" i="364"/>
  <c r="B898" i="364"/>
  <c r="B875" i="364"/>
  <c r="B856" i="364"/>
  <c r="B834" i="364"/>
  <c r="B811" i="364"/>
  <c r="B792" i="364"/>
  <c r="B770" i="364"/>
  <c r="B747" i="364"/>
  <c r="B728" i="364"/>
  <c r="B704" i="364"/>
  <c r="B685" i="364"/>
  <c r="B664" i="364"/>
  <c r="B640" i="364"/>
  <c r="B621" i="364"/>
  <c r="B600" i="364"/>
  <c r="B576" i="364"/>
  <c r="B557" i="364"/>
  <c r="B536" i="364"/>
  <c r="B512" i="364"/>
  <c r="B493" i="364"/>
  <c r="B472" i="364"/>
  <c r="B448" i="364"/>
  <c r="B37" i="100"/>
  <c r="B9" i="364"/>
  <c r="B33" i="364"/>
  <c r="B52" i="364"/>
  <c r="B73" i="364"/>
  <c r="B97" i="364"/>
  <c r="B116" i="364"/>
  <c r="B137" i="364"/>
  <c r="B161" i="364"/>
  <c r="B180" i="364"/>
  <c r="B201" i="364"/>
  <c r="B225" i="364"/>
  <c r="B244" i="364"/>
  <c r="B265" i="364"/>
  <c r="B289" i="364"/>
  <c r="B308" i="364"/>
  <c r="B329" i="364"/>
  <c r="B353" i="364"/>
  <c r="B372" i="364"/>
  <c r="B393" i="364"/>
  <c r="B417" i="364"/>
  <c r="B443" i="364"/>
  <c r="B479" i="364"/>
  <c r="B527" i="364"/>
  <c r="B567" i="364"/>
  <c r="B607" i="364"/>
  <c r="B655" i="364"/>
  <c r="B695" i="364"/>
  <c r="B736" i="364"/>
  <c r="B782" i="364"/>
  <c r="B823" i="364"/>
  <c r="B864" i="364"/>
  <c r="B910" i="364"/>
  <c r="B951" i="364"/>
  <c r="B991" i="364"/>
  <c r="B1037" i="364"/>
  <c r="B1079" i="364"/>
  <c r="B1119" i="364"/>
  <c r="B1165" i="364"/>
  <c r="B1207" i="364"/>
  <c r="B1247" i="364"/>
  <c r="B1293" i="364"/>
  <c r="B1335" i="364"/>
  <c r="B1375" i="364"/>
  <c r="B1421" i="364"/>
  <c r="B1463" i="364"/>
  <c r="B1503" i="364"/>
  <c r="B1549" i="364"/>
  <c r="B1591" i="364"/>
  <c r="B1631" i="364"/>
  <c r="B1677" i="364"/>
  <c r="B1719" i="364"/>
  <c r="B1759" i="364"/>
  <c r="B1839" i="364"/>
  <c r="B1925" i="364"/>
  <c r="B2030" i="364"/>
  <c r="B2182" i="364"/>
  <c r="B2321" i="364"/>
  <c r="B2493" i="364"/>
  <c r="B2390" i="364"/>
  <c r="B1442" i="364"/>
  <c r="B1767" i="364"/>
  <c r="B972" i="364"/>
  <c r="B1531" i="364"/>
  <c r="B578" i="364"/>
  <c r="B1902" i="364"/>
  <c r="B1870" i="364"/>
  <c r="B439" i="364"/>
  <c r="B199" i="364"/>
  <c r="B460" i="364"/>
  <c r="B147" i="364"/>
  <c r="B293" i="364"/>
  <c r="B4" i="100"/>
  <c r="C2" i="126" s="1"/>
  <c r="B1760" i="364"/>
  <c r="B182" i="364"/>
  <c r="B987" i="364"/>
  <c r="B256" i="364"/>
  <c r="B2857" i="364"/>
  <c r="B2778" i="364"/>
  <c r="B2667" i="364"/>
  <c r="B2593" i="364"/>
  <c r="B2747" i="364"/>
  <c r="B2803" i="364"/>
  <c r="B2662" i="364"/>
  <c r="B2553" i="364"/>
  <c r="B2473" i="364"/>
  <c r="B2736" i="364"/>
  <c r="B2817" i="364"/>
  <c r="B2675" i="364"/>
  <c r="B2594" i="364"/>
  <c r="B2522" i="364"/>
  <c r="B2457" i="364"/>
  <c r="B2715" i="364"/>
  <c r="B2571" i="364"/>
  <c r="B2441" i="364"/>
  <c r="B2373" i="364"/>
  <c r="B2317" i="364"/>
  <c r="B2260" i="364"/>
  <c r="B2200" i="364"/>
  <c r="B2151" i="364"/>
  <c r="B2091" i="364"/>
  <c r="B2031" i="364"/>
  <c r="B1978" i="364"/>
  <c r="B2731" i="364"/>
  <c r="B2674" i="364"/>
  <c r="B2500" i="364"/>
  <c r="B2398" i="364"/>
  <c r="B2319" i="364"/>
  <c r="B2250" i="364"/>
  <c r="B2165" i="364"/>
  <c r="B2086" i="364"/>
  <c r="B2017" i="364"/>
  <c r="B1932" i="364"/>
  <c r="B1876" i="364"/>
  <c r="B1819" i="364"/>
  <c r="B2744" i="364"/>
  <c r="B2629" i="364"/>
  <c r="B2474" i="364"/>
  <c r="B2376" i="364"/>
  <c r="B2297" i="364"/>
  <c r="B2228" i="364"/>
  <c r="B2144" i="364"/>
  <c r="B2071" i="364"/>
  <c r="B1998" i="364"/>
  <c r="B1926" i="364"/>
  <c r="B1868" i="364"/>
  <c r="B1815" i="364"/>
  <c r="B2820" i="364"/>
  <c r="B2408" i="364"/>
  <c r="B2271" i="364"/>
  <c r="B2112" i="364"/>
  <c r="B1952" i="364"/>
  <c r="B1831" i="364"/>
  <c r="B1753" i="364"/>
  <c r="B1711" i="364"/>
  <c r="B1672" i="364"/>
  <c r="B1625" i="364"/>
  <c r="B1583" i="364"/>
  <c r="B1544" i="364"/>
  <c r="B1497" i="364"/>
  <c r="B1455" i="364"/>
  <c r="B1416" i="364"/>
  <c r="B1384" i="364"/>
  <c r="B1352" i="364"/>
  <c r="B1323" i="364"/>
  <c r="B1295" i="364"/>
  <c r="B1263" i="364"/>
  <c r="B1238" i="364"/>
  <c r="B1209" i="364"/>
  <c r="B1177" i="364"/>
  <c r="B1149" i="364"/>
  <c r="B1128" i="364"/>
  <c r="B1096" i="364"/>
  <c r="B1067" i="364"/>
  <c r="B1039" i="364"/>
  <c r="B1007" i="364"/>
  <c r="B982" i="364"/>
  <c r="B953" i="364"/>
  <c r="B921" i="364"/>
  <c r="B892" i="364"/>
  <c r="B868" i="364"/>
  <c r="B836" i="364"/>
  <c r="B809" i="364"/>
  <c r="B780" i="364"/>
  <c r="B748" i="364"/>
  <c r="B2726" i="364"/>
  <c r="B2634" i="364"/>
  <c r="B2415" i="364"/>
  <c r="B2291" i="364"/>
  <c r="B2202" i="364"/>
  <c r="B2074" i="364"/>
  <c r="B1948" i="364"/>
  <c r="B1891" i="364"/>
  <c r="B1827" i="364"/>
  <c r="B1778" i="364"/>
  <c r="B1738" i="364"/>
  <c r="B1697" i="364"/>
  <c r="B1662" i="364"/>
  <c r="B1630" i="364"/>
  <c r="B1584" i="364"/>
  <c r="B1546" i="364"/>
  <c r="B1510" i="364"/>
  <c r="B1470" i="364"/>
  <c r="B1438" i="364"/>
  <c r="B1396" i="364"/>
  <c r="B1354" i="364"/>
  <c r="B1318" i="364"/>
  <c r="B1286" i="364"/>
  <c r="B1246" i="364"/>
  <c r="B1204" i="364"/>
  <c r="B1168" i="364"/>
  <c r="B1126" i="364"/>
  <c r="B1094" i="364"/>
  <c r="B1057" i="364"/>
  <c r="B1012" i="364"/>
  <c r="B976" i="364"/>
  <c r="B943" i="364"/>
  <c r="B879" i="364"/>
  <c r="B822" i="364"/>
  <c r="B767" i="364"/>
  <c r="B715" i="364"/>
  <c r="B691" i="364"/>
  <c r="B662" i="364"/>
  <c r="B630" i="364"/>
  <c r="B603" i="364"/>
  <c r="B579" i="364"/>
  <c r="B547" i="364"/>
  <c r="B518" i="364"/>
  <c r="B491" i="364"/>
  <c r="B459" i="364"/>
  <c r="B2840" i="364"/>
  <c r="B2596" i="364"/>
  <c r="B2429" i="364"/>
  <c r="B2326" i="364"/>
  <c r="B2242" i="364"/>
  <c r="B2153" i="364"/>
  <c r="B2055" i="364"/>
  <c r="B1966" i="364"/>
  <c r="B1752" i="364"/>
  <c r="B1720" i="364"/>
  <c r="B1683" i="364"/>
  <c r="B1641" i="364"/>
  <c r="B1605" i="364"/>
  <c r="B1573" i="364"/>
  <c r="B1528" i="364"/>
  <c r="B1491" i="364"/>
  <c r="B1454" i="364"/>
  <c r="B1413" i="364"/>
  <c r="B1381" i="364"/>
  <c r="B1340" i="364"/>
  <c r="B1299" i="364"/>
  <c r="B1262" i="364"/>
  <c r="B1230" i="364"/>
  <c r="B1189" i="364"/>
  <c r="B1148" i="364"/>
  <c r="B1112" i="364"/>
  <c r="B1070" i="364"/>
  <c r="B1038" i="364"/>
  <c r="B1001" i="364"/>
  <c r="B956" i="364"/>
  <c r="B930" i="364"/>
  <c r="B904" i="364"/>
  <c r="B872" i="364"/>
  <c r="B843" i="364"/>
  <c r="B818" i="364"/>
  <c r="B786" i="364"/>
  <c r="B760" i="364"/>
  <c r="B731" i="364"/>
  <c r="B701" i="364"/>
  <c r="B672" i="364"/>
  <c r="B648" i="364"/>
  <c r="B616" i="364"/>
  <c r="B589" i="364"/>
  <c r="B560" i="364"/>
  <c r="B528" i="364"/>
  <c r="B504" i="364"/>
  <c r="B477" i="364"/>
  <c r="B445" i="364"/>
  <c r="B2" i="364"/>
  <c r="B25" i="364"/>
  <c r="B57" i="364"/>
  <c r="B84" i="364"/>
  <c r="B113" i="364"/>
  <c r="B145" i="364"/>
  <c r="B169" i="364"/>
  <c r="B196" i="364"/>
  <c r="B228" i="364"/>
  <c r="B257" i="364"/>
  <c r="B281" i="364"/>
  <c r="B313" i="364"/>
  <c r="B340" i="364"/>
  <c r="B369" i="364"/>
  <c r="B401" i="364"/>
  <c r="B425" i="364"/>
  <c r="B471" i="364"/>
  <c r="B535" i="364"/>
  <c r="B591" i="364"/>
  <c r="B639" i="364"/>
  <c r="B703" i="364"/>
  <c r="B759" i="364"/>
  <c r="B814" i="364"/>
  <c r="B878" i="364"/>
  <c r="B928" i="364"/>
  <c r="B983" i="364"/>
  <c r="B1047" i="364"/>
  <c r="B1101" i="364"/>
  <c r="B1151" i="364"/>
  <c r="B1215" i="364"/>
  <c r="B1271" i="364"/>
  <c r="B1325" i="364"/>
  <c r="B1389" i="364"/>
  <c r="B1439" i="364"/>
  <c r="B1495" i="364"/>
  <c r="B1559" i="364"/>
  <c r="B1613" i="364"/>
  <c r="B1663" i="364"/>
  <c r="B1727" i="364"/>
  <c r="B1796" i="364"/>
  <c r="B1903" i="364"/>
  <c r="B2093" i="364"/>
  <c r="B2247" i="364"/>
  <c r="B2463" i="364"/>
  <c r="B733" i="364"/>
  <c r="B277" i="364"/>
  <c r="B120" i="364"/>
  <c r="B1800" i="364"/>
  <c r="B366" i="364"/>
  <c r="B175" i="364"/>
  <c r="B1755" i="364"/>
  <c r="B162" i="364"/>
  <c r="B1961" i="364"/>
  <c r="B213" i="364"/>
  <c r="B2876" i="364"/>
  <c r="B47" i="364"/>
  <c r="B24" i="364"/>
  <c r="B22" i="100"/>
  <c r="P3" i="233" s="1"/>
  <c r="B248" i="364"/>
  <c r="B2525" i="364"/>
  <c r="B1306" i="364"/>
  <c r="B1740" i="364"/>
  <c r="B716" i="364"/>
  <c r="B1211" i="364"/>
  <c r="B564" i="364"/>
  <c r="B1617" i="364"/>
  <c r="B1440" i="364"/>
  <c r="B423" i="364"/>
  <c r="B2075" i="364"/>
  <c r="B349" i="364"/>
  <c r="B144" i="364"/>
  <c r="B2039" i="364"/>
  <c r="B229" i="364"/>
  <c r="B18" i="100"/>
  <c r="L3" i="342" s="1"/>
  <c r="B245" i="364"/>
  <c r="B1004" i="364"/>
  <c r="B266" i="364"/>
  <c r="B2853" i="364"/>
  <c r="B2771" i="364"/>
  <c r="B2655" i="364"/>
  <c r="B2581" i="364"/>
  <c r="B2729" i="364"/>
  <c r="B2781" i="364"/>
  <c r="B2652" i="364"/>
  <c r="B2545" i="364"/>
  <c r="B2458" i="364"/>
  <c r="B2734" i="364"/>
  <c r="B2801" i="364"/>
  <c r="B2661" i="364"/>
  <c r="B2588" i="364"/>
  <c r="B2510" i="364"/>
  <c r="B2737" i="364"/>
  <c r="B2699" i="364"/>
  <c r="B2541" i="364"/>
  <c r="B2436" i="364"/>
  <c r="B2366" i="364"/>
  <c r="B2309" i="364"/>
  <c r="B2253" i="364"/>
  <c r="B2196" i="364"/>
  <c r="B2136" i="364"/>
  <c r="B2087" i="364"/>
  <c r="B2027" i="364"/>
  <c r="B1967" i="364"/>
  <c r="B2748" i="364"/>
  <c r="B2644" i="364"/>
  <c r="B2482" i="364"/>
  <c r="B2387" i="364"/>
  <c r="B2314" i="364"/>
  <c r="B2229" i="364"/>
  <c r="B2160" i="364"/>
  <c r="B2081" i="364"/>
  <c r="B2003" i="364"/>
  <c r="B1927" i="364"/>
  <c r="B1865" i="364"/>
  <c r="B1812" i="364"/>
  <c r="B2860" i="364"/>
  <c r="B2613" i="364"/>
  <c r="B2442" i="364"/>
  <c r="B2371" i="364"/>
  <c r="B2292" i="364"/>
  <c r="B2208" i="364"/>
  <c r="B2141" i="364"/>
  <c r="B2062" i="364"/>
  <c r="B1987" i="364"/>
  <c r="B1918" i="364"/>
  <c r="B1861" i="364"/>
  <c r="B1804" i="364"/>
  <c r="B2789" i="364"/>
  <c r="B2399" i="364"/>
  <c r="B2240" i="364"/>
  <c r="B2104" i="364"/>
  <c r="B1920" i="364"/>
  <c r="B1809" i="364"/>
  <c r="B1750" i="364"/>
  <c r="B1707" i="364"/>
  <c r="B1661" i="364"/>
  <c r="B1622" i="364"/>
  <c r="B1579" i="364"/>
  <c r="B1533" i="364"/>
  <c r="B1494" i="364"/>
  <c r="B1451" i="364"/>
  <c r="B1405" i="364"/>
  <c r="B1369" i="364"/>
  <c r="B1341" i="364"/>
  <c r="B1320" i="364"/>
  <c r="B1288" i="364"/>
  <c r="B1259" i="364"/>
  <c r="B1231" i="364"/>
  <c r="B1199" i="364"/>
  <c r="B1174" i="364"/>
  <c r="B1145" i="364"/>
  <c r="B1113" i="364"/>
  <c r="B1085" i="364"/>
  <c r="B1064" i="364"/>
  <c r="B1032" i="364"/>
  <c r="B1003" i="364"/>
  <c r="B975" i="364"/>
  <c r="B940" i="364"/>
  <c r="B916" i="364"/>
  <c r="B889" i="364"/>
  <c r="B857" i="364"/>
  <c r="B828" i="364"/>
  <c r="B804" i="364"/>
  <c r="B772" i="364"/>
  <c r="B745" i="364"/>
  <c r="B2831" i="364"/>
  <c r="B2492" i="364"/>
  <c r="B2385" i="364"/>
  <c r="B2285" i="364"/>
  <c r="B2157" i="364"/>
  <c r="B2035" i="364"/>
  <c r="B1939" i="364"/>
  <c r="B1874" i="364"/>
  <c r="B1817" i="364"/>
  <c r="B1766" i="364"/>
  <c r="B1726" i="364"/>
  <c r="B1694" i="364"/>
  <c r="B1652" i="364"/>
  <c r="B1610" i="364"/>
  <c r="B1574" i="364"/>
  <c r="B1542" i="364"/>
  <c r="B1502" i="364"/>
  <c r="B1460" i="364"/>
  <c r="B1424" i="364"/>
  <c r="B1382" i="364"/>
  <c r="B1350" i="364"/>
  <c r="B1313" i="364"/>
  <c r="B1268" i="364"/>
  <c r="B1232" i="364"/>
  <c r="B1200" i="364"/>
  <c r="B1158" i="364"/>
  <c r="B1121" i="364"/>
  <c r="B1086" i="364"/>
  <c r="B1040" i="364"/>
  <c r="B1008" i="364"/>
  <c r="B970" i="364"/>
  <c r="B918" i="364"/>
  <c r="B863" i="364"/>
  <c r="B815" i="364"/>
  <c r="B751" i="364"/>
  <c r="B710" i="364"/>
  <c r="B683" i="364"/>
  <c r="B651" i="364"/>
  <c r="B627" i="364"/>
  <c r="B598" i="364"/>
  <c r="B566" i="364"/>
  <c r="B539" i="364"/>
  <c r="B515" i="364"/>
  <c r="B483" i="364"/>
  <c r="B454" i="364"/>
  <c r="B2777" i="364"/>
  <c r="B2512" i="364"/>
  <c r="B2410" i="364"/>
  <c r="B2311" i="364"/>
  <c r="B2210" i="364"/>
  <c r="B2114" i="364"/>
  <c r="B2045" i="364"/>
  <c r="B1947" i="364"/>
  <c r="B1747" i="364"/>
  <c r="B1710" i="364"/>
  <c r="B1669" i="364"/>
  <c r="B1637" i="364"/>
  <c r="B1596" i="364"/>
  <c r="B1555" i="364"/>
  <c r="B1518" i="364"/>
  <c r="B1486" i="364"/>
  <c r="B1445" i="364"/>
  <c r="B1404" i="364"/>
  <c r="B1368" i="364"/>
  <c r="B1326" i="364"/>
  <c r="B1294" i="364"/>
  <c r="B1257" i="364"/>
  <c r="B1212" i="364"/>
  <c r="B1176" i="364"/>
  <c r="B1144" i="364"/>
  <c r="B1102" i="364"/>
  <c r="B1065" i="364"/>
  <c r="B1029" i="364"/>
  <c r="B984" i="364"/>
  <c r="B952" i="364"/>
  <c r="B923" i="364"/>
  <c r="B891" i="364"/>
  <c r="B866" i="364"/>
  <c r="B840" i="364"/>
  <c r="B808" i="364"/>
  <c r="B779" i="364"/>
  <c r="B754" i="364"/>
  <c r="B720" i="364"/>
  <c r="B696" i="364"/>
  <c r="B669" i="364"/>
  <c r="B637" i="364"/>
  <c r="B608" i="364"/>
  <c r="B584" i="364"/>
  <c r="B552" i="364"/>
  <c r="B525" i="364"/>
  <c r="B496" i="364"/>
  <c r="B464" i="364"/>
  <c r="B440" i="364"/>
  <c r="B4" i="364"/>
  <c r="B36" i="364"/>
  <c r="B65" i="364"/>
  <c r="B89" i="364"/>
  <c r="B121" i="364"/>
  <c r="B148" i="364"/>
  <c r="B177" i="364"/>
  <c r="B209" i="364"/>
  <c r="B233" i="364"/>
  <c r="B260" i="364"/>
  <c r="B292" i="364"/>
  <c r="B321" i="364"/>
  <c r="B345" i="364"/>
  <c r="B377" i="364"/>
  <c r="B404" i="364"/>
  <c r="B434" i="364"/>
  <c r="B495" i="364"/>
  <c r="B543" i="364"/>
  <c r="B599" i="364"/>
  <c r="B663" i="364"/>
  <c r="B719" i="364"/>
  <c r="B768" i="364"/>
  <c r="B832" i="364"/>
  <c r="B887" i="364"/>
  <c r="B942" i="364"/>
  <c r="B1005" i="364"/>
  <c r="B1055" i="364"/>
  <c r="B1111" i="364"/>
  <c r="B1175" i="364"/>
  <c r="B1229" i="364"/>
  <c r="B1279" i="364"/>
  <c r="B1343" i="364"/>
  <c r="B1399" i="364"/>
  <c r="B1453" i="364"/>
  <c r="B1517" i="364"/>
  <c r="B1567" i="364"/>
  <c r="B1623" i="364"/>
  <c r="B1687" i="364"/>
  <c r="B1741" i="364"/>
  <c r="B1807" i="364"/>
  <c r="B1943" i="364"/>
  <c r="B2109" i="364"/>
  <c r="B2286" i="364"/>
  <c r="B2705" i="364"/>
  <c r="B2227" i="364"/>
  <c r="B508" i="364"/>
  <c r="B227" i="364"/>
  <c r="B88" i="364"/>
  <c r="B1287" i="364"/>
  <c r="B301" i="364"/>
  <c r="B143" i="364"/>
  <c r="B513" i="364"/>
  <c r="B98" i="364"/>
  <c r="B1260" i="364"/>
  <c r="B134" i="364"/>
  <c r="B1774" i="364"/>
  <c r="B1243" i="364"/>
  <c r="B1910" i="364"/>
  <c r="B708" i="364"/>
  <c r="B1814" i="364"/>
  <c r="B1420" i="364"/>
  <c r="B826" i="364"/>
  <c r="B1141" i="364"/>
  <c r="B355" i="364"/>
  <c r="B246" i="364"/>
  <c r="B466" i="364"/>
  <c r="B171" i="364"/>
  <c r="B352" i="364"/>
  <c r="B880" i="364"/>
  <c r="B2822" i="364"/>
  <c r="B2624" i="364"/>
  <c r="B2843" i="364"/>
  <c r="B2606" i="364"/>
  <c r="B2435" i="364"/>
  <c r="B2765" i="364"/>
  <c r="B2552" i="364"/>
  <c r="B2844" i="364"/>
  <c r="B2497" i="364"/>
  <c r="B2347" i="364"/>
  <c r="B2234" i="364"/>
  <c r="B2117" i="364"/>
  <c r="B2004" i="364"/>
  <c r="B2811" i="364"/>
  <c r="B2437" i="364"/>
  <c r="B2278" i="364"/>
  <c r="B2131" i="364"/>
  <c r="B1973" i="364"/>
  <c r="B1848" i="364"/>
  <c r="B2793" i="364"/>
  <c r="B2411" i="364"/>
  <c r="B2263" i="364"/>
  <c r="B2115" i="364"/>
  <c r="B1958" i="364"/>
  <c r="B1840" i="364"/>
  <c r="B2586" i="364"/>
  <c r="B2187" i="364"/>
  <c r="B1873" i="364"/>
  <c r="B1736" i="364"/>
  <c r="B1647" i="364"/>
  <c r="B1561" i="364"/>
  <c r="B1480" i="364"/>
  <c r="B1391" i="364"/>
  <c r="B1337" i="364"/>
  <c r="B1277" i="364"/>
  <c r="B1224" i="364"/>
  <c r="B1167" i="364"/>
  <c r="B1110" i="364"/>
  <c r="B1049" i="364"/>
  <c r="B1000" i="364"/>
  <c r="B937" i="364"/>
  <c r="B876" i="364"/>
  <c r="B825" i="364"/>
  <c r="B764" i="364"/>
  <c r="B2714" i="364"/>
  <c r="B2364" i="364"/>
  <c r="B2129" i="364"/>
  <c r="B1913" i="364"/>
  <c r="B1810" i="364"/>
  <c r="B1716" i="364"/>
  <c r="B1638" i="364"/>
  <c r="B1569" i="364"/>
  <c r="B1488" i="364"/>
  <c r="B1414" i="364"/>
  <c r="B1342" i="364"/>
  <c r="B1264" i="364"/>
  <c r="B1185" i="364"/>
  <c r="B1118" i="364"/>
  <c r="B1034" i="364"/>
  <c r="B958" i="364"/>
  <c r="B854" i="364"/>
  <c r="B735" i="364"/>
  <c r="B675" i="364"/>
  <c r="B619" i="364"/>
  <c r="B563" i="364"/>
  <c r="B502" i="364"/>
  <c r="B451" i="364"/>
  <c r="B2484" i="364"/>
  <c r="B2281" i="364"/>
  <c r="B2103" i="364"/>
  <c r="B1929" i="364"/>
  <c r="B1701" i="364"/>
  <c r="B1624" i="364"/>
  <c r="B1550" i="364"/>
  <c r="B1468" i="364"/>
  <c r="B1400" i="364"/>
  <c r="B1321" i="364"/>
  <c r="B1240" i="364"/>
  <c r="B1171" i="364"/>
  <c r="B1093" i="364"/>
  <c r="B1016" i="364"/>
  <c r="B946" i="364"/>
  <c r="B888" i="364"/>
  <c r="B827" i="364"/>
  <c r="B776" i="364"/>
  <c r="B717" i="364"/>
  <c r="B656" i="364"/>
  <c r="B605" i="364"/>
  <c r="B544" i="364"/>
  <c r="B488" i="364"/>
  <c r="B432" i="364"/>
  <c r="B41" i="364"/>
  <c r="B100" i="364"/>
  <c r="B153" i="364"/>
  <c r="B212" i="364"/>
  <c r="B273" i="364"/>
  <c r="B324" i="364"/>
  <c r="B385" i="364"/>
  <c r="B447" i="364"/>
  <c r="B559" i="364"/>
  <c r="B671" i="364"/>
  <c r="B791" i="364"/>
  <c r="B896" i="364"/>
  <c r="B1015" i="364"/>
  <c r="B1133" i="364"/>
  <c r="B1239" i="364"/>
  <c r="B1357" i="364"/>
  <c r="B1471" i="364"/>
  <c r="B1581" i="364"/>
  <c r="B1695" i="364"/>
  <c r="B1860" i="364"/>
  <c r="B2146" i="364"/>
  <c r="B2800" i="364"/>
  <c r="B915" i="364"/>
  <c r="B2134" i="364"/>
  <c r="B363" i="364"/>
  <c r="B612" i="364"/>
  <c r="B749" i="364"/>
  <c r="B58" i="364"/>
  <c r="B78" i="364"/>
  <c r="B114" i="364"/>
  <c r="B91" i="364"/>
  <c r="B2745" i="364"/>
  <c r="B2702" i="364"/>
  <c r="B2539" i="364"/>
  <c r="B2692" i="364"/>
  <c r="B2499" i="364"/>
  <c r="B2852" i="364"/>
  <c r="B2619" i="364"/>
  <c r="B2476" i="364"/>
  <c r="B2627" i="364"/>
  <c r="B2392" i="364"/>
  <c r="B2283" i="364"/>
  <c r="B2170" i="364"/>
  <c r="B2053" i="364"/>
  <c r="B1942" i="364"/>
  <c r="B2572" i="364"/>
  <c r="B2342" i="364"/>
  <c r="B2195" i="364"/>
  <c r="B2043" i="364"/>
  <c r="B1894" i="364"/>
  <c r="B1784" i="364"/>
  <c r="B2515" i="364"/>
  <c r="B2327" i="364"/>
  <c r="B2179" i="364"/>
  <c r="B2026" i="364"/>
  <c r="B1886" i="364"/>
  <c r="B1776" i="364"/>
  <c r="B2325" i="364"/>
  <c r="B2015" i="364"/>
  <c r="B1771" i="364"/>
  <c r="B1686" i="364"/>
  <c r="B1597" i="364"/>
  <c r="B1515" i="364"/>
  <c r="B1430" i="364"/>
  <c r="B1359" i="364"/>
  <c r="B1302" i="364"/>
  <c r="B1241" i="364"/>
  <c r="B1192" i="364"/>
  <c r="B1131" i="364"/>
  <c r="B1071" i="364"/>
  <c r="B1017" i="364"/>
  <c r="B957" i="364"/>
  <c r="B900" i="364"/>
  <c r="B844" i="364"/>
  <c r="B788" i="364"/>
  <c r="B729" i="364"/>
  <c r="B2460" i="364"/>
  <c r="B2212" i="364"/>
  <c r="B1980" i="364"/>
  <c r="B1849" i="364"/>
  <c r="B1744" i="364"/>
  <c r="B1670" i="364"/>
  <c r="B1598" i="364"/>
  <c r="B1520" i="364"/>
  <c r="B1441" i="364"/>
  <c r="B1374" i="364"/>
  <c r="B1290" i="364"/>
  <c r="B1214" i="364"/>
  <c r="B1140" i="364"/>
  <c r="B1062" i="364"/>
  <c r="B990" i="364"/>
  <c r="B895" i="364"/>
  <c r="B783" i="364"/>
  <c r="B694" i="364"/>
  <c r="B643" i="364"/>
  <c r="B582" i="364"/>
  <c r="B523" i="364"/>
  <c r="B470" i="364"/>
  <c r="B2623" i="364"/>
  <c r="B2350" i="364"/>
  <c r="B2173" i="364"/>
  <c r="B1986" i="364"/>
  <c r="B1724" i="364"/>
  <c r="B1656" i="364"/>
  <c r="B1577" i="364"/>
  <c r="B1496" i="364"/>
  <c r="B1427" i="364"/>
  <c r="B1349" i="364"/>
  <c r="B1272" i="364"/>
  <c r="B1198" i="364"/>
  <c r="B1125" i="364"/>
  <c r="B1043" i="364"/>
  <c r="B974" i="364"/>
  <c r="B907" i="364"/>
  <c r="B850" i="364"/>
  <c r="B795" i="364"/>
  <c r="B738" i="364"/>
  <c r="B680" i="364"/>
  <c r="B624" i="364"/>
  <c r="B568" i="364"/>
  <c r="B509" i="364"/>
  <c r="B456" i="364"/>
  <c r="B20" i="364"/>
  <c r="B81" i="364"/>
  <c r="B132" i="364"/>
  <c r="B193" i="364"/>
  <c r="B249" i="364"/>
  <c r="B305" i="364"/>
  <c r="B361" i="364"/>
  <c r="B420" i="364"/>
  <c r="B511" i="364"/>
  <c r="B631" i="364"/>
  <c r="B750" i="364"/>
  <c r="B855" i="364"/>
  <c r="B973" i="364"/>
  <c r="B1087" i="364"/>
  <c r="B1197" i="364"/>
  <c r="B1311" i="364"/>
  <c r="B1431" i="364"/>
  <c r="B1535" i="364"/>
  <c r="B1655" i="364"/>
  <c r="B1775" i="364"/>
  <c r="B2010" i="364"/>
  <c r="B2402" i="364"/>
  <c r="B1425" i="364"/>
  <c r="B152" i="364"/>
  <c r="B474" i="364"/>
  <c r="B79" i="364"/>
  <c r="B6" i="364"/>
  <c r="B34" i="364"/>
  <c r="B130" i="364"/>
  <c r="X36" i="354"/>
  <c r="C2" i="86"/>
  <c r="D2" i="248"/>
  <c r="B237" i="364"/>
  <c r="B1407" i="364"/>
  <c r="D2" i="343"/>
  <c r="D2" i="142"/>
  <c r="D2" i="350"/>
  <c r="F63" i="363"/>
  <c r="B102" i="364"/>
  <c r="B166" i="364"/>
  <c r="B422" i="364"/>
  <c r="B111" i="364"/>
  <c r="B2178" i="364"/>
  <c r="B397" i="364"/>
  <c r="B2349" i="364"/>
  <c r="B1751" i="364"/>
  <c r="B1527" i="364"/>
  <c r="B1303" i="364"/>
  <c r="B1069" i="364"/>
  <c r="B846" i="364"/>
  <c r="B623" i="364"/>
  <c r="B409" i="364"/>
  <c r="B297" i="364"/>
  <c r="B185" i="364"/>
  <c r="B68" i="364"/>
  <c r="B461" i="364"/>
  <c r="B573" i="364"/>
  <c r="B688" i="364"/>
  <c r="B802" i="364"/>
  <c r="B914" i="364"/>
  <c r="B1061" i="364"/>
  <c r="B1208" i="364"/>
  <c r="B1358" i="364"/>
  <c r="B1513" i="364"/>
  <c r="B1660" i="364"/>
  <c r="B2011" i="364"/>
  <c r="B2370" i="364"/>
  <c r="B475" i="364"/>
  <c r="B587" i="364"/>
  <c r="B707" i="364"/>
  <c r="B911" i="364"/>
  <c r="B1072" i="364"/>
  <c r="B1226" i="364"/>
  <c r="B1377" i="364"/>
  <c r="B1524" i="364"/>
  <c r="B1680" i="364"/>
  <c r="B1859" i="364"/>
  <c r="B2236" i="364"/>
  <c r="B740" i="364"/>
  <c r="B852" i="364"/>
  <c r="B968" i="364"/>
  <c r="B1081" i="364"/>
  <c r="B1195" i="364"/>
  <c r="B1305" i="364"/>
  <c r="B1433" i="364"/>
  <c r="B1608" i="364"/>
  <c r="B1777" i="364"/>
  <c r="B2344" i="364"/>
  <c r="B1900" i="364"/>
  <c r="B2184" i="364"/>
  <c r="B2526" i="364"/>
  <c r="B1908" i="364"/>
  <c r="B2206" i="364"/>
  <c r="B2580" i="364"/>
  <c r="B2061" i="364"/>
  <c r="B2287" i="364"/>
  <c r="B2648" i="364"/>
  <c r="B2635" i="364"/>
  <c r="B2511" i="364"/>
  <c r="B2558" i="364"/>
  <c r="B2749" i="364"/>
  <c r="B104" i="364"/>
  <c r="B83" i="364"/>
  <c r="B676" i="364"/>
  <c r="B2380" i="364"/>
  <c r="D2" i="316"/>
  <c r="D2" i="351"/>
  <c r="D2" i="337"/>
  <c r="D2" i="237"/>
  <c r="D2" i="134"/>
  <c r="D2" i="336"/>
  <c r="D2" i="367"/>
  <c r="B198" i="364"/>
  <c r="B70" i="364"/>
  <c r="B262" i="364"/>
  <c r="B184" i="364"/>
  <c r="B1991" i="364"/>
  <c r="B1645" i="364"/>
  <c r="B1183" i="364"/>
  <c r="B959" i="364"/>
  <c r="B727" i="364"/>
  <c r="B503" i="364"/>
  <c r="B356" i="364"/>
  <c r="B241" i="364"/>
  <c r="B129" i="364"/>
  <c r="B17" i="364"/>
  <c r="B520" i="364"/>
  <c r="B632" i="364"/>
  <c r="B744" i="364"/>
  <c r="B859" i="364"/>
  <c r="B979" i="364"/>
  <c r="B1129" i="364"/>
  <c r="B1285" i="364"/>
  <c r="B1432" i="364"/>
  <c r="B1582" i="364"/>
  <c r="B1742" i="364"/>
  <c r="B2198" i="364"/>
  <c r="B2693" i="364"/>
  <c r="B534" i="364"/>
  <c r="B646" i="364"/>
  <c r="B790" i="364"/>
  <c r="B998" i="364"/>
  <c r="B1150" i="364"/>
  <c r="B1296" i="364"/>
  <c r="B1456" i="364"/>
  <c r="B1606" i="364"/>
  <c r="B1758" i="364"/>
  <c r="B2029" i="364"/>
  <c r="B2478" i="364"/>
  <c r="B793" i="364"/>
  <c r="B908" i="364"/>
  <c r="B1021" i="364"/>
  <c r="B1135" i="364"/>
  <c r="B1256" i="364"/>
  <c r="B1366" i="364"/>
  <c r="B1519" i="364"/>
  <c r="B1689" i="364"/>
  <c r="B2048" i="364"/>
  <c r="B1783" i="364"/>
  <c r="B2036" i="364"/>
  <c r="B2336" i="364"/>
  <c r="B1787" i="364"/>
  <c r="B2058" i="364"/>
  <c r="B2357" i="364"/>
  <c r="B1945" i="364"/>
  <c r="B2174" i="364"/>
  <c r="B2407" i="364"/>
  <c r="B2490" i="364"/>
  <c r="B2874" i="364"/>
  <c r="B2707" i="364"/>
  <c r="B2706" i="364"/>
  <c r="B27" i="364"/>
  <c r="B126" i="364"/>
  <c r="B839" i="364"/>
  <c r="B402" i="364"/>
  <c r="B986" i="364"/>
  <c r="H2" i="363"/>
  <c r="D2" i="342"/>
  <c r="D2" i="253"/>
  <c r="F201" i="363"/>
  <c r="B416" i="364"/>
  <c r="B5" i="100"/>
  <c r="G2" i="123" s="1"/>
  <c r="B287" i="364"/>
  <c r="B291" i="364"/>
  <c r="B336" i="364"/>
  <c r="B713" i="364"/>
  <c r="B317" i="364"/>
  <c r="B2856" i="364"/>
  <c r="B1871" i="364"/>
  <c r="B1599" i="364"/>
  <c r="B1367" i="364"/>
  <c r="B1143" i="364"/>
  <c r="B919" i="364"/>
  <c r="B687" i="364"/>
  <c r="B463" i="364"/>
  <c r="B337" i="364"/>
  <c r="B217" i="364"/>
  <c r="B105" i="364"/>
  <c r="B6" i="100"/>
  <c r="O3" i="343"/>
  <c r="B541" i="364"/>
  <c r="B653" i="364"/>
  <c r="B763" i="364"/>
  <c r="B882" i="364"/>
  <c r="B1006" i="364"/>
  <c r="B1157" i="364"/>
  <c r="B1317" i="364"/>
  <c r="B1464" i="364"/>
  <c r="B1614" i="364"/>
  <c r="B1769" i="364"/>
  <c r="B2267" i="364"/>
  <c r="B2725" i="364"/>
  <c r="B555" i="364"/>
  <c r="B667" i="364"/>
  <c r="B831" i="364"/>
  <c r="B1030" i="364"/>
  <c r="B1182" i="364"/>
  <c r="B1328" i="364"/>
  <c r="B1482" i="364"/>
  <c r="B1633" i="364"/>
  <c r="B1785" i="364"/>
  <c r="B2108" i="364"/>
  <c r="B2665" i="364"/>
  <c r="B812" i="364"/>
  <c r="B932" i="364"/>
  <c r="B1046" i="364"/>
  <c r="B1160" i="364"/>
  <c r="B1273" i="364"/>
  <c r="B1387" i="364"/>
  <c r="B1558" i="364"/>
  <c r="B1725" i="364"/>
  <c r="B2176" i="364"/>
  <c r="B1836" i="364"/>
  <c r="B2100" i="364"/>
  <c r="B2400" i="364"/>
  <c r="B1844" i="364"/>
  <c r="B2122" i="364"/>
  <c r="B2426" i="364"/>
  <c r="B1997" i="364"/>
  <c r="B2223" i="364"/>
  <c r="B2489" i="364"/>
  <c r="B2547" i="364"/>
  <c r="B2424" i="364"/>
  <c r="B2835" i="364"/>
  <c r="B2806" i="364"/>
  <c r="B406" i="364"/>
  <c r="B433" i="364"/>
  <c r="B311" i="364"/>
  <c r="B771" i="364"/>
  <c r="B1754" i="364"/>
  <c r="V3" i="233"/>
  <c r="S3" i="343"/>
  <c r="N2" i="139"/>
  <c r="K3" i="316"/>
  <c r="K3" i="147"/>
  <c r="M248" i="363"/>
  <c r="K3" i="249"/>
  <c r="G3" i="139"/>
  <c r="R3" i="296"/>
  <c r="K3" i="248"/>
  <c r="J3" i="362"/>
  <c r="L3" i="128"/>
  <c r="Q3" i="300"/>
  <c r="M3" i="141"/>
  <c r="M3" i="123"/>
  <c r="M156" i="363"/>
  <c r="K3" i="367"/>
  <c r="C2" i="294"/>
  <c r="E2" i="139"/>
  <c r="P2" i="296"/>
  <c r="J2" i="255"/>
  <c r="H2" i="362"/>
  <c r="B50" i="100"/>
  <c r="K2" i="363"/>
  <c r="O2" i="256"/>
  <c r="J2" i="127"/>
  <c r="I2" i="337"/>
  <c r="I2" i="142"/>
  <c r="K63" i="363"/>
  <c r="J2" i="131"/>
  <c r="H155" i="363"/>
  <c r="C2" i="144"/>
  <c r="C853" i="364"/>
  <c r="C273" i="364"/>
  <c r="C1908" i="364"/>
  <c r="C329" i="364"/>
  <c r="C861" i="364"/>
  <c r="C2025" i="364"/>
  <c r="C2097" i="364"/>
  <c r="C143" i="364"/>
  <c r="C145" i="364"/>
  <c r="C1554" i="364"/>
  <c r="C201" i="364"/>
  <c r="C60" i="364"/>
  <c r="C84" i="364"/>
  <c r="A1" i="143"/>
  <c r="C1678" i="364"/>
  <c r="C47" i="364"/>
  <c r="C2042" i="364"/>
  <c r="C1355" i="364"/>
  <c r="C1738" i="364"/>
  <c r="C2250" i="364"/>
  <c r="C1499" i="364"/>
  <c r="C2746" i="364"/>
  <c r="C1164" i="364"/>
  <c r="C74" i="364"/>
  <c r="C118" i="364"/>
  <c r="C318" i="364"/>
  <c r="C189" i="364"/>
  <c r="C585" i="364"/>
  <c r="C709" i="364"/>
  <c r="C2427" i="364"/>
  <c r="A1" i="368"/>
  <c r="C1733" i="364"/>
  <c r="C937" i="364"/>
  <c r="C731" i="364"/>
  <c r="C2599" i="364"/>
  <c r="C2770" i="364"/>
  <c r="C1859" i="364"/>
  <c r="C1532" i="364"/>
  <c r="C657" i="364"/>
  <c r="A1" i="335"/>
  <c r="C2010" i="364"/>
  <c r="C2246" i="364"/>
  <c r="C2061" i="364"/>
  <c r="C1099" i="364"/>
  <c r="C1590" i="364"/>
  <c r="C285" i="364"/>
  <c r="C680" i="364"/>
  <c r="C1307" i="364"/>
  <c r="C2839" i="364"/>
  <c r="C1801" i="364"/>
  <c r="C1142" i="364"/>
  <c r="C167" i="364"/>
  <c r="C507" i="364"/>
  <c r="C2339" i="364"/>
  <c r="C1907" i="364"/>
  <c r="C2794" i="364"/>
  <c r="C1737" i="364"/>
  <c r="C1438" i="364"/>
  <c r="C743" i="364"/>
  <c r="C1442" i="364"/>
  <c r="C2823" i="364"/>
  <c r="C2301" i="364"/>
  <c r="C1117" i="364"/>
  <c r="C1938" i="364"/>
  <c r="C813" i="364"/>
  <c r="C123" i="364"/>
  <c r="C1445" i="364"/>
  <c r="C2529" i="364"/>
  <c r="C2860" i="364"/>
  <c r="C2622" i="364"/>
  <c r="C2428" i="364"/>
  <c r="C1235" i="364"/>
  <c r="C270" i="364"/>
  <c r="C2299" i="364"/>
  <c r="C1301" i="364"/>
  <c r="C2835" i="364"/>
  <c r="C703" i="364"/>
  <c r="C2023" i="364"/>
  <c r="C1666" i="364"/>
  <c r="C2544" i="364"/>
  <c r="C2005" i="364"/>
  <c r="C1469" i="364"/>
  <c r="C1622" i="364"/>
  <c r="C1975" i="364"/>
  <c r="C697" i="364"/>
  <c r="C2313" i="364"/>
  <c r="C2165" i="364"/>
  <c r="C2845" i="364"/>
  <c r="C1884" i="364"/>
  <c r="C673" i="364"/>
  <c r="C331" i="364"/>
  <c r="C1047" i="364"/>
  <c r="C2365" i="364"/>
  <c r="C958" i="364"/>
  <c r="C394" i="364"/>
  <c r="C1083" i="364"/>
  <c r="C2507" i="364"/>
  <c r="C1429" i="364"/>
  <c r="C447" i="364"/>
  <c r="C1204" i="364"/>
  <c r="C2857" i="364"/>
  <c r="C1905" i="364"/>
  <c r="C1223" i="364"/>
  <c r="C1002" i="364"/>
  <c r="C281" i="364"/>
  <c r="C1487" i="364"/>
  <c r="C1802" i="364"/>
  <c r="C821" i="364"/>
  <c r="C363" i="364"/>
  <c r="C1325" i="364"/>
  <c r="C2476" i="364"/>
  <c r="C150" i="364"/>
  <c r="C1944" i="364"/>
  <c r="C818" i="364"/>
  <c r="C1672" i="364"/>
  <c r="C756" i="364"/>
  <c r="C728" i="364"/>
  <c r="C446" i="364"/>
  <c r="C814" i="364"/>
  <c r="C1062" i="364"/>
  <c r="C442" i="364"/>
  <c r="C692" i="364"/>
  <c r="C2031" i="364"/>
  <c r="C2644" i="364"/>
  <c r="C2004" i="364"/>
  <c r="C2080" i="364"/>
  <c r="C2203" i="364"/>
  <c r="C990" i="364"/>
  <c r="C1306" i="364"/>
  <c r="C211" i="364"/>
  <c r="C457" i="364"/>
  <c r="C1719" i="364"/>
  <c r="C699" i="364"/>
  <c r="C26" i="364"/>
  <c r="C27" i="364"/>
  <c r="C2392" i="364"/>
  <c r="C2526" i="364"/>
  <c r="C2725" i="364"/>
  <c r="C2155" i="364"/>
  <c r="C1219" i="364"/>
  <c r="C115" i="364"/>
  <c r="C1052" i="364"/>
  <c r="C2801" i="364"/>
  <c r="C2403" i="364"/>
  <c r="C2460" i="364"/>
  <c r="C1739" i="364"/>
  <c r="C1518" i="364"/>
  <c r="C1434" i="364"/>
  <c r="C1903" i="364"/>
  <c r="C2573" i="364"/>
  <c r="C1563" i="364"/>
  <c r="C2493" i="364"/>
  <c r="C1673" i="364"/>
  <c r="C1077" i="364"/>
  <c r="C391" i="364"/>
  <c r="C2873" i="364"/>
  <c r="C2082" i="364"/>
  <c r="C1555" i="364"/>
  <c r="C2779" i="364"/>
  <c r="C1909" i="364"/>
  <c r="C1910" i="364"/>
  <c r="C839" i="364"/>
  <c r="C2805" i="364"/>
  <c r="C2496" i="364"/>
  <c r="C1757" i="364"/>
  <c r="C1201" i="364"/>
  <c r="C1258" i="364"/>
  <c r="C685" i="364"/>
  <c r="C217" i="364"/>
  <c r="C1615" i="364"/>
  <c r="C2786" i="364"/>
  <c r="C593" i="364"/>
  <c r="C2178" i="364"/>
  <c r="C2107" i="364"/>
  <c r="C1331" i="364"/>
  <c r="C2767" i="364"/>
  <c r="C2229" i="364"/>
  <c r="C1407" i="364"/>
  <c r="C107" i="364"/>
  <c r="C767" i="364"/>
  <c r="C1620" i="364"/>
  <c r="C2479" i="364"/>
  <c r="C2861" i="364"/>
  <c r="C2212" i="364"/>
  <c r="C2173" i="364"/>
  <c r="C1341" i="364"/>
  <c r="C1278" i="364"/>
  <c r="C2297" i="364"/>
  <c r="C954" i="364"/>
  <c r="C611" i="364"/>
  <c r="C137" i="364"/>
  <c r="C1462" i="364"/>
  <c r="C1765" i="364"/>
  <c r="C684" i="364"/>
  <c r="C2119" i="364"/>
  <c r="C1028" i="364"/>
  <c r="C545" i="364"/>
  <c r="C961" i="364"/>
  <c r="C1901" i="364"/>
  <c r="C2048" i="364"/>
  <c r="C2707" i="364"/>
  <c r="C1427" i="364"/>
  <c r="C2624" i="364"/>
  <c r="C2572" i="364"/>
  <c r="C1350" i="364"/>
  <c r="C1460" i="364"/>
  <c r="C2848" i="364"/>
  <c r="C2284" i="364"/>
  <c r="C1649" i="364"/>
  <c r="C1338" i="364"/>
  <c r="C451" i="364"/>
  <c r="C2500" i="364"/>
  <c r="C2294" i="364"/>
  <c r="C939" i="364"/>
  <c r="C309" i="364"/>
  <c r="C2425" i="364"/>
  <c r="C1879" i="364"/>
  <c r="C202" i="364"/>
  <c r="C2159" i="364"/>
  <c r="C1320" i="364"/>
  <c r="C2546" i="364"/>
  <c r="C788" i="364"/>
  <c r="C832" i="364"/>
  <c r="C616" i="364"/>
  <c r="C1904" i="364"/>
  <c r="C468" i="364"/>
  <c r="C604" i="364"/>
  <c r="C368" i="364"/>
  <c r="C108" i="364"/>
  <c r="C472" i="364"/>
  <c r="C158" i="364"/>
  <c r="C30" i="364"/>
  <c r="C662" i="364"/>
  <c r="C1246" i="364"/>
  <c r="C2146" i="364"/>
  <c r="C2521" i="364"/>
  <c r="C1459" i="364"/>
  <c r="C2388" i="364"/>
  <c r="C1663" i="364"/>
  <c r="C1215" i="364"/>
  <c r="C271" i="364"/>
  <c r="C1684" i="364"/>
  <c r="C1680" i="364"/>
  <c r="C2859" i="364"/>
  <c r="C2429" i="364"/>
  <c r="C1063" i="364"/>
  <c r="C1878" i="364"/>
  <c r="C1722" i="364"/>
  <c r="C1724" i="364"/>
  <c r="C461" i="364"/>
  <c r="C1807" i="364"/>
  <c r="C2264" i="364"/>
  <c r="C102" i="364"/>
  <c r="C1418" i="364"/>
  <c r="C1836" i="364"/>
  <c r="C949" i="364"/>
  <c r="C267" i="364"/>
  <c r="C7" i="364"/>
  <c r="C1069" i="364"/>
  <c r="C1517" i="364"/>
  <c r="C1965" i="364"/>
  <c r="C2190" i="364"/>
  <c r="C136" i="364"/>
  <c r="C414" i="364"/>
  <c r="C1144" i="364"/>
  <c r="C2207" i="364"/>
  <c r="C1600" i="364"/>
  <c r="C1088" i="364"/>
  <c r="C1808" i="364"/>
  <c r="C1328" i="364"/>
  <c r="C924" i="364"/>
  <c r="C796" i="364"/>
  <c r="C666" i="364"/>
  <c r="C1280" i="364"/>
  <c r="C484" i="364"/>
  <c r="C358" i="364"/>
  <c r="C1752" i="364"/>
  <c r="C894" i="364"/>
  <c r="C664" i="364"/>
  <c r="C534" i="364"/>
  <c r="C488" i="364"/>
  <c r="C300" i="364"/>
  <c r="C178" i="364"/>
  <c r="C50" i="364"/>
  <c r="C1200" i="364"/>
  <c r="C602" i="364"/>
  <c r="C100" i="364"/>
  <c r="C98" i="364"/>
  <c r="C384" i="364"/>
  <c r="C1304" i="364"/>
  <c r="C131" i="364"/>
  <c r="C1612" i="364"/>
  <c r="C41" i="364"/>
  <c r="C155" i="364"/>
  <c r="C1846" i="364"/>
  <c r="C1274" i="364"/>
  <c r="C2620" i="364"/>
  <c r="C564" i="364"/>
  <c r="C48" i="364"/>
  <c r="C312" i="364"/>
  <c r="C822" i="364"/>
  <c r="C128" i="364"/>
  <c r="C398" i="364"/>
  <c r="C1528" i="364"/>
  <c r="C614" i="364"/>
  <c r="C1376" i="364"/>
  <c r="C438" i="364"/>
  <c r="C716" i="364"/>
  <c r="C2303" i="364"/>
  <c r="C876" i="364"/>
  <c r="C1640" i="364"/>
  <c r="C810" i="364"/>
  <c r="C1416" i="364"/>
  <c r="C2741" i="364"/>
  <c r="C296" i="364"/>
  <c r="C2721" i="364"/>
  <c r="C1992" i="364"/>
  <c r="C1367" i="364"/>
  <c r="C91" i="364"/>
  <c r="C565" i="364"/>
  <c r="C1244" i="364"/>
  <c r="C1674" i="364"/>
  <c r="C2634" i="364"/>
  <c r="C1206" i="364"/>
  <c r="C579" i="364"/>
  <c r="C2391" i="364"/>
  <c r="C1406" i="364"/>
  <c r="C1521" i="364"/>
  <c r="C2291" i="364"/>
  <c r="C2667" i="364"/>
  <c r="C994" i="364"/>
  <c r="C791" i="364"/>
  <c r="C151" i="364"/>
  <c r="C1365" i="364"/>
  <c r="C1988" i="364"/>
  <c r="C125" i="364"/>
  <c r="C1683" i="364"/>
  <c r="A1" i="142"/>
  <c r="C2569" i="364"/>
  <c r="C2612" i="364"/>
  <c r="C6" i="364"/>
  <c r="C2629" i="364"/>
  <c r="C2307" i="364"/>
  <c r="C2595" i="364"/>
  <c r="C23" i="364"/>
  <c r="C2151" i="364"/>
  <c r="C2014" i="364"/>
  <c r="C1022" i="364"/>
  <c r="C675" i="364"/>
  <c r="C2333" i="364"/>
  <c r="C1500" i="364"/>
  <c r="C181" i="364"/>
  <c r="C2853" i="364"/>
  <c r="C480" i="364"/>
  <c r="C1288" i="364"/>
  <c r="C1512" i="364"/>
  <c r="C1648" i="364"/>
  <c r="C410" i="364"/>
  <c r="C582" i="364"/>
  <c r="C362" i="364"/>
  <c r="C722" i="364"/>
  <c r="C16" i="364"/>
  <c r="C2780" i="364"/>
  <c r="C2613" i="364"/>
  <c r="C407" i="364"/>
  <c r="C2533" i="364"/>
  <c r="C1095" i="364"/>
  <c r="C323" i="364"/>
  <c r="C1498" i="364"/>
  <c r="C277" i="364"/>
  <c r="C2420" i="364"/>
  <c r="C1120" i="364"/>
  <c r="C908" i="364"/>
  <c r="C568" i="364"/>
  <c r="C542" i="364"/>
  <c r="C160" i="364"/>
  <c r="C170" i="364"/>
  <c r="C1956" i="364"/>
  <c r="C1057" i="364"/>
  <c r="C1106" i="364"/>
  <c r="C440" i="364"/>
  <c r="C452" i="364"/>
  <c r="C864" i="364"/>
  <c r="C898" i="364"/>
  <c r="C2576" i="364"/>
  <c r="C811" i="364"/>
  <c r="C249" i="364"/>
  <c r="C1873" i="364"/>
  <c r="C479" i="364"/>
  <c r="C1019" i="364"/>
  <c r="C2336" i="364"/>
  <c r="C1484" i="364"/>
  <c r="C1669" i="364"/>
  <c r="C1441" i="364"/>
  <c r="C1677" i="364"/>
  <c r="C1010" i="364"/>
  <c r="C1316" i="364"/>
  <c r="C2393" i="364"/>
  <c r="C2497" i="364"/>
  <c r="C1266" i="364"/>
  <c r="C1650" i="364"/>
  <c r="C755" i="364"/>
  <c r="C1797" i="364"/>
  <c r="C177" i="364"/>
  <c r="C2158" i="364"/>
  <c r="C1556" i="364"/>
  <c r="C1437" i="364"/>
  <c r="C153" i="364"/>
  <c r="C513" i="364"/>
  <c r="C2483" i="364"/>
  <c r="C2463" i="364"/>
  <c r="C708" i="364"/>
  <c r="C482" i="364"/>
  <c r="C790" i="364"/>
  <c r="C1100" i="364"/>
  <c r="C325" i="364"/>
  <c r="C142" i="364"/>
  <c r="C920" i="364"/>
  <c r="C2731" i="364"/>
  <c r="C382" i="364"/>
  <c r="C577" i="364"/>
  <c r="C761" i="364"/>
  <c r="C1474" i="364"/>
  <c r="C117" i="364"/>
  <c r="C1177" i="364"/>
  <c r="C2369" i="364"/>
  <c r="C1869" i="364"/>
  <c r="C1165" i="364"/>
  <c r="C393" i="364"/>
  <c r="C1285" i="364"/>
  <c r="C2325" i="364"/>
  <c r="C531" i="364"/>
  <c r="C595" i="364"/>
  <c r="C1334" i="364"/>
  <c r="C1981" i="364"/>
  <c r="C1260" i="364"/>
  <c r="C1900" i="364"/>
  <c r="C2699" i="364"/>
  <c r="C1638" i="364"/>
  <c r="C785" i="364"/>
  <c r="C2852" i="364"/>
  <c r="C2864" i="364"/>
  <c r="C2033" i="364"/>
  <c r="C1948" i="364"/>
  <c r="C516" i="364"/>
  <c r="C2752" i="364"/>
  <c r="C2418" i="364"/>
  <c r="C2371" i="364"/>
  <c r="C2646" i="364"/>
  <c r="C1980" i="364"/>
  <c r="C1763" i="364"/>
  <c r="C1251" i="364"/>
  <c r="C1806" i="364"/>
  <c r="C1357" i="364"/>
  <c r="C1820" i="364"/>
  <c r="C2764" i="364"/>
  <c r="C2557" i="364"/>
  <c r="C2202" i="364"/>
  <c r="C2754" i="364"/>
  <c r="C2332" i="364"/>
  <c r="C2189" i="364"/>
  <c r="C1515" i="364"/>
  <c r="C1003" i="364"/>
  <c r="C2387" i="364"/>
  <c r="C234" i="364"/>
  <c r="C1388" i="364"/>
  <c r="C2535" i="364"/>
  <c r="C2870" i="364"/>
  <c r="C1947" i="364"/>
  <c r="C1070" i="364"/>
  <c r="C2709" i="364"/>
  <c r="C2419" i="364"/>
  <c r="C1545" i="364"/>
  <c r="C1310" i="364"/>
  <c r="C359" i="364"/>
  <c r="C645" i="364"/>
  <c r="C2338" i="364"/>
  <c r="C2044" i="364"/>
  <c r="C955" i="364"/>
  <c r="A1" i="128"/>
  <c r="C1791" i="364"/>
  <c r="C1222" i="364"/>
  <c r="C511" i="364"/>
  <c r="C1396" i="364"/>
  <c r="C2193" i="364"/>
  <c r="C2312" i="364"/>
  <c r="C1841" i="364"/>
  <c r="C1159" i="364"/>
  <c r="C2241" i="364"/>
  <c r="C1023" i="364"/>
  <c r="C1750" i="364"/>
  <c r="C395" i="364"/>
  <c r="C632" i="364"/>
  <c r="C502" i="364"/>
  <c r="C1214" i="364"/>
  <c r="C2740" i="364"/>
  <c r="C24" i="364"/>
  <c r="C1560" i="364"/>
  <c r="C900" i="364"/>
  <c r="C2514" i="364"/>
  <c r="C121" i="364"/>
  <c r="C2443" i="364"/>
  <c r="C1366" i="364"/>
  <c r="C911" i="364"/>
  <c r="C2302" i="364"/>
  <c r="C1592" i="364"/>
  <c r="C1700" i="364"/>
  <c r="C1455" i="364"/>
  <c r="C1655" i="364"/>
  <c r="C1335" i="364"/>
  <c r="C1692" i="364"/>
  <c r="C1402" i="364"/>
  <c r="C2315" i="364"/>
  <c r="C1591" i="364"/>
  <c r="C795" i="364"/>
  <c r="C869" i="364"/>
  <c r="C1834" i="364"/>
  <c r="C509" i="364"/>
  <c r="C1761" i="364"/>
  <c r="C2247" i="364"/>
  <c r="C2280" i="364"/>
  <c r="C617" i="364"/>
  <c r="C1113" i="364"/>
  <c r="C1249" i="364"/>
  <c r="C2037" i="364"/>
  <c r="C499" i="364"/>
  <c r="C356" i="364"/>
  <c r="C2705" i="364"/>
  <c r="C2822" i="364"/>
  <c r="C541" i="364"/>
  <c r="C2069" i="364"/>
  <c r="C315" i="364"/>
  <c r="C1732" i="364"/>
  <c r="C124" i="364"/>
  <c r="C2625" i="364"/>
  <c r="C2791" i="364"/>
  <c r="C2488" i="364"/>
  <c r="C2194" i="364"/>
  <c r="C2243" i="364"/>
  <c r="C2701" i="364"/>
  <c r="C2696" i="364"/>
  <c r="C2108" i="364"/>
  <c r="C2285" i="364"/>
  <c r="C1731" i="364"/>
  <c r="C1475" i="364"/>
  <c r="C1155" i="364"/>
  <c r="C1422" i="364"/>
  <c r="C873" i="364"/>
  <c r="C15" i="364"/>
  <c r="C2690" i="364"/>
  <c r="C763" i="364"/>
  <c r="C2748" i="364"/>
  <c r="C2553" i="364"/>
  <c r="C2675" i="364"/>
  <c r="C2426" i="364"/>
  <c r="C2138" i="364"/>
  <c r="C2147" i="364"/>
  <c r="C2603" i="364"/>
  <c r="C2416" i="364"/>
  <c r="C2032" i="364"/>
  <c r="C1963" i="364"/>
  <c r="C1675" i="364"/>
  <c r="C1419" i="364"/>
  <c r="C1067" i="364"/>
  <c r="C1646" i="364"/>
  <c r="C2057" i="364"/>
  <c r="C1132" i="364"/>
  <c r="C1148" i="364"/>
  <c r="C901" i="364"/>
  <c r="C2697" i="364"/>
  <c r="C2584" i="364"/>
  <c r="C1994" i="364"/>
  <c r="C2396" i="364"/>
  <c r="C2125" i="364"/>
  <c r="C1371" i="364"/>
  <c r="C1838" i="364"/>
  <c r="C370" i="364"/>
  <c r="C2781" i="364"/>
  <c r="C1974" i="364"/>
  <c r="C1929" i="364"/>
  <c r="C1631" i="364"/>
  <c r="C1289" i="364"/>
  <c r="C991" i="364"/>
  <c r="C1822" i="364"/>
  <c r="C199" i="364"/>
  <c r="C423" i="364"/>
  <c r="C647" i="364"/>
  <c r="C2167" i="364"/>
  <c r="C2649" i="364"/>
  <c r="C2552" i="364"/>
  <c r="C2051" i="364"/>
  <c r="C2384" i="364"/>
  <c r="C2349" i="364"/>
  <c r="C1395" i="364"/>
  <c r="C1614" i="364"/>
  <c r="C242" i="364"/>
  <c r="C2400" i="364"/>
  <c r="C2251" i="364"/>
  <c r="C1855" i="364"/>
  <c r="C1397" i="364"/>
  <c r="C1001" i="364"/>
  <c r="C11" i="364"/>
  <c r="C383" i="364"/>
  <c r="C639" i="364"/>
  <c r="C871" i="364"/>
  <c r="C1652" i="364"/>
  <c r="C1186" i="364"/>
  <c r="C1954" i="364"/>
  <c r="C2703" i="364"/>
  <c r="C2424" i="364"/>
  <c r="C2028" i="364"/>
  <c r="C1426" i="364"/>
  <c r="C1329" i="364"/>
  <c r="C2171" i="364"/>
  <c r="C2744" i="364"/>
  <c r="C935" i="364"/>
  <c r="C175" i="364"/>
  <c r="C1567" i="364"/>
  <c r="C2724" i="364"/>
  <c r="C1651" i="364"/>
  <c r="C1986" i="364"/>
  <c r="C1369" i="364"/>
  <c r="C87" i="364"/>
  <c r="C1375" i="364"/>
  <c r="C2144" i="364"/>
  <c r="C77" i="364"/>
  <c r="C1691" i="364"/>
  <c r="C2467" i="364"/>
  <c r="C2847" i="364"/>
  <c r="C1362" i="364"/>
  <c r="C1945" i="364"/>
  <c r="C1259" i="364"/>
  <c r="C1899" i="364"/>
  <c r="C2568" i="364"/>
  <c r="C2586" i="364"/>
  <c r="C2558" i="364"/>
  <c r="C2876" i="364"/>
  <c r="C2803" i="364"/>
  <c r="C349" i="364"/>
  <c r="C1379" i="364"/>
  <c r="C2157" i="364"/>
  <c r="C2528" i="364"/>
  <c r="C2034" i="364"/>
  <c r="C2511" i="364"/>
  <c r="C2719" i="364"/>
  <c r="C1207" i="364"/>
  <c r="C2567" i="364"/>
  <c r="C2783" i="364"/>
  <c r="C1482" i="364"/>
  <c r="C1485" i="364"/>
  <c r="C849" i="364"/>
  <c r="C1610" i="364"/>
  <c r="C1046" i="364"/>
  <c r="C1060" i="364"/>
  <c r="C1348" i="364"/>
  <c r="C1313" i="364"/>
  <c r="C883" i="364"/>
  <c r="C2149" i="364"/>
  <c r="C985" i="364"/>
  <c r="C681" i="364"/>
  <c r="C2357" i="364"/>
  <c r="C1533" i="364"/>
  <c r="C1756" i="364"/>
  <c r="C1504" i="364"/>
  <c r="C336" i="364"/>
  <c r="C272" i="364"/>
  <c r="C2405" i="364"/>
  <c r="C80" i="364"/>
  <c r="C730" i="364"/>
  <c r="C2191" i="364"/>
  <c r="C1632" i="364"/>
  <c r="C35" i="364"/>
  <c r="C665" i="364"/>
  <c r="C2454" i="364"/>
  <c r="C1481" i="364"/>
  <c r="C1527" i="364"/>
  <c r="C1194" i="364"/>
  <c r="C1644" i="364"/>
  <c r="C337" i="364"/>
  <c r="C1613" i="364"/>
  <c r="C1146" i="364"/>
  <c r="C529" i="364"/>
  <c r="C539" i="364"/>
  <c r="C1670" i="364"/>
  <c r="C851" i="364"/>
  <c r="C2402" i="364"/>
  <c r="C1054" i="364"/>
  <c r="C1191" i="364"/>
  <c r="C2769" i="364"/>
  <c r="C1793" i="364"/>
  <c r="C1952" i="364"/>
  <c r="C2063" i="364"/>
  <c r="C1872" i="364"/>
  <c r="C1158" i="364"/>
  <c r="C1413" i="364"/>
  <c r="C78" i="364"/>
  <c r="C306" i="364"/>
  <c r="C1624" i="364"/>
  <c r="C740" i="364"/>
  <c r="C1888" i="364"/>
  <c r="C1453" i="364"/>
  <c r="C1924" i="364"/>
  <c r="C835" i="364"/>
  <c r="C1949" i="364"/>
  <c r="C847" i="364"/>
  <c r="C1171" i="364"/>
  <c r="C704" i="364"/>
  <c r="C456" i="364"/>
  <c r="C588" i="364"/>
  <c r="C1104" i="364"/>
  <c r="C880" i="364"/>
  <c r="C1983" i="364"/>
  <c r="C2642" i="364"/>
  <c r="C2390" i="364"/>
  <c r="C405" i="364"/>
  <c r="C1970" i="364"/>
  <c r="C333" i="364"/>
  <c r="C1277" i="364"/>
  <c r="C2792" i="364"/>
  <c r="C399" i="364"/>
  <c r="C29" i="364"/>
  <c r="C369" i="364"/>
  <c r="C2810" i="364"/>
  <c r="C1454" i="364"/>
  <c r="C514" i="364"/>
  <c r="C2370" i="364"/>
  <c r="C2221" i="364"/>
  <c r="C2760" i="364"/>
  <c r="C1823" i="364"/>
  <c r="C2105" i="364"/>
  <c r="C919" i="364"/>
  <c r="C2065" i="364"/>
  <c r="C2112" i="364"/>
  <c r="C1351" i="364"/>
  <c r="C2417" i="364"/>
  <c r="C749" i="364"/>
  <c r="C1231" i="364"/>
  <c r="A1" i="141"/>
  <c r="C1668" i="364"/>
  <c r="C449" i="364"/>
  <c r="C1086" i="364"/>
  <c r="C2277" i="364"/>
  <c r="C1999" i="364"/>
  <c r="C702" i="364"/>
  <c r="C1664" i="364"/>
  <c r="C2738" i="364"/>
  <c r="C1160" i="364"/>
  <c r="C682" i="364"/>
  <c r="C640" i="364"/>
  <c r="C316" i="364"/>
  <c r="C686" i="364"/>
  <c r="C824" i="364"/>
  <c r="C252" i="364"/>
  <c r="C1488" i="364"/>
  <c r="C250" i="364"/>
  <c r="C196" i="364"/>
  <c r="C2289" i="364"/>
  <c r="C2618" i="364"/>
  <c r="C411" i="364"/>
  <c r="C31" i="364"/>
  <c r="C1618" i="364"/>
  <c r="C605" i="364"/>
  <c r="C774" i="364"/>
  <c r="C216" i="364"/>
  <c r="C68" i="364"/>
  <c r="C264" i="364"/>
  <c r="C486" i="364"/>
  <c r="C886" i="364"/>
  <c r="C82" i="364"/>
  <c r="C238" i="364"/>
  <c r="C418" i="364"/>
  <c r="C888" i="364"/>
  <c r="C474" i="364"/>
  <c r="C630" i="364"/>
  <c r="C976" i="364"/>
  <c r="C2578" i="364"/>
  <c r="C454" i="364"/>
  <c r="C656" i="364"/>
  <c r="C912" i="364"/>
  <c r="C2610" i="364"/>
  <c r="C828" i="364"/>
  <c r="C1096" i="364"/>
  <c r="C1704" i="364"/>
  <c r="C762" i="364"/>
  <c r="C922" i="364"/>
  <c r="C1472" i="364"/>
  <c r="C2447" i="364"/>
  <c r="C626" i="364"/>
  <c r="C194" i="364"/>
  <c r="A1" i="249"/>
  <c r="C2446" i="364"/>
  <c r="C2453" i="364"/>
  <c r="C1409" i="364"/>
  <c r="C1430" i="364"/>
  <c r="C213" i="364"/>
  <c r="C555" i="364"/>
  <c r="C833" i="364"/>
  <c r="C1628" i="364"/>
  <c r="C1626" i="364"/>
  <c r="C2565" i="364"/>
  <c r="C1989" i="364"/>
  <c r="C953" i="364"/>
  <c r="C291" i="364"/>
  <c r="C717" i="364"/>
  <c r="C2135" i="364"/>
  <c r="C338" i="364"/>
  <c r="C977" i="364"/>
  <c r="C1489" i="364"/>
  <c r="C1917" i="364"/>
  <c r="C2070" i="364"/>
  <c r="C2607" i="364"/>
  <c r="C1858" i="364"/>
  <c r="C1940" i="364"/>
  <c r="C815" i="364"/>
  <c r="C439" i="364"/>
  <c r="C2441" i="364"/>
  <c r="C1321" i="364"/>
  <c r="C1897" i="364"/>
  <c r="C2230" i="364"/>
  <c r="C870" i="364"/>
  <c r="C1107" i="364"/>
  <c r="C1971" i="364"/>
  <c r="C2798" i="364"/>
  <c r="C2474" i="364"/>
  <c r="C2756" i="364"/>
  <c r="C819" i="364"/>
  <c r="C1552" i="364"/>
  <c r="C282" i="364"/>
  <c r="C62" i="364"/>
  <c r="C224" i="364"/>
  <c r="C406" i="364"/>
  <c r="C854" i="364"/>
  <c r="C44" i="364"/>
  <c r="C198" i="364"/>
  <c r="C408" i="364"/>
  <c r="C738" i="364"/>
  <c r="C436" i="364"/>
  <c r="C654" i="364"/>
  <c r="C1168" i="364"/>
  <c r="C388" i="364"/>
  <c r="C648" i="364"/>
  <c r="C1240" i="364"/>
  <c r="C718" i="364"/>
  <c r="C1064" i="364"/>
  <c r="C1896" i="364"/>
  <c r="C850" i="364"/>
  <c r="C1568" i="364"/>
  <c r="C2837" i="364"/>
  <c r="C288" i="364"/>
  <c r="C2541" i="364"/>
  <c r="C2588" i="364"/>
  <c r="C1431" i="364"/>
  <c r="C63" i="364"/>
  <c r="C481" i="364"/>
  <c r="C875" i="364"/>
  <c r="C1114" i="364"/>
  <c r="C2862" i="364"/>
  <c r="C1829" i="364"/>
  <c r="C95" i="364"/>
  <c r="C707" i="364"/>
  <c r="C2055" i="364"/>
  <c r="C1574" i="364"/>
  <c r="C1393" i="364"/>
  <c r="C2045" i="364"/>
  <c r="C2600" i="364"/>
  <c r="C2321" i="364"/>
  <c r="C1716" i="364"/>
  <c r="C623" i="364"/>
  <c r="C2564" i="364"/>
  <c r="C1311" i="364"/>
  <c r="C2355" i="364"/>
  <c r="C2850" i="364"/>
  <c r="C1267" i="364"/>
  <c r="C2438" i="364"/>
  <c r="C2282" i="364"/>
  <c r="C1221" i="364"/>
  <c r="C2490" i="364"/>
  <c r="C1645" i="364"/>
  <c r="C1133" i="364"/>
  <c r="C105" i="364"/>
  <c r="C417" i="364"/>
  <c r="C715" i="364"/>
  <c r="C1372" i="364"/>
  <c r="C1034" i="364"/>
  <c r="C2484" i="364"/>
  <c r="C2324" i="364"/>
  <c r="C1935" i="364"/>
  <c r="C1423" i="364"/>
  <c r="C1798" i="364"/>
  <c r="C269" i="364"/>
  <c r="C569" i="364"/>
  <c r="C909" i="364"/>
  <c r="C1804" i="364"/>
  <c r="C1642" i="364"/>
  <c r="C1958" i="364"/>
  <c r="C999" i="364"/>
  <c r="C1255" i="364"/>
  <c r="C1597" i="364"/>
  <c r="C1895" i="364"/>
  <c r="C2227" i="364"/>
  <c r="C2326" i="364"/>
  <c r="C2505" i="364"/>
  <c r="C578" i="364"/>
  <c r="C1410" i="364"/>
  <c r="C1876" i="364"/>
  <c r="C1108" i="364"/>
  <c r="C735" i="364"/>
  <c r="C463" i="364"/>
  <c r="C159" i="364"/>
  <c r="C1182" i="364"/>
  <c r="C1237" i="364"/>
  <c r="C1641" i="364"/>
  <c r="C2437" i="364"/>
  <c r="C2272" i="364"/>
  <c r="C2575" i="364"/>
  <c r="C53" i="364"/>
  <c r="C1075" i="364"/>
  <c r="C1659" i="364"/>
  <c r="C2086" i="364"/>
  <c r="C2615" i="364"/>
  <c r="C2090" i="364"/>
  <c r="C2685" i="364"/>
  <c r="C92" i="364"/>
  <c r="C2036" i="364"/>
  <c r="C2679" i="364"/>
  <c r="C2008" i="364"/>
  <c r="C1701" i="364"/>
  <c r="C1017" i="364"/>
  <c r="C67" i="364"/>
  <c r="C387" i="364"/>
  <c r="C729" i="364"/>
  <c r="C1252" i="364"/>
  <c r="C2658" i="364"/>
  <c r="C122" i="364"/>
  <c r="C1031" i="364"/>
  <c r="C1415" i="364"/>
  <c r="C1885" i="364"/>
  <c r="C2395" i="364"/>
  <c r="C2551" i="364"/>
  <c r="C1314" i="364"/>
  <c r="C1012" i="364"/>
  <c r="C431" i="364"/>
  <c r="C1014" i="364"/>
  <c r="C1685" i="364"/>
  <c r="C2328" i="364"/>
  <c r="C1966" i="364"/>
  <c r="C1811" i="364"/>
  <c r="C180" i="364"/>
  <c r="C2729" i="364"/>
  <c r="C2183" i="364"/>
  <c r="C263" i="364"/>
  <c r="C966" i="364"/>
  <c r="C1503" i="364"/>
  <c r="C2187" i="364"/>
  <c r="C2816" i="364"/>
  <c r="C1243" i="364"/>
  <c r="C2140" i="364"/>
  <c r="C2378" i="364"/>
  <c r="C721" i="364"/>
  <c r="C243" i="364"/>
  <c r="C1902" i="364"/>
  <c r="C1291" i="364"/>
  <c r="C1931" i="364"/>
  <c r="C2288" i="364"/>
  <c r="C326" i="364"/>
  <c r="C2362" i="364"/>
  <c r="C642" i="364"/>
  <c r="C1391" i="364"/>
  <c r="C389" i="364"/>
  <c r="C1550" i="364"/>
  <c r="C1347" i="364"/>
  <c r="C2029" i="364"/>
  <c r="C2406" i="364"/>
  <c r="C904" i="364"/>
  <c r="C2386" i="364"/>
  <c r="C2537" i="364"/>
  <c r="C413" i="364"/>
  <c r="C1143" i="364"/>
  <c r="C2778" i="364"/>
  <c r="C2727" i="364"/>
  <c r="C2353" i="364"/>
  <c r="C2632" i="364"/>
  <c r="C1226" i="364"/>
  <c r="C1302" i="364"/>
  <c r="C2209" i="364"/>
  <c r="C2052" i="364"/>
  <c r="C1015" i="364"/>
  <c r="C1689" i="364"/>
  <c r="C305" i="364"/>
  <c r="C1916" i="364"/>
  <c r="C1363" i="364"/>
  <c r="C1703" i="364"/>
  <c r="C469" i="364"/>
  <c r="C1480" i="364"/>
  <c r="C426" i="364"/>
  <c r="C497" i="364"/>
  <c r="C1758" i="364"/>
  <c r="C1024" i="364"/>
  <c r="C2678" i="364"/>
  <c r="C1401" i="364"/>
  <c r="C2377" i="364"/>
  <c r="C1501" i="364"/>
  <c r="C2084" i="364"/>
  <c r="C1570" i="364"/>
  <c r="C807" i="364"/>
  <c r="C2265" i="364"/>
  <c r="C2181" i="364"/>
  <c r="C149" i="364"/>
  <c r="C1997" i="364"/>
  <c r="C2503" i="364"/>
  <c r="C615" i="364"/>
  <c r="C2009" i="364"/>
  <c r="C1717" i="364"/>
  <c r="C2372" i="364"/>
  <c r="C2217" i="364"/>
  <c r="C2283" i="364"/>
  <c r="C2186" i="364"/>
  <c r="C934" i="364"/>
  <c r="C677" i="364"/>
  <c r="C1774" i="364"/>
  <c r="C1387" i="364"/>
  <c r="C2027" i="364"/>
  <c r="C2499" i="364"/>
  <c r="C2074" i="364"/>
  <c r="C2871" i="364"/>
  <c r="C1768" i="364"/>
  <c r="C1933" i="364"/>
  <c r="C1294" i="364"/>
  <c r="C1507" i="364"/>
  <c r="C1987" i="364"/>
  <c r="C2645" i="364"/>
  <c r="C2162" i="364"/>
  <c r="C2761" i="364"/>
  <c r="C1926" i="364"/>
  <c r="C99" i="364"/>
  <c r="C2849" i="364"/>
  <c r="C188" i="364"/>
  <c r="C581" i="364"/>
  <c r="C89" i="364"/>
  <c r="C1906" i="364"/>
  <c r="C251" i="364"/>
  <c r="C2232" i="364"/>
  <c r="C2267" i="364"/>
  <c r="C2433" i="364"/>
  <c r="C467" i="364"/>
  <c r="C2863" i="364"/>
  <c r="C2728" i="364"/>
  <c r="C1950" i="364"/>
  <c r="C2121" i="364"/>
  <c r="C2249" i="364"/>
  <c r="C770" i="364"/>
  <c r="C638" i="364"/>
  <c r="C477" i="364"/>
  <c r="C1071" i="364"/>
  <c r="C304" i="364"/>
  <c r="C676" i="364"/>
  <c r="C804" i="364"/>
  <c r="C310" i="364"/>
  <c r="C988" i="364"/>
  <c r="C1170" i="364"/>
  <c r="C2548" i="364"/>
  <c r="C1358" i="364"/>
  <c r="C2510" i="364"/>
  <c r="C1356" i="364"/>
  <c r="C1647" i="364"/>
  <c r="C1126" i="364"/>
  <c r="C2597" i="364"/>
  <c r="C723" i="364"/>
  <c r="C187" i="364"/>
  <c r="C71" i="364"/>
  <c r="C2366" i="364"/>
  <c r="C627" i="364"/>
  <c r="C2128" i="364"/>
  <c r="C1300" i="364"/>
  <c r="C2516" i="364"/>
  <c r="C2375" i="364"/>
  <c r="C4" i="364"/>
  <c r="C1000" i="364"/>
  <c r="C724" i="364"/>
  <c r="C138" i="364"/>
  <c r="C1894" i="364"/>
  <c r="C450" i="364"/>
  <c r="C348" i="364"/>
  <c r="C636" i="364"/>
  <c r="C372" i="364"/>
  <c r="C1360" i="364"/>
  <c r="C364" i="364"/>
  <c r="C1510" i="364"/>
  <c r="C2843" i="364"/>
  <c r="C1892" i="364"/>
  <c r="C2228" i="364"/>
  <c r="C1566" i="364"/>
  <c r="C2411" i="364"/>
  <c r="C240" i="364"/>
  <c r="C1936" i="364"/>
  <c r="C952" i="364"/>
  <c r="C2287" i="364"/>
  <c r="C712" i="364"/>
  <c r="C778" i="364"/>
  <c r="C1928" i="364"/>
  <c r="C1687" i="364"/>
  <c r="C641" i="364"/>
  <c r="C2638" i="364"/>
  <c r="C1212" i="364"/>
  <c r="C1617" i="364"/>
  <c r="C1730" i="364"/>
  <c r="C1045" i="364"/>
  <c r="C1531" i="364"/>
  <c r="C1851" i="364"/>
  <c r="C2210" i="364"/>
  <c r="C2444" i="364"/>
  <c r="C1436" i="364"/>
  <c r="C2026" i="364"/>
  <c r="C1339" i="364"/>
  <c r="C2550" i="364"/>
  <c r="C1599" i="364"/>
  <c r="C319" i="364"/>
  <c r="C1332" i="364"/>
  <c r="C90" i="364"/>
  <c r="C2213" i="364"/>
  <c r="C1181" i="364"/>
  <c r="C1514" i="364"/>
  <c r="C409" i="364"/>
  <c r="C1573" i="364"/>
  <c r="C2305" i="364"/>
  <c r="C907" i="364"/>
  <c r="C341" i="364"/>
  <c r="C1153" i="364"/>
  <c r="C2304" i="364"/>
  <c r="C40" i="364"/>
  <c r="C1720" i="364"/>
  <c r="C1152" i="364"/>
  <c r="C2223" i="364"/>
  <c r="C940" i="364"/>
  <c r="C1400" i="364"/>
  <c r="C576" i="364"/>
  <c r="C1848" i="364"/>
  <c r="C550" i="364"/>
  <c r="C652" i="364"/>
  <c r="C192" i="364"/>
  <c r="C634" i="364"/>
  <c r="C176" i="364"/>
  <c r="C290" i="364"/>
  <c r="C563" i="364"/>
  <c r="C2196" i="364"/>
  <c r="C1399" i="364"/>
  <c r="C1229" i="364"/>
  <c r="C1241" i="364"/>
  <c r="C2869" i="364"/>
  <c r="C1775" i="364"/>
  <c r="C628" i="364"/>
  <c r="C162" i="364"/>
  <c r="C132" i="364"/>
  <c r="C298" i="364"/>
  <c r="C538" i="364"/>
  <c r="C1744" i="364"/>
  <c r="C114" i="364"/>
  <c r="C266" i="364"/>
  <c r="C556" i="364"/>
  <c r="C1208" i="364"/>
  <c r="C506" i="364"/>
  <c r="C714" i="364"/>
  <c r="C1232" i="364"/>
  <c r="C330" i="364"/>
  <c r="C528" i="364"/>
  <c r="C700" i="364"/>
  <c r="C1048" i="364"/>
  <c r="C698" i="364"/>
  <c r="C860" i="364"/>
  <c r="C1224" i="364"/>
  <c r="C1920" i="364"/>
  <c r="C794" i="364"/>
  <c r="C960" i="364"/>
  <c r="C1728" i="364"/>
  <c r="C2733" i="364"/>
  <c r="C508" i="364"/>
  <c r="C72" i="364"/>
  <c r="C2762" i="364"/>
  <c r="C2334" i="364"/>
  <c r="C1857" i="364"/>
  <c r="C1281" i="364"/>
  <c r="C1854" i="364"/>
  <c r="C321" i="364"/>
  <c r="C609" i="364"/>
  <c r="C897" i="364"/>
  <c r="C2199" i="364"/>
  <c r="C1842" i="364"/>
  <c r="C2536" i="364"/>
  <c r="C1637" i="364"/>
  <c r="C1630" i="364"/>
  <c r="C377" i="364"/>
  <c r="C889" i="364"/>
  <c r="C1042" i="364"/>
  <c r="C2457" i="364"/>
  <c r="C1149" i="364"/>
  <c r="C1575" i="364"/>
  <c r="C2085" i="364"/>
  <c r="C2296" i="364"/>
  <c r="C2759" i="364"/>
  <c r="C1602" i="364"/>
  <c r="C1428" i="364"/>
  <c r="C751" i="364"/>
  <c r="C351" i="364"/>
  <c r="C1270" i="364"/>
  <c r="C1439" i="364"/>
  <c r="C2101" i="364"/>
  <c r="C2672" i="364"/>
  <c r="C69" i="364"/>
  <c r="C1275" i="364"/>
  <c r="C2012" i="364"/>
  <c r="C546" i="364"/>
  <c r="C2495" i="364"/>
  <c r="C2043" i="364"/>
  <c r="C649" i="364"/>
  <c r="C838" i="364"/>
  <c r="C174" i="364"/>
  <c r="C94" i="364"/>
  <c r="C258" i="364"/>
  <c r="C522" i="364"/>
  <c r="C1072" i="364"/>
  <c r="C76" i="364"/>
  <c r="C260" i="364"/>
  <c r="C458" i="364"/>
  <c r="C856" i="364"/>
  <c r="C498" i="364"/>
  <c r="C696" i="364"/>
  <c r="C1688" i="364"/>
  <c r="C476" i="364"/>
  <c r="C688" i="364"/>
  <c r="C1456" i="364"/>
  <c r="C820" i="364"/>
  <c r="C1296" i="364"/>
  <c r="C2047" i="364"/>
  <c r="C914" i="364"/>
  <c r="C1696" i="364"/>
  <c r="C808" i="364"/>
  <c r="C86" i="364"/>
  <c r="C2574" i="364"/>
  <c r="C2109" i="364"/>
  <c r="C1089" i="364"/>
  <c r="C193" i="364"/>
  <c r="C533" i="364"/>
  <c r="C1116" i="364"/>
  <c r="C1330" i="364"/>
  <c r="C2640" i="364"/>
  <c r="C1317" i="364"/>
  <c r="C195" i="364"/>
  <c r="C793" i="364"/>
  <c r="C1682" i="364"/>
  <c r="C967" i="364"/>
  <c r="C1479" i="364"/>
  <c r="C2059" i="364"/>
  <c r="C2710" i="364"/>
  <c r="C1634" i="364"/>
  <c r="C951" i="364"/>
  <c r="C535" i="364"/>
  <c r="C1782" i="364"/>
  <c r="C1653" i="364"/>
  <c r="C2216" i="364"/>
  <c r="C610" i="364"/>
  <c r="C1595" i="364"/>
  <c r="C2509" i="364"/>
  <c r="C2763" i="364"/>
  <c r="C445" i="364"/>
  <c r="C2035" i="364"/>
  <c r="C1559" i="364"/>
  <c r="C1254" i="364"/>
  <c r="C203" i="364"/>
  <c r="C459" i="364"/>
  <c r="C801" i="364"/>
  <c r="C1540" i="364"/>
  <c r="C1370" i="364"/>
  <c r="C2730" i="364"/>
  <c r="C2208" i="364"/>
  <c r="C1849" i="364"/>
  <c r="C1167" i="364"/>
  <c r="C25" i="364"/>
  <c r="C313" i="364"/>
  <c r="C653" i="364"/>
  <c r="C956" i="364"/>
  <c r="C2311" i="364"/>
  <c r="C2337" i="364"/>
  <c r="C1790" i="364"/>
  <c r="C1041" i="364"/>
  <c r="C1383" i="364"/>
  <c r="C1681" i="364"/>
  <c r="C1937" i="364"/>
  <c r="C1984" i="364"/>
  <c r="C2382" i="364"/>
  <c r="C2647" i="364"/>
  <c r="C2129" i="364"/>
  <c r="C1282" i="364"/>
  <c r="C1748" i="364"/>
  <c r="C895" i="364"/>
  <c r="C671" i="364"/>
  <c r="C415" i="364"/>
  <c r="C55" i="364"/>
  <c r="C959" i="364"/>
  <c r="C1353" i="364"/>
  <c r="C1813" i="364"/>
  <c r="C2011" i="364"/>
  <c r="C2344" i="364"/>
  <c r="C2834" i="364"/>
  <c r="C2409" i="364"/>
  <c r="C1147" i="364"/>
  <c r="C1843" i="364"/>
  <c r="C2182" i="364"/>
  <c r="C2856" i="364"/>
  <c r="C2346" i="364"/>
  <c r="C2768" i="364"/>
  <c r="C2702" i="364"/>
  <c r="C1828" i="364"/>
  <c r="C2534" i="364"/>
  <c r="C2331" i="364"/>
  <c r="C1529" i="364"/>
  <c r="C1030" i="364"/>
  <c r="C173" i="364"/>
  <c r="C515" i="364"/>
  <c r="C771" i="364"/>
  <c r="C1420" i="364"/>
  <c r="C1594" i="364"/>
  <c r="C1830" i="364"/>
  <c r="C1073" i="364"/>
  <c r="C1543" i="364"/>
  <c r="C1927" i="364"/>
  <c r="C2198" i="364"/>
  <c r="C404" i="364"/>
  <c r="C2087" i="364"/>
  <c r="C775" i="364"/>
  <c r="C215" i="364"/>
  <c r="C1225" i="364"/>
  <c r="C1961" i="364"/>
  <c r="C2539" i="364"/>
  <c r="C1139" i="364"/>
  <c r="C2451" i="364"/>
  <c r="C2154" i="364"/>
  <c r="C2833" i="364"/>
  <c r="C551" i="364"/>
  <c r="C43" i="364"/>
  <c r="C1161" i="364"/>
  <c r="C1759" i="364"/>
  <c r="C2260" i="364"/>
  <c r="C13" i="364"/>
  <c r="C1627" i="364"/>
  <c r="C2716" i="364"/>
  <c r="C2832" i="364"/>
  <c r="C2637" i="364"/>
  <c r="C209" i="364"/>
  <c r="C1006" i="364"/>
  <c r="C1483" i="364"/>
  <c r="C2668" i="364"/>
  <c r="C2694" i="364"/>
  <c r="C1978" i="364"/>
  <c r="C2686" i="364"/>
  <c r="C2583" i="364"/>
  <c r="C2117" i="364"/>
  <c r="C1027" i="364"/>
  <c r="C1571" i="364"/>
  <c r="C2323" i="364"/>
  <c r="C2531" i="364"/>
  <c r="C2002" i="364"/>
  <c r="C2747" i="364"/>
  <c r="C2796" i="364"/>
  <c r="C371" i="364"/>
  <c r="C2478" i="364"/>
  <c r="C2577" i="364"/>
  <c r="C806" i="364"/>
  <c r="C1516" i="364"/>
  <c r="C925" i="364"/>
  <c r="C603" i="364"/>
  <c r="C347" i="364"/>
  <c r="C669" i="364"/>
  <c r="C1778" i="364"/>
  <c r="C1541" i="364"/>
  <c r="C357" i="364"/>
  <c r="C2348" i="364"/>
  <c r="C573" i="364"/>
  <c r="C139" i="364"/>
  <c r="C589" i="364"/>
  <c r="C2581" i="364"/>
  <c r="C744" i="364"/>
  <c r="C212" i="364"/>
  <c r="C208" i="364"/>
  <c r="C1536" i="364"/>
  <c r="C1495" i="364"/>
  <c r="C2774" i="364"/>
  <c r="A1" i="305"/>
  <c r="A1" i="144"/>
  <c r="A1" i="362"/>
  <c r="A1" i="336"/>
  <c r="A1" i="147"/>
  <c r="N3" i="368"/>
  <c r="H247" i="363"/>
  <c r="F2" i="253"/>
  <c r="J2" i="139"/>
  <c r="O3" i="127"/>
  <c r="W3" i="127"/>
  <c r="V3" i="342"/>
  <c r="J64" i="86"/>
  <c r="I62" i="86"/>
  <c r="I82" i="146"/>
  <c r="H104" i="146"/>
  <c r="H82" i="146"/>
  <c r="E82" i="146"/>
  <c r="D100" i="146"/>
  <c r="D102" i="146" s="1"/>
  <c r="D82" i="146"/>
  <c r="K48" i="146"/>
  <c r="K30" i="146"/>
  <c r="K104" i="146"/>
  <c r="E30" i="146"/>
  <c r="D104" i="146"/>
  <c r="D63" i="86"/>
  <c r="K27" i="86"/>
  <c r="M112" i="123" s="1"/>
  <c r="H89" i="248"/>
  <c r="K18" i="343"/>
  <c r="O172" i="343"/>
  <c r="K15" i="248"/>
  <c r="C102" i="248"/>
  <c r="C2179" i="364"/>
  <c r="C37" i="364"/>
  <c r="C1941" i="364"/>
  <c r="C1526" i="364"/>
  <c r="C727" i="364"/>
  <c r="C1218" i="364"/>
  <c r="C2517" i="364"/>
  <c r="C1789" i="364"/>
  <c r="C1105" i="364"/>
  <c r="C1850" i="364"/>
  <c r="C505" i="364"/>
  <c r="C1061" i="364"/>
  <c r="C2180" i="364"/>
  <c r="C1458" i="364"/>
  <c r="C747" i="364"/>
  <c r="C299" i="364"/>
  <c r="C1025" i="364"/>
  <c r="C2104" i="364"/>
  <c r="C104" i="364"/>
  <c r="C872" i="364"/>
  <c r="C2737" i="364"/>
  <c r="C1384" i="364"/>
  <c r="C2734" i="364"/>
  <c r="C1128" i="364"/>
  <c r="C674" i="364"/>
  <c r="C800" i="364"/>
  <c r="C430" i="364"/>
  <c r="C910" i="364"/>
  <c r="C518" i="364"/>
  <c r="C504" i="364"/>
  <c r="C184" i="364"/>
  <c r="C950" i="364"/>
  <c r="C244" i="364"/>
  <c r="C130" i="364"/>
  <c r="C1824" i="364"/>
  <c r="A72" i="342"/>
  <c r="A240" i="342" s="1"/>
  <c r="A29" i="233" s="1"/>
  <c r="A73" i="343"/>
  <c r="J119" i="343"/>
  <c r="Q117" i="343"/>
  <c r="O36" i="139"/>
  <c r="I192" i="248"/>
  <c r="I193" i="248"/>
  <c r="I139" i="349"/>
  <c r="C256" i="364"/>
  <c r="C2811" i="364"/>
  <c r="C2787" i="364"/>
  <c r="C1276" i="364"/>
  <c r="B1709" i="364"/>
  <c r="B164" i="364"/>
  <c r="B1235" i="364"/>
  <c r="B726" i="364"/>
  <c r="B2330" i="364"/>
  <c r="B1643" i="364"/>
  <c r="B2773" i="364"/>
  <c r="B283" i="364"/>
  <c r="C1008" i="364"/>
  <c r="C106" i="364"/>
  <c r="C570" i="364"/>
  <c r="C246" i="364"/>
  <c r="C1408" i="364"/>
  <c r="C862" i="364"/>
  <c r="C492" i="364"/>
  <c r="C1176" i="364"/>
  <c r="C932" i="364"/>
  <c r="C802" i="364"/>
  <c r="C2095" i="364"/>
  <c r="C720" i="364"/>
  <c r="C2134" i="364"/>
  <c r="C1005" i="364"/>
  <c r="C619" i="364"/>
  <c r="C1964" i="364"/>
  <c r="C2152" i="364"/>
  <c r="C163" i="364"/>
  <c r="C1852" i="364"/>
  <c r="C1265" i="364"/>
  <c r="C1998" i="364"/>
  <c r="C1250" i="364"/>
  <c r="C567" i="364"/>
  <c r="C1257" i="364"/>
  <c r="C186" i="364"/>
  <c r="C2772" i="364"/>
  <c r="J26" i="298"/>
  <c r="G52" i="316"/>
  <c r="I91" i="255"/>
  <c r="B150" i="100"/>
  <c r="A1" i="367" s="1"/>
  <c r="C241" i="364"/>
  <c r="C233" i="364"/>
  <c r="C2807" i="364"/>
  <c r="C733" i="364"/>
  <c r="B1485" i="364"/>
  <c r="B49" i="364"/>
  <c r="B1385" i="364"/>
  <c r="B950" i="364"/>
  <c r="B761" i="364"/>
  <c r="B1867" i="364"/>
  <c r="B2110" i="364"/>
  <c r="B218" i="364"/>
  <c r="C596" i="364"/>
  <c r="C218" i="364"/>
  <c r="C1368" i="364"/>
  <c r="C390" i="364"/>
  <c r="C2735" i="364"/>
  <c r="C1312" i="364"/>
  <c r="C608" i="364"/>
  <c r="C2739" i="364"/>
  <c r="C1608" i="364"/>
  <c r="C866" i="364"/>
  <c r="C2255" i="364"/>
  <c r="C562" i="364"/>
  <c r="C1921" i="364"/>
  <c r="C19" i="364"/>
  <c r="C737" i="364"/>
  <c r="C1930" i="364"/>
  <c r="C2421" i="364"/>
  <c r="C493" i="364"/>
  <c r="C1898" i="364"/>
  <c r="C1607" i="364"/>
  <c r="C2240" i="364"/>
  <c r="C2215" i="364"/>
  <c r="C239" i="364"/>
  <c r="C1727" i="364"/>
  <c r="C1203" i="364"/>
  <c r="C827" i="364"/>
  <c r="C2712" i="364"/>
  <c r="A95" i="343"/>
  <c r="A14" i="126" s="1"/>
  <c r="B42" i="86"/>
  <c r="C38" i="131"/>
  <c r="C40" i="131" s="1"/>
  <c r="G33" i="337"/>
  <c r="H33" i="337"/>
  <c r="K154" i="343"/>
  <c r="K150" i="343"/>
  <c r="K19" i="126" s="1"/>
  <c r="P18" i="140" s="1"/>
  <c r="U106" i="343"/>
  <c r="K107" i="343"/>
  <c r="K51" i="95"/>
  <c r="H23" i="139"/>
  <c r="O21" i="139"/>
  <c r="L6" i="343"/>
  <c r="L6" i="126" s="1"/>
  <c r="Q5" i="140" s="1"/>
  <c r="K32" i="142"/>
  <c r="H32" i="142"/>
  <c r="H34" i="144"/>
  <c r="H71" i="144" s="1"/>
  <c r="D34" i="144"/>
  <c r="D71" i="144" s="1"/>
  <c r="H45" i="249"/>
  <c r="I27" i="249"/>
  <c r="G30" i="146"/>
  <c r="J30" i="146"/>
  <c r="D57" i="145"/>
  <c r="I11" i="145"/>
  <c r="O42" i="139"/>
  <c r="D56" i="253"/>
  <c r="D27" i="255"/>
  <c r="D8" i="127" s="1"/>
  <c r="E48" i="123" s="1"/>
  <c r="G92" i="363"/>
  <c r="G97" i="363" s="1"/>
  <c r="E29" i="253"/>
  <c r="E31" i="253" s="1"/>
  <c r="R37" i="127"/>
  <c r="G32" i="142"/>
  <c r="G45" i="249"/>
  <c r="G47" i="249" s="1"/>
  <c r="A22" i="316"/>
  <c r="I66" i="146"/>
  <c r="E7" i="253"/>
  <c r="F11" i="253"/>
  <c r="F14" i="253" s="1"/>
  <c r="E62" i="86" s="1"/>
  <c r="F19" i="253"/>
  <c r="H83" i="363"/>
  <c r="U37" i="127"/>
  <c r="L61" i="343"/>
  <c r="L11" i="126" s="1"/>
  <c r="E10" i="294" s="1"/>
  <c r="H27" i="249"/>
  <c r="E27" i="249"/>
  <c r="D25" i="316"/>
  <c r="D52" i="316" s="1"/>
  <c r="J14" i="146"/>
  <c r="J48" i="298"/>
  <c r="J50" i="298" s="1"/>
  <c r="J53" i="298" s="1"/>
  <c r="M44" i="139"/>
  <c r="E44" i="139"/>
  <c r="L23" i="139"/>
  <c r="O15" i="139"/>
  <c r="O23" i="139" s="1"/>
  <c r="D23" i="139"/>
  <c r="D110" i="248"/>
  <c r="J39" i="140"/>
  <c r="G122" i="363"/>
  <c r="M245" i="363"/>
  <c r="G55" i="253"/>
  <c r="G21" i="255"/>
  <c r="G7" i="127" s="1"/>
  <c r="H47" i="123" s="1"/>
  <c r="C31" i="253"/>
  <c r="G10" i="253"/>
  <c r="G15" i="253" s="1"/>
  <c r="C18" i="253"/>
  <c r="C22" i="253"/>
  <c r="E83" i="363"/>
  <c r="E88" i="363" s="1"/>
  <c r="I87" i="363"/>
  <c r="G24" i="253"/>
  <c r="G35" i="253"/>
  <c r="F64" i="86" s="1"/>
  <c r="J57" i="253"/>
  <c r="K15" i="255"/>
  <c r="K6" i="127" s="1"/>
  <c r="D60" i="248"/>
  <c r="D61" i="248" s="1"/>
  <c r="D139" i="350"/>
  <c r="D167" i="350" s="1"/>
  <c r="G109" i="248"/>
  <c r="G130" i="248"/>
  <c r="L40" i="299"/>
  <c r="L45" i="299" s="1"/>
  <c r="D25" i="300"/>
  <c r="I44" i="139"/>
  <c r="O30" i="139"/>
  <c r="O9" i="139"/>
  <c r="C52" i="248"/>
  <c r="C116" i="248" s="1"/>
  <c r="C110" i="350"/>
  <c r="L245" i="363"/>
  <c r="H11" i="253"/>
  <c r="H14" i="253" s="1"/>
  <c r="G62" i="86" s="1"/>
  <c r="J75" i="363"/>
  <c r="H139" i="134"/>
  <c r="H28" i="248"/>
  <c r="H29" i="248" s="1"/>
  <c r="C184" i="248"/>
  <c r="C186" i="248" s="1"/>
  <c r="C110" i="349"/>
  <c r="I122" i="363"/>
  <c r="J14" i="253"/>
  <c r="I100" i="363"/>
  <c r="G38" i="253"/>
  <c r="G39" i="253"/>
  <c r="D108" i="248"/>
  <c r="D24" i="248"/>
  <c r="D120" i="248" s="1"/>
  <c r="D118" i="134"/>
  <c r="K118" i="358"/>
  <c r="C193" i="248"/>
  <c r="D139" i="349"/>
  <c r="D192" i="248"/>
  <c r="D193" i="248"/>
  <c r="G193" i="248"/>
  <c r="H92" i="248"/>
  <c r="H93" i="248" s="1"/>
  <c r="H139" i="367"/>
  <c r="K49" i="146"/>
  <c r="F105" i="123"/>
  <c r="J105" i="123"/>
  <c r="C373" i="364"/>
  <c r="C1295" i="364"/>
  <c r="C66" i="364"/>
  <c r="C594" i="364"/>
  <c r="C157" i="364"/>
  <c r="C2627" i="364"/>
  <c r="C200" i="364"/>
  <c r="C2795" i="364"/>
  <c r="C2524" i="364"/>
  <c r="C344" i="364"/>
  <c r="C2072" i="364"/>
  <c r="C1156" i="364"/>
  <c r="C444" i="364"/>
  <c r="C112" i="364"/>
  <c r="C39" i="364"/>
  <c r="C1686" i="364"/>
  <c r="C1336" i="364"/>
  <c r="C1839" i="364"/>
  <c r="C2635" i="364"/>
  <c r="C1794" i="364"/>
  <c r="C2591" i="364"/>
  <c r="C1781" i="364"/>
  <c r="C890" i="364"/>
  <c r="C1925" i="364"/>
  <c r="C2340" i="364"/>
  <c r="C1239" i="364"/>
  <c r="C353" i="364"/>
  <c r="C1248" i="364"/>
  <c r="C891" i="364"/>
  <c r="C1522" i="364"/>
  <c r="C1621" i="364"/>
  <c r="C210" i="364"/>
  <c r="C1665" i="364"/>
  <c r="C1233" i="364"/>
  <c r="C726" i="364"/>
  <c r="C2281" i="364"/>
  <c r="C1039" i="364"/>
  <c r="C73" i="364"/>
  <c r="C1726" i="364"/>
  <c r="C995" i="364"/>
  <c r="C2814" i="364"/>
  <c r="C2442" i="364"/>
  <c r="C2589" i="364"/>
  <c r="C1269" i="364"/>
  <c r="C34" i="364"/>
  <c r="C2306" i="364"/>
  <c r="C1853" i="364"/>
  <c r="C2176" i="364"/>
  <c r="C837" i="364"/>
  <c r="C2439" i="364"/>
  <c r="C2711" i="364"/>
  <c r="C2408" i="364"/>
  <c r="C1816" i="364"/>
  <c r="C2809" i="364"/>
  <c r="C1509" i="364"/>
  <c r="C637" i="364"/>
  <c r="C2563" i="364"/>
  <c r="C1690" i="364"/>
  <c r="C2001" i="364"/>
  <c r="C2096" i="364"/>
  <c r="C2867" i="364"/>
  <c r="C2020" i="364"/>
  <c r="C126" i="364"/>
  <c r="C2692" i="364"/>
  <c r="C601" i="364"/>
  <c r="C342" i="364"/>
  <c r="C83" i="364"/>
  <c r="C1049" i="364"/>
  <c r="C2506" i="364"/>
  <c r="C2543" i="364"/>
  <c r="C1883" i="364"/>
  <c r="C2242" i="364"/>
  <c r="C1780" i="364"/>
  <c r="C1932" i="364"/>
  <c r="C1414" i="364"/>
  <c r="C1870" i="364"/>
  <c r="C287" i="364"/>
  <c r="C2100" i="364"/>
  <c r="C1124" i="364"/>
  <c r="C1714" i="364"/>
  <c r="C841" i="364"/>
  <c r="C367" i="364"/>
  <c r="C1340" i="364"/>
  <c r="C983" i="364"/>
  <c r="C941" i="364"/>
  <c r="C974" i="364"/>
  <c r="C2201" i="364"/>
  <c r="C1272" i="364"/>
  <c r="C487" i="364"/>
  <c r="C1697" i="364"/>
  <c r="C2440" i="364"/>
  <c r="C1309" i="364"/>
  <c r="C183" i="364"/>
  <c r="C2335" i="364"/>
  <c r="C1788" i="364"/>
  <c r="C1844" i="364"/>
  <c r="C460" i="364"/>
  <c r="C2092" i="364"/>
  <c r="C1723" i="364"/>
  <c r="C1217" i="364"/>
  <c r="C532" i="364"/>
  <c r="C968" i="364"/>
  <c r="C1392" i="364"/>
  <c r="C1959" i="364"/>
  <c r="C1004" i="364"/>
  <c r="C2582" i="364"/>
  <c r="C1643" i="364"/>
  <c r="C1871" i="364"/>
  <c r="C1193" i="364"/>
  <c r="C1619" i="364"/>
  <c r="C598" i="364"/>
  <c r="C2619" i="364"/>
  <c r="C544" i="364"/>
  <c r="C2139" i="364"/>
  <c r="C1404" i="364"/>
  <c r="C1179" i="364"/>
  <c r="C1990" i="364"/>
  <c r="C1914" i="364"/>
  <c r="C464" i="364"/>
  <c r="C672" i="364"/>
  <c r="C2015" i="364"/>
  <c r="C2309" i="364"/>
  <c r="C1786" i="364"/>
  <c r="C96" i="364"/>
  <c r="C204" i="364"/>
  <c r="C526" i="364"/>
  <c r="C2124" i="364"/>
  <c r="C1136" i="364"/>
  <c r="C2380" i="364"/>
  <c r="C226" i="364"/>
  <c r="C386" i="364"/>
  <c r="C2824" i="364"/>
  <c r="C769" i="364"/>
  <c r="C1491" i="364"/>
  <c r="C402" i="364"/>
  <c r="C2532" i="364"/>
  <c r="C2130" i="364"/>
  <c r="C1611" i="364"/>
  <c r="C1247" i="364"/>
  <c r="C119" i="364"/>
  <c r="C557" i="364"/>
  <c r="C2083" i="364"/>
  <c r="C1013" i="364"/>
  <c r="C1725" i="364"/>
  <c r="C1081" i="364"/>
  <c r="C1303" i="364"/>
  <c r="C1122" i="364"/>
  <c r="C1586" i="364"/>
  <c r="C1056" i="364"/>
  <c r="C752" i="364"/>
  <c r="C320" i="364"/>
  <c r="C655" i="364"/>
  <c r="C1476" i="364"/>
  <c r="C2153" i="364"/>
  <c r="C1502" i="364"/>
  <c r="C2631" i="364"/>
  <c r="A1" i="123"/>
  <c r="C1359" i="364"/>
  <c r="C979" i="364"/>
  <c r="C1236" i="364"/>
  <c r="C1446" i="364"/>
  <c r="C2145" i="364"/>
  <c r="C2540" i="364"/>
  <c r="C1735" i="364"/>
  <c r="C1766" i="364"/>
  <c r="C896" i="364"/>
  <c r="C586" i="364"/>
  <c r="C2256" i="364"/>
  <c r="C687" i="364"/>
  <c r="C1087" i="364"/>
  <c r="C777" i="364"/>
  <c r="C1991" i="364"/>
  <c r="C1078" i="364"/>
  <c r="C1183" i="364"/>
  <c r="C916" i="364"/>
  <c r="C1995" i="364"/>
  <c r="C36" i="364"/>
  <c r="C2579" i="364"/>
  <c r="C254" i="364"/>
  <c r="C1564" i="364"/>
  <c r="C2691" i="364"/>
  <c r="C547" i="364"/>
  <c r="C2732" i="364"/>
  <c r="C144" i="364"/>
  <c r="C986" i="364"/>
  <c r="C2019" i="364"/>
  <c r="C2434" i="364"/>
  <c r="C558" i="364"/>
  <c r="C826" i="364"/>
  <c r="C2295" i="364"/>
  <c r="C1551" i="364"/>
  <c r="C2818" i="364"/>
  <c r="C1058" i="364"/>
  <c r="C2846" i="364"/>
  <c r="C1913" i="364"/>
  <c r="C1939" i="364"/>
  <c r="C1671" i="364"/>
  <c r="C1135" i="364"/>
  <c r="C663" i="364"/>
  <c r="C779" i="364"/>
  <c r="C2556" i="364"/>
  <c r="C134" i="364"/>
  <c r="C374" i="364"/>
  <c r="C2073" i="364"/>
  <c r="C2666" i="364"/>
  <c r="C1130" i="364"/>
  <c r="C2169" i="364"/>
  <c r="C765" i="364"/>
  <c r="C817" i="364"/>
  <c r="C2316" i="364"/>
  <c r="C2368" i="364"/>
  <c r="C1957" i="364"/>
  <c r="C1865" i="364"/>
  <c r="C1169" i="364"/>
  <c r="C885" i="364"/>
  <c r="C1769" i="364"/>
  <c r="C705" i="364"/>
  <c r="C658" i="364"/>
  <c r="C1616" i="364"/>
  <c r="C2829" i="364"/>
  <c r="C2547" i="364"/>
  <c r="C1227" i="364"/>
  <c r="C61" i="364"/>
  <c r="C2231" i="364"/>
  <c r="C2300" i="364"/>
  <c r="C1922" i="364"/>
  <c r="C227" i="364"/>
  <c r="C2276" i="364"/>
  <c r="C1676" i="364"/>
  <c r="C1832" i="364"/>
  <c r="C172" i="364"/>
  <c r="C2771" i="364"/>
  <c r="C2412" i="364"/>
  <c r="A1" i="88"/>
  <c r="C79" i="364"/>
  <c r="C1856" i="364"/>
  <c r="C809" i="364"/>
  <c r="C70" i="364"/>
  <c r="C2373" i="364"/>
  <c r="C2651" i="364"/>
  <c r="C857" i="364"/>
  <c r="C1403" i="364"/>
  <c r="A1" i="255"/>
  <c r="C1118" i="364"/>
  <c r="C2114" i="364"/>
  <c r="C537" i="364"/>
  <c r="C786" i="364"/>
  <c r="C650" i="364"/>
  <c r="C2793" i="364"/>
  <c r="C2123" i="364"/>
  <c r="C1162" i="364"/>
  <c r="C750" i="364"/>
  <c r="C1520" i="364"/>
  <c r="C620" i="364"/>
  <c r="C2477" i="364"/>
  <c r="C1011" i="364"/>
  <c r="C2468" i="364"/>
  <c r="C2224" i="364"/>
  <c r="C2464" i="364"/>
  <c r="C324" i="364"/>
  <c r="C734" i="364"/>
  <c r="C1837" i="364"/>
  <c r="C931" i="364"/>
  <c r="C133" i="364"/>
  <c r="C1831" i="364"/>
  <c r="C168" i="364"/>
  <c r="C220" i="364"/>
  <c r="C420" i="364"/>
  <c r="C2662" i="364"/>
  <c r="C205" i="364"/>
  <c r="C874" i="364"/>
  <c r="C1018" i="364"/>
  <c r="C2633" i="364"/>
  <c r="C978" i="364"/>
  <c r="C694" i="364"/>
  <c r="C667" i="364"/>
  <c r="C253" i="364"/>
  <c r="C938" i="364"/>
  <c r="C2078" i="364"/>
  <c r="C1109" i="364"/>
  <c r="C1743" i="364"/>
  <c r="C830" i="364"/>
  <c r="C1972" i="364"/>
  <c r="C1893" i="364"/>
  <c r="A1" i="315"/>
  <c r="C2617" i="364"/>
  <c r="C1629" i="364"/>
  <c r="C2093" i="364"/>
  <c r="C2751" i="364"/>
  <c r="C245" i="364"/>
  <c r="C1053" i="364"/>
  <c r="C1424" i="364"/>
  <c r="C110" i="364"/>
  <c r="C1604" i="364"/>
  <c r="C2840" i="364"/>
  <c r="C1279" i="364"/>
  <c r="C746" i="364"/>
  <c r="C247" i="364"/>
  <c r="C1593" i="364"/>
  <c r="C191" i="364"/>
  <c r="C1016" i="364"/>
  <c r="C46" i="364"/>
  <c r="C981" i="364"/>
  <c r="C1036" i="364"/>
  <c r="C1751" i="364"/>
  <c r="C466" i="364"/>
  <c r="C1092" i="364"/>
  <c r="C1051" i="364"/>
  <c r="C2491" i="364"/>
  <c r="C2018" i="364"/>
  <c r="C2341" i="364"/>
  <c r="C587" i="364"/>
  <c r="C1821" i="364"/>
  <c r="C690" i="364"/>
  <c r="C1037" i="364"/>
  <c r="C2257" i="364"/>
  <c r="C437" i="364"/>
  <c r="C2111" i="364"/>
  <c r="C566" i="364"/>
  <c r="C494" i="364"/>
  <c r="C902" i="364"/>
  <c r="C944" i="364"/>
  <c r="C225" i="364"/>
  <c r="C2486" i="364"/>
  <c r="C1523" i="364"/>
  <c r="C1074" i="364"/>
  <c r="C278" i="364"/>
  <c r="C842" i="364"/>
  <c r="C536" i="364"/>
  <c r="C425" i="364"/>
  <c r="A1" i="136"/>
  <c r="C346" i="364"/>
  <c r="C1020" i="364"/>
  <c r="C689" i="364"/>
  <c r="C2813" i="364"/>
  <c r="C2458" i="364"/>
  <c r="C2875" i="364"/>
  <c r="C1299" i="364"/>
  <c r="A1" i="145"/>
  <c r="C1658" i="364"/>
  <c r="C2596" i="364"/>
  <c r="C711" i="364"/>
  <c r="C1076" i="364"/>
  <c r="C2775" i="364"/>
  <c r="C928" i="364"/>
  <c r="C2263" i="364"/>
  <c r="C14" i="364"/>
  <c r="C1040" i="364"/>
  <c r="C1264" i="364"/>
  <c r="C693" i="364"/>
  <c r="C1021" i="364"/>
  <c r="C1609" i="364"/>
  <c r="C435" i="364"/>
  <c r="C1199" i="364"/>
  <c r="C1847" i="364"/>
  <c r="C659" i="364"/>
  <c r="C1953" i="364"/>
  <c r="C881" i="364"/>
  <c r="C829" i="364"/>
  <c r="C1271" i="364"/>
  <c r="C1178" i="364"/>
  <c r="C1220" i="364"/>
  <c r="C2237" i="364"/>
  <c r="C2757" i="364"/>
  <c r="A1" i="350"/>
  <c r="C1093" i="364"/>
  <c r="C340" i="364"/>
  <c r="C836" i="364"/>
  <c r="C235" i="364"/>
  <c r="C2261" i="364"/>
  <c r="C2601" i="364"/>
  <c r="C1881" i="364"/>
  <c r="C1470" i="364"/>
  <c r="C2163" i="364"/>
  <c r="C2423" i="364"/>
  <c r="C2007" i="364"/>
  <c r="C1293" i="364"/>
  <c r="C2530" i="364"/>
  <c r="C517" i="364"/>
  <c r="C613" i="364"/>
  <c r="C2673" i="364"/>
  <c r="C1066" i="364"/>
  <c r="C2177" i="364"/>
  <c r="C2665" i="364"/>
  <c r="C2450" i="364"/>
  <c r="C294" i="364"/>
  <c r="C2236" i="364"/>
  <c r="C1795" i="364"/>
  <c r="C1091" i="364"/>
  <c r="C2623" i="364"/>
  <c r="C1394" i="364"/>
  <c r="C2593" i="364"/>
  <c r="C2394" i="364"/>
  <c r="C116" i="364"/>
  <c r="C2118" i="364"/>
  <c r="C1707" i="364"/>
  <c r="C1035" i="364"/>
  <c r="C1463" i="364"/>
  <c r="C1633" i="364"/>
  <c r="C2494" i="364"/>
  <c r="C2310" i="364"/>
  <c r="C1115" i="364"/>
  <c r="C2555" i="364"/>
  <c r="C1875" i="364"/>
  <c r="C1760" i="364"/>
  <c r="C1962" i="364"/>
  <c r="C1112" i="364"/>
  <c r="C1284" i="364"/>
  <c r="C1385" i="364"/>
  <c r="C2723" i="364"/>
  <c r="C443" i="364"/>
  <c r="C2262" i="364"/>
  <c r="C893" i="364"/>
  <c r="C379" i="364"/>
  <c r="C1874" i="364"/>
  <c r="C913" i="364"/>
  <c r="C2545" i="364"/>
  <c r="C1889" i="364"/>
  <c r="C2722" i="364"/>
  <c r="C2322" i="364"/>
  <c r="C2364" i="364"/>
  <c r="C1667" i="364"/>
  <c r="C1934" i="364"/>
  <c r="C2259" i="364"/>
  <c r="C1102" i="364"/>
  <c r="C1968" i="364"/>
  <c r="C805" i="364"/>
  <c r="C58" i="364"/>
  <c r="C552" i="364"/>
  <c r="C1141" i="364"/>
  <c r="C783" i="364"/>
  <c r="C971" i="364"/>
  <c r="C1412" i="364"/>
  <c r="C1977" i="364"/>
  <c r="C2826" i="364"/>
  <c r="C930" i="364"/>
  <c r="C1386" i="364"/>
  <c r="C2330" i="364"/>
  <c r="C20" i="364"/>
  <c r="C1698" i="364"/>
  <c r="C1702" i="364"/>
  <c r="C1448" i="364"/>
  <c r="C2268" i="364"/>
  <c r="C1740" i="364"/>
  <c r="C455" i="364"/>
  <c r="C1374" i="364"/>
  <c r="C1026" i="364"/>
  <c r="C2855" i="364"/>
  <c r="C2360" i="364"/>
  <c r="C292" i="364"/>
  <c r="C38" i="364"/>
  <c r="C2492" i="364"/>
  <c r="C345" i="364"/>
  <c r="C2156" i="364"/>
  <c r="C1598" i="364"/>
  <c r="C1580" i="364"/>
  <c r="C307" i="364"/>
  <c r="C1661" i="364"/>
  <c r="C661" i="364"/>
  <c r="C2542" i="364"/>
  <c r="C2800" i="364"/>
  <c r="C471" i="364"/>
  <c r="C2698" i="364"/>
  <c r="C781" i="364"/>
  <c r="C887" i="364"/>
  <c r="C942" i="364"/>
  <c r="C1557" i="364"/>
  <c r="C1465" i="364"/>
  <c r="C892" i="364"/>
  <c r="C670" i="364"/>
  <c r="C1583" i="364"/>
  <c r="C1864" i="364"/>
  <c r="C237" i="364"/>
  <c r="C2749" i="364"/>
  <c r="C2825" i="364"/>
  <c r="C1447" i="364"/>
  <c r="C2222" i="364"/>
  <c r="C2766" i="364"/>
  <c r="C1261" i="364"/>
  <c r="C2126" i="364"/>
  <c r="C2432" i="364"/>
  <c r="C1123" i="364"/>
  <c r="C1101" i="364"/>
  <c r="C1343" i="364"/>
  <c r="C2566" i="364"/>
  <c r="C2587" i="364"/>
  <c r="C1478" i="364"/>
  <c r="C2708" i="364"/>
  <c r="C171" i="364"/>
  <c r="C646" i="364"/>
  <c r="C317" i="364"/>
  <c r="C1880" i="364"/>
  <c r="C248" i="364"/>
  <c r="C1209" i="364"/>
  <c r="C311" i="364"/>
  <c r="C915" i="364"/>
  <c r="C1185" i="364"/>
  <c r="C1996" i="364"/>
  <c r="C2750" i="364"/>
  <c r="C970" i="364"/>
  <c r="C361" i="364"/>
  <c r="C859" i="364"/>
  <c r="C2103" i="364"/>
  <c r="C223" i="364"/>
  <c r="C868" i="364"/>
  <c r="C1753" i="364"/>
  <c r="C462" i="364"/>
  <c r="C1290" i="364"/>
  <c r="C1151" i="364"/>
  <c r="C1490" i="364"/>
  <c r="C1354" i="364"/>
  <c r="C283" i="364"/>
  <c r="C521" i="364"/>
  <c r="C485" i="364"/>
  <c r="C1322" i="364"/>
  <c r="C2327" i="364"/>
  <c r="C222" i="364"/>
  <c r="C2148" i="364"/>
  <c r="C2836" i="364"/>
  <c r="C2258" i="364"/>
  <c r="C2489" i="364"/>
  <c r="C1955" i="364"/>
  <c r="C1038" i="364"/>
  <c r="C1421" i="364"/>
  <c r="C2804" i="364"/>
  <c r="C2234" i="364"/>
  <c r="C2518" i="364"/>
  <c r="C1867" i="364"/>
  <c r="C1390" i="364"/>
  <c r="C644" i="364"/>
  <c r="C1344" i="364"/>
  <c r="A1" i="316"/>
  <c r="C45" i="364"/>
  <c r="A1" i="139"/>
  <c r="C606" i="364"/>
  <c r="C88" i="364"/>
  <c r="C1345" i="364"/>
  <c r="C1715" i="364"/>
  <c r="C197" i="364"/>
  <c r="C339" i="364"/>
  <c r="C2704" i="364"/>
  <c r="C2580" i="364"/>
  <c r="C2660" i="364"/>
  <c r="C2695" i="364"/>
  <c r="C741" i="364"/>
  <c r="C2616" i="364"/>
  <c r="C2064" i="364"/>
  <c r="C1187" i="364"/>
  <c r="C1814" i="364"/>
  <c r="C2777" i="364"/>
  <c r="C2266" i="364"/>
  <c r="C2797" i="364"/>
  <c r="C1803" i="364"/>
  <c r="C1134" i="364"/>
  <c r="C2110" i="364"/>
  <c r="C2643" i="364"/>
  <c r="C2819" i="364"/>
  <c r="C109" i="364"/>
  <c r="C2141" i="364"/>
  <c r="C1119" i="364"/>
  <c r="C327" i="364"/>
  <c r="C2812" i="364"/>
  <c r="C2559" i="364"/>
  <c r="C1043" i="364"/>
  <c r="C2102" i="364"/>
  <c r="C1173" i="364"/>
  <c r="C559" i="364"/>
  <c r="C2343" i="364"/>
  <c r="C2598" i="364"/>
  <c r="C1799" i="364"/>
  <c r="C1150" i="364"/>
  <c r="C1764" i="364"/>
  <c r="C473" i="364"/>
  <c r="C1103" i="364"/>
  <c r="C2238" i="364"/>
  <c r="C1050" i="364"/>
  <c r="C2274" i="364"/>
  <c r="C2682" i="364"/>
  <c r="C1198" i="364"/>
  <c r="C2560" i="364"/>
  <c r="C1749" i="364"/>
  <c r="C1398" i="364"/>
  <c r="C543" i="364"/>
  <c r="C1492" i="364"/>
  <c r="C2385" i="364"/>
  <c r="C2270" i="364"/>
  <c r="C1809" i="364"/>
  <c r="C1127" i="364"/>
  <c r="C1985" i="364"/>
  <c r="C867" i="364"/>
  <c r="C185" i="364"/>
  <c r="C1679" i="364"/>
  <c r="A1" i="148"/>
  <c r="C852" i="364"/>
  <c r="C2376" i="364"/>
  <c r="C631" i="364"/>
  <c r="C1796" i="364"/>
  <c r="C2664" i="364"/>
  <c r="C396" i="364"/>
  <c r="C816" i="364"/>
  <c r="C844" i="364"/>
  <c r="C2062" i="364"/>
  <c r="C2359" i="364"/>
  <c r="C1327" i="364"/>
  <c r="C2244" i="364"/>
  <c r="C917" i="364"/>
  <c r="C2204" i="364"/>
  <c r="C1287" i="364"/>
  <c r="A1" i="361"/>
  <c r="C1213" i="364"/>
  <c r="C2021" i="364"/>
  <c r="C975" i="364"/>
  <c r="C350" i="364"/>
  <c r="C1787" i="364"/>
  <c r="C1319" i="364"/>
  <c r="C998" i="364"/>
  <c r="C764" i="364"/>
  <c r="C334" i="364"/>
  <c r="C2404" i="364"/>
  <c r="C380" i="364"/>
  <c r="C789" i="364"/>
  <c r="C2269" i="364"/>
  <c r="C1210" i="364"/>
  <c r="C2465" i="364"/>
  <c r="C618" i="364"/>
  <c r="C2233" i="364"/>
  <c r="C33" i="364"/>
  <c r="C2354" i="364"/>
  <c r="C1713" i="364"/>
  <c r="C2185" i="364"/>
  <c r="C2455" i="364"/>
  <c r="C365" i="364"/>
  <c r="C140" i="364"/>
  <c r="C1172" i="364"/>
  <c r="C147" i="364"/>
  <c r="C592" i="364"/>
  <c r="C268" i="364"/>
  <c r="C798" i="364"/>
  <c r="C921" i="364"/>
  <c r="C1705" i="364"/>
  <c r="C678" i="364"/>
  <c r="C2482" i="364"/>
  <c r="C993" i="364"/>
  <c r="C1792" i="364"/>
  <c r="C2858" i="364"/>
  <c r="C2773" i="364"/>
  <c r="C549" i="364"/>
  <c r="C1435" i="364"/>
  <c r="C1923" i="364"/>
  <c r="C1770" i="364"/>
  <c r="C503" i="364"/>
  <c r="C1708" i="364"/>
  <c r="C2068" i="364"/>
  <c r="C12" i="364"/>
  <c r="C2407" i="364"/>
  <c r="C1623" i="364"/>
  <c r="C422" i="364"/>
  <c r="C500" i="364"/>
  <c r="C1508" i="364"/>
  <c r="C2131" i="364"/>
  <c r="C2218" i="364"/>
  <c r="C572" i="364"/>
  <c r="C625" i="364"/>
  <c r="C2485" i="364"/>
  <c r="C1993" i="364"/>
  <c r="A1" i="314"/>
  <c r="C2715" i="364"/>
  <c r="C1033" i="364"/>
  <c r="C989" i="364"/>
  <c r="C231" i="364"/>
  <c r="C2585" i="364"/>
  <c r="C274" i="364"/>
  <c r="C706" i="364"/>
  <c r="C1044" i="364"/>
  <c r="C490" i="364"/>
  <c r="C848" i="364"/>
  <c r="C943" i="364"/>
  <c r="C2081" i="364"/>
  <c r="B4" i="355"/>
  <c r="C4" i="355" s="1"/>
  <c r="C59" i="364"/>
  <c r="C1466" i="364"/>
  <c r="C360" i="364"/>
  <c r="C1576" i="364"/>
  <c r="C1601" i="364"/>
  <c r="C2143" i="364"/>
  <c r="C668" i="364"/>
  <c r="C1771" i="364"/>
  <c r="C1699" i="364"/>
  <c r="C259" i="364"/>
  <c r="C1364" i="364"/>
  <c r="C929" i="364"/>
  <c r="C427" i="364"/>
  <c r="C190" i="364"/>
  <c r="C2866" i="364"/>
  <c r="C1960" i="364"/>
  <c r="C812" i="364"/>
  <c r="C1693" i="364"/>
  <c r="C1493" i="364"/>
  <c r="C1762" i="364"/>
  <c r="C1776" i="364"/>
  <c r="C179" i="364"/>
  <c r="C2106" i="364"/>
  <c r="C2815" i="364"/>
  <c r="C483" i="364"/>
  <c r="C1537" i="364"/>
  <c r="C2714" i="364"/>
  <c r="C2225" i="364"/>
  <c r="C766" i="364"/>
  <c r="C905" i="364"/>
  <c r="C683" i="364"/>
  <c r="C2342" i="364"/>
  <c r="C166" i="364"/>
  <c r="C2670" i="364"/>
  <c r="C1569" i="364"/>
  <c r="C2136" i="364"/>
  <c r="C1635" i="364"/>
  <c r="C1887" i="364"/>
  <c r="C1845" i="364"/>
  <c r="C2481" i="364"/>
  <c r="C2868" i="364"/>
  <c r="C2742" i="364"/>
  <c r="C1097" i="364"/>
  <c r="C262" i="364"/>
  <c r="C206" i="364"/>
  <c r="C64" i="364"/>
  <c r="C1506" i="364"/>
  <c r="C182" i="364"/>
  <c r="C691" i="364"/>
  <c r="C575" i="364"/>
  <c r="C2253" i="364"/>
  <c r="C840" i="364"/>
  <c r="C1262" i="364"/>
  <c r="C2570" i="364"/>
  <c r="C2473" i="364"/>
  <c r="C1098" i="364"/>
  <c r="C2806" i="364"/>
  <c r="C1800" i="364"/>
  <c r="C489" i="364"/>
  <c r="C385" i="364"/>
  <c r="C2383" i="364"/>
  <c r="C1577" i="364"/>
  <c r="C2842" i="364"/>
  <c r="C2608" i="364"/>
  <c r="C1891" i="364"/>
  <c r="C1286" i="364"/>
  <c r="C1833" i="364"/>
  <c r="C865" i="364"/>
  <c r="C428" i="364"/>
  <c r="C2079" i="364"/>
  <c r="C75" i="364"/>
  <c r="C2628" i="364"/>
  <c r="C1919" i="364"/>
  <c r="C2609" i="364"/>
  <c r="C2614" i="364"/>
  <c r="C713" i="364"/>
  <c r="C56" i="364"/>
  <c r="C2753" i="364"/>
  <c r="C2235" i="364"/>
  <c r="C748" i="364"/>
  <c r="G196" i="351"/>
  <c r="C28" i="133"/>
  <c r="C196" i="351"/>
  <c r="K98" i="351"/>
  <c r="G220" i="351"/>
  <c r="C38" i="133"/>
  <c r="C220" i="351"/>
  <c r="C246" i="351" s="1"/>
  <c r="C19" i="133"/>
  <c r="D98" i="351"/>
  <c r="I30" i="133"/>
  <c r="O30" i="298" s="1"/>
  <c r="N30" i="298" s="1"/>
  <c r="C98" i="351"/>
  <c r="G98" i="351"/>
  <c r="G43" i="133"/>
  <c r="F20" i="133"/>
  <c r="F8" i="133"/>
  <c r="C5" i="351"/>
  <c r="E6" i="133"/>
  <c r="E5" i="351"/>
  <c r="H196" i="351"/>
  <c r="H39" i="133"/>
  <c r="H98" i="351"/>
  <c r="J6" i="133"/>
  <c r="J5" i="351"/>
  <c r="G6" i="133"/>
  <c r="J20" i="133"/>
  <c r="P20" i="298" s="1"/>
  <c r="F34" i="133"/>
  <c r="J33" i="133"/>
  <c r="J147" i="351"/>
  <c r="K45" i="133"/>
  <c r="C25" i="351"/>
  <c r="C42" i="133"/>
  <c r="K40" i="133"/>
  <c r="Q40" i="298" s="1"/>
  <c r="K196" i="351"/>
  <c r="F29" i="133"/>
  <c r="I39" i="133"/>
  <c r="I196" i="351"/>
  <c r="F41" i="133"/>
  <c r="F196" i="351"/>
  <c r="F11" i="133"/>
  <c r="J31" i="133"/>
  <c r="P31" i="298" s="1"/>
  <c r="E147" i="351"/>
  <c r="H25" i="351"/>
  <c r="J196" i="351"/>
  <c r="C5" i="133"/>
  <c r="D46" i="133"/>
  <c r="H31" i="133"/>
  <c r="E40" i="133"/>
  <c r="E196" i="351"/>
  <c r="D5" i="351"/>
  <c r="K5" i="351"/>
  <c r="G35" i="133"/>
  <c r="C127" i="351"/>
  <c r="I14" i="133"/>
  <c r="O14" i="298" s="1"/>
  <c r="N14" i="298" s="1"/>
  <c r="J13" i="133"/>
  <c r="P13" i="298" s="1"/>
  <c r="C11" i="133"/>
  <c r="C9" i="133" s="1"/>
  <c r="E11" i="133"/>
  <c r="D10" i="133"/>
  <c r="D25" i="351"/>
  <c r="I36" i="133"/>
  <c r="O36" i="298" s="1"/>
  <c r="N36" i="298" s="1"/>
  <c r="C147" i="351"/>
  <c r="C36" i="133"/>
  <c r="C32" i="133"/>
  <c r="K14" i="133"/>
  <c r="Q14" i="298" s="1"/>
  <c r="H13" i="133"/>
  <c r="Q45" i="298"/>
  <c r="F86" i="351"/>
  <c r="F74" i="351" s="1"/>
  <c r="H86" i="351"/>
  <c r="G86" i="351"/>
  <c r="G17" i="133" s="1"/>
  <c r="D86" i="351"/>
  <c r="D17" i="133" s="1"/>
  <c r="I86" i="351"/>
  <c r="I17" i="133" s="1"/>
  <c r="O17" i="298" s="1"/>
  <c r="N17" i="298" s="1"/>
  <c r="C86" i="351"/>
  <c r="C74" i="351" s="1"/>
  <c r="K86" i="351"/>
  <c r="K74" i="351" s="1"/>
  <c r="E86" i="351"/>
  <c r="E17" i="133" s="1"/>
  <c r="J86" i="351"/>
  <c r="J17" i="133" s="1"/>
  <c r="P17" i="298" s="1"/>
  <c r="E42" i="123"/>
  <c r="M109" i="123"/>
  <c r="M108" i="123"/>
  <c r="C46" i="253"/>
  <c r="D92" i="255"/>
  <c r="D93" i="255" s="1"/>
  <c r="D32" i="127" s="1"/>
  <c r="C16" i="86" s="1"/>
  <c r="D64" i="305"/>
  <c r="Q14" i="140"/>
  <c r="O44" i="139"/>
  <c r="J62" i="86"/>
  <c r="C51" i="131"/>
  <c r="P3" i="256"/>
  <c r="R2" i="343"/>
  <c r="J3" i="336"/>
  <c r="Q3" i="296"/>
  <c r="J3" i="248"/>
  <c r="F3" i="139"/>
  <c r="K3" i="127"/>
  <c r="W3" i="343"/>
  <c r="P3" i="137"/>
  <c r="L110" i="363"/>
  <c r="J3" i="136"/>
  <c r="I3" i="361"/>
  <c r="I3" i="362"/>
  <c r="Q11" i="140"/>
  <c r="L64" i="305"/>
  <c r="L92" i="255"/>
  <c r="C168" i="248"/>
  <c r="K25" i="248"/>
  <c r="J54" i="248"/>
  <c r="J26" i="253"/>
  <c r="J63" i="86"/>
  <c r="K136" i="343"/>
  <c r="F66" i="146"/>
  <c r="F100" i="146"/>
  <c r="F102" i="146" s="1"/>
  <c r="G120" i="248"/>
  <c r="C27" i="126"/>
  <c r="G50" i="298"/>
  <c r="G53" i="298" s="1"/>
  <c r="J49" i="146"/>
  <c r="I52" i="316"/>
  <c r="I103" i="248"/>
  <c r="G66" i="146"/>
  <c r="I74" i="126"/>
  <c r="H28" i="86"/>
  <c r="H32" i="86" s="1"/>
  <c r="F2" i="315"/>
  <c r="D2" i="144"/>
  <c r="D2" i="305"/>
  <c r="E2" i="123"/>
  <c r="H50" i="298"/>
  <c r="H53" i="298" s="1"/>
  <c r="D2" i="127"/>
  <c r="D2" i="255"/>
  <c r="E2" i="362"/>
  <c r="D47" i="248"/>
  <c r="D37" i="248" s="1"/>
  <c r="E58" i="123" s="1"/>
  <c r="K29" i="248"/>
  <c r="B100" i="100"/>
  <c r="A1" i="86"/>
  <c r="B137" i="100"/>
  <c r="A1" i="137" s="1"/>
  <c r="B146" i="100"/>
  <c r="A1" i="134" s="1"/>
  <c r="B101" i="100"/>
  <c r="B138" i="100"/>
  <c r="A1" i="299" s="1"/>
  <c r="B108" i="100"/>
  <c r="A1" i="248" s="1"/>
  <c r="B148" i="100"/>
  <c r="A1" i="349"/>
  <c r="B149" i="100"/>
  <c r="A1" i="358" s="1"/>
  <c r="B112" i="100"/>
  <c r="A1" i="246"/>
  <c r="B143" i="100"/>
  <c r="A1" i="301" s="1"/>
  <c r="B151" i="100"/>
  <c r="A1" i="294" s="1"/>
  <c r="B103" i="100"/>
  <c r="A1" i="127" s="1"/>
  <c r="B102" i="100"/>
  <c r="B142" i="100"/>
  <c r="A1" i="95" s="1"/>
  <c r="B141" i="100"/>
  <c r="A1" i="300" s="1"/>
  <c r="B139" i="100"/>
  <c r="A1" i="298" s="1"/>
  <c r="E14" i="233"/>
  <c r="E171" i="342"/>
  <c r="D2" i="233"/>
  <c r="F155" i="363"/>
  <c r="D2" i="129"/>
  <c r="E52" i="316"/>
  <c r="H171" i="342"/>
  <c r="D116" i="248"/>
  <c r="F29" i="248"/>
  <c r="Q106" i="343"/>
  <c r="G124" i="248"/>
  <c r="I35" i="253"/>
  <c r="H64" i="86" s="1"/>
  <c r="B107" i="100"/>
  <c r="A1" i="237" s="1"/>
  <c r="A78" i="128"/>
  <c r="A24" i="141"/>
  <c r="K30" i="233"/>
  <c r="Q30" i="299" s="1"/>
  <c r="D2" i="147"/>
  <c r="D2" i="133"/>
  <c r="I172" i="343"/>
  <c r="C103" i="248"/>
  <c r="F32" i="86"/>
  <c r="H110" i="123" s="1"/>
  <c r="L117" i="343"/>
  <c r="L16" i="126" s="1"/>
  <c r="Q15" i="140" s="1"/>
  <c r="C32" i="86"/>
  <c r="E109" i="123" s="1"/>
  <c r="D45" i="249"/>
  <c r="K63" i="305"/>
  <c r="K92" i="255" s="1"/>
  <c r="G82" i="146"/>
  <c r="F46" i="146"/>
  <c r="E104" i="146"/>
  <c r="E57" i="145"/>
  <c r="V172" i="343"/>
  <c r="K14" i="123"/>
  <c r="H42" i="123"/>
  <c r="J49" i="316"/>
  <c r="R21" i="246"/>
  <c r="R37" i="246" s="1"/>
  <c r="R41" i="246" s="1"/>
  <c r="C47" i="248"/>
  <c r="G104" i="146"/>
  <c r="L27" i="255"/>
  <c r="L8" i="127" s="1"/>
  <c r="I110" i="358"/>
  <c r="D11" i="253"/>
  <c r="D14" i="253" s="1"/>
  <c r="H139" i="350"/>
  <c r="G93" i="248"/>
  <c r="F139" i="349"/>
  <c r="F192" i="248"/>
  <c r="F193" i="248" s="1"/>
  <c r="F53" i="294"/>
  <c r="E118" i="358"/>
  <c r="H85" i="248"/>
  <c r="H110" i="367"/>
  <c r="E139" i="367"/>
  <c r="E167" i="367" s="1"/>
  <c r="B54" i="86"/>
  <c r="K64" i="305"/>
  <c r="H86" i="248"/>
  <c r="H117" i="248"/>
  <c r="I64" i="86"/>
  <c r="H108" i="123"/>
  <c r="F71" i="144"/>
  <c r="C39" i="129"/>
  <c r="B38" i="86" s="1"/>
  <c r="C12" i="129"/>
  <c r="B35" i="86" s="1"/>
  <c r="B45" i="86"/>
  <c r="C15" i="88"/>
  <c r="B37" i="86"/>
  <c r="C40" i="129"/>
  <c r="L64" i="363"/>
  <c r="J3" i="146"/>
  <c r="J3" i="301"/>
  <c r="P3" i="299"/>
  <c r="O3" i="95"/>
  <c r="K3" i="129"/>
  <c r="L202" i="363"/>
  <c r="F2" i="337"/>
  <c r="N2" i="296"/>
  <c r="J2" i="363"/>
  <c r="F2" i="301"/>
  <c r="F2" i="367"/>
  <c r="P3" i="342"/>
  <c r="H63" i="363"/>
  <c r="S3" i="127"/>
  <c r="P3" i="300"/>
  <c r="J3" i="144"/>
  <c r="K3" i="255"/>
  <c r="J3" i="349"/>
  <c r="K3" i="305"/>
  <c r="J3" i="147"/>
  <c r="K3" i="337"/>
  <c r="L3" i="141"/>
  <c r="P3" i="298"/>
  <c r="J3" i="134"/>
  <c r="J3" i="342"/>
  <c r="J3" i="86"/>
  <c r="E2" i="86"/>
  <c r="F2" i="136"/>
  <c r="F2" i="129"/>
  <c r="F2" i="134"/>
  <c r="F2" i="146"/>
  <c r="F2" i="126"/>
  <c r="H109" i="363"/>
  <c r="F2" i="349"/>
  <c r="F2" i="316"/>
  <c r="H2" i="314"/>
  <c r="F2" i="131"/>
  <c r="L2" i="139"/>
  <c r="F2" i="336"/>
  <c r="R3" i="342"/>
  <c r="U3" i="127"/>
  <c r="K3" i="126"/>
  <c r="D2" i="131"/>
  <c r="D2" i="249"/>
  <c r="D2" i="349"/>
  <c r="D2" i="358"/>
  <c r="T3" i="342"/>
  <c r="K3" i="128"/>
  <c r="J3" i="233"/>
  <c r="J74" i="147"/>
  <c r="J3" i="358"/>
  <c r="J3" i="253"/>
  <c r="P3" i="368"/>
  <c r="F2" i="148"/>
  <c r="F2" i="144"/>
  <c r="H2" i="141"/>
  <c r="G2" i="361"/>
  <c r="F2" i="343"/>
  <c r="H2" i="315"/>
  <c r="D3" i="294"/>
  <c r="L248" i="363"/>
  <c r="K3" i="237"/>
  <c r="K3" i="343"/>
  <c r="J3" i="142"/>
  <c r="J3" i="351"/>
  <c r="J3" i="350"/>
  <c r="J3" i="316"/>
  <c r="J3" i="133"/>
  <c r="K3" i="88"/>
  <c r="L156" i="363"/>
  <c r="P3" i="140"/>
  <c r="L3" i="123"/>
  <c r="L3" i="314"/>
  <c r="F2" i="237"/>
  <c r="G2" i="362"/>
  <c r="N3" i="256"/>
  <c r="D2" i="139"/>
  <c r="F2" i="351"/>
  <c r="F2" i="350"/>
  <c r="F2" i="249"/>
  <c r="F2" i="127"/>
  <c r="F2" i="342"/>
  <c r="F2" i="305"/>
  <c r="F73" i="147"/>
  <c r="F2" i="128"/>
  <c r="F2" i="147"/>
  <c r="J3" i="367"/>
  <c r="D2" i="146"/>
  <c r="F247" i="363"/>
  <c r="F109" i="363"/>
  <c r="H17" i="133"/>
  <c r="D124" i="248"/>
  <c r="D125" i="248" s="1"/>
  <c r="E49" i="146"/>
  <c r="A6" i="294"/>
  <c r="A25" i="294" s="1"/>
  <c r="A284" i="342"/>
  <c r="A33" i="233" s="1"/>
  <c r="C52" i="316"/>
  <c r="M107" i="123"/>
  <c r="F54" i="248"/>
  <c r="F116" i="248"/>
  <c r="D119" i="248"/>
  <c r="A251" i="342"/>
  <c r="A30" i="233" s="1"/>
  <c r="A12" i="233"/>
  <c r="A12" i="299" s="1"/>
  <c r="A30" i="299" s="1"/>
  <c r="A106" i="343"/>
  <c r="A15" i="126" s="1"/>
  <c r="A14" i="140" s="1"/>
  <c r="A105" i="342"/>
  <c r="A273" i="342" s="1"/>
  <c r="A32" i="233" s="1"/>
  <c r="I106" i="123"/>
  <c r="D18" i="126"/>
  <c r="D172" i="343"/>
  <c r="O43" i="299"/>
  <c r="N43" i="299"/>
  <c r="N43" i="137"/>
  <c r="E45" i="248"/>
  <c r="E6" i="350"/>
  <c r="I45" i="248"/>
  <c r="I109" i="248" s="1"/>
  <c r="I6" i="350"/>
  <c r="I167" i="350" s="1"/>
  <c r="G8" i="248"/>
  <c r="J9" i="248"/>
  <c r="J105" i="248" s="1"/>
  <c r="J6" i="134"/>
  <c r="E10" i="248"/>
  <c r="E106" i="248" s="1"/>
  <c r="C12" i="248"/>
  <c r="C108" i="248" s="1"/>
  <c r="C6" i="134"/>
  <c r="C167" i="134"/>
  <c r="J23" i="248"/>
  <c r="J119" i="248" s="1"/>
  <c r="J118" i="134"/>
  <c r="I24" i="248"/>
  <c r="I118" i="134"/>
  <c r="I124" i="248"/>
  <c r="I125" i="248" s="1"/>
  <c r="I29" i="248"/>
  <c r="K62" i="86"/>
  <c r="D29" i="126"/>
  <c r="J42" i="343"/>
  <c r="R172" i="343"/>
  <c r="J49" i="88"/>
  <c r="J36" i="131"/>
  <c r="C18" i="364"/>
  <c r="C295" i="364"/>
  <c r="A61" i="343"/>
  <c r="A231" i="343" s="1"/>
  <c r="A60" i="342"/>
  <c r="A229" i="342" s="1"/>
  <c r="A28" i="233" s="1"/>
  <c r="I9" i="86"/>
  <c r="O19" i="137"/>
  <c r="H74" i="126"/>
  <c r="G28" i="86"/>
  <c r="G32" i="86" s="1"/>
  <c r="H60" i="316"/>
  <c r="C74" i="126"/>
  <c r="B28" i="86"/>
  <c r="L342" i="343"/>
  <c r="I32" i="337"/>
  <c r="H22" i="248"/>
  <c r="I119" i="248"/>
  <c r="G40" i="131"/>
  <c r="G5" i="237" s="1"/>
  <c r="U341" i="342"/>
  <c r="O37" i="127"/>
  <c r="E74" i="126"/>
  <c r="D28" i="86"/>
  <c r="F107" i="123" s="1"/>
  <c r="J168" i="343"/>
  <c r="J79" i="343"/>
  <c r="Q73" i="343"/>
  <c r="J61" i="343"/>
  <c r="J11" i="126" s="1"/>
  <c r="E98" i="146"/>
  <c r="F98" i="146"/>
  <c r="C342" i="343"/>
  <c r="M24" i="143"/>
  <c r="K82" i="146"/>
  <c r="L25" i="298"/>
  <c r="D25" i="298"/>
  <c r="F32" i="253"/>
  <c r="F35" i="253"/>
  <c r="E64" i="86" s="1"/>
  <c r="H96" i="363"/>
  <c r="C55" i="248"/>
  <c r="C118" i="350"/>
  <c r="C167" i="350" s="1"/>
  <c r="C170" i="350" s="1"/>
  <c r="J56" i="248"/>
  <c r="J120" i="248" s="1"/>
  <c r="J118" i="350"/>
  <c r="I134" i="248"/>
  <c r="I165" i="248"/>
  <c r="I53" i="86" s="1"/>
  <c r="E134" i="248"/>
  <c r="E165" i="248"/>
  <c r="D53" i="86" s="1"/>
  <c r="L33" i="337"/>
  <c r="I63" i="305"/>
  <c r="I64" i="305" s="1"/>
  <c r="K98" i="146"/>
  <c r="H30" i="146"/>
  <c r="J143" i="363"/>
  <c r="M226" i="363"/>
  <c r="N44" i="139"/>
  <c r="F92" i="363"/>
  <c r="D29" i="253"/>
  <c r="D31" i="253"/>
  <c r="K134" i="248"/>
  <c r="K165" i="248"/>
  <c r="H134" i="248"/>
  <c r="H165" i="248"/>
  <c r="G53" i="86" s="1"/>
  <c r="P62" i="95"/>
  <c r="C26" i="253"/>
  <c r="B63" i="86" s="1"/>
  <c r="J92" i="363"/>
  <c r="J97" i="363"/>
  <c r="K118" i="134"/>
  <c r="K167" i="134" s="1"/>
  <c r="J130" i="248"/>
  <c r="G134" i="248"/>
  <c r="G165" i="248"/>
  <c r="F53" i="86" s="1"/>
  <c r="C165" i="248"/>
  <c r="C217" i="248" s="1"/>
  <c r="C134" i="248"/>
  <c r="C106" i="248"/>
  <c r="I108" i="248"/>
  <c r="E118" i="134"/>
  <c r="E23" i="248"/>
  <c r="E25" i="248" s="1"/>
  <c r="K127" i="248"/>
  <c r="J165" i="248"/>
  <c r="J53" i="86" s="1"/>
  <c r="J134" i="248"/>
  <c r="E35" i="253"/>
  <c r="K107" i="248"/>
  <c r="D110" i="358"/>
  <c r="H110" i="358"/>
  <c r="C93" i="248"/>
  <c r="C57" i="248"/>
  <c r="C119" i="248"/>
  <c r="D26" i="298"/>
  <c r="D50" i="298"/>
  <c r="D53" i="298" s="1"/>
  <c r="E109" i="248"/>
  <c r="E47" i="248"/>
  <c r="E37" i="248" s="1"/>
  <c r="A14" i="233"/>
  <c r="L2" i="246" s="1"/>
  <c r="I92" i="255"/>
  <c r="I93" i="255" s="1"/>
  <c r="I32" i="127" s="1"/>
  <c r="H16" i="86" s="1"/>
  <c r="L26" i="298"/>
  <c r="L50" i="298"/>
  <c r="L53" i="298" s="1"/>
  <c r="J57" i="248"/>
  <c r="I107" i="123"/>
  <c r="I44" i="86"/>
  <c r="K53" i="86"/>
  <c r="G23" i="88"/>
  <c r="B32" i="86"/>
  <c r="D108" i="123" s="1"/>
  <c r="D107" i="123"/>
  <c r="C1588" i="364"/>
  <c r="C739" i="364"/>
  <c r="C758" i="364"/>
  <c r="C523" i="364"/>
  <c r="C1184" i="364"/>
  <c r="C412" i="364"/>
  <c r="C1706" i="364"/>
  <c r="C2661" i="364"/>
  <c r="C2175" i="364"/>
  <c r="C1494" i="364"/>
  <c r="C1352" i="364"/>
  <c r="C1721" i="364"/>
  <c r="C154" i="364"/>
  <c r="C1381" i="364"/>
  <c r="C768" i="364"/>
  <c r="C113" i="364"/>
  <c r="C1211" i="364"/>
  <c r="C2502" i="364"/>
  <c r="C1982" i="364"/>
  <c r="C530" i="364"/>
  <c r="C992" i="364"/>
  <c r="C2054" i="364"/>
  <c r="C2680" i="364"/>
  <c r="C1636" i="364"/>
  <c r="C2077" i="364"/>
  <c r="C302" i="364"/>
  <c r="C2038" i="364"/>
  <c r="C261" i="364"/>
  <c r="C2195" i="364"/>
  <c r="C1273" i="364"/>
  <c r="C1110" i="364"/>
  <c r="C2367" i="364"/>
  <c r="C400" i="364"/>
  <c r="C633" i="364"/>
  <c r="C560" i="364"/>
  <c r="C947" i="364"/>
  <c r="C926" i="364"/>
  <c r="C1009" i="364"/>
  <c r="C719" i="364"/>
  <c r="C1951" i="364"/>
  <c r="C1174" i="364"/>
  <c r="C2515" i="364"/>
  <c r="C2838" i="364"/>
  <c r="C2641" i="364"/>
  <c r="C2160" i="364"/>
  <c r="C28" i="364"/>
  <c r="C2113" i="364"/>
  <c r="C1835" i="364"/>
  <c r="C1969" i="364"/>
  <c r="C214" i="364"/>
  <c r="C1741" i="364"/>
  <c r="C600" i="364"/>
  <c r="C1111" i="364"/>
  <c r="C962" i="364"/>
  <c r="C1234" i="364"/>
  <c r="C2329" i="364"/>
  <c r="C169" i="364"/>
  <c r="C1519" i="364"/>
  <c r="C1549" i="364"/>
  <c r="C1349" i="364"/>
  <c r="C1886" i="364"/>
  <c r="C32" i="364"/>
  <c r="C574" i="364"/>
  <c r="C51" i="364"/>
  <c r="C1605" i="364"/>
  <c r="C2318" i="364"/>
  <c r="C1121" i="364"/>
  <c r="C2091" i="364"/>
  <c r="C2452" i="364"/>
  <c r="C2166" i="364"/>
  <c r="C1263" i="364"/>
  <c r="C1256" i="364"/>
  <c r="C2098" i="364"/>
  <c r="C2022" i="364"/>
  <c r="C1283" i="364"/>
  <c r="C1180" i="364"/>
  <c r="C2621" i="364"/>
  <c r="C2659" i="364"/>
  <c r="C1547" i="364"/>
  <c r="C1578" i="364"/>
  <c r="C276" i="364"/>
  <c r="C1819" i="364"/>
  <c r="C2430" i="364"/>
  <c r="C1068" i="364"/>
  <c r="C846" i="364"/>
  <c r="C3" i="364"/>
  <c r="C823" i="364"/>
  <c r="C314" i="364"/>
  <c r="C792" i="364"/>
  <c r="C10" i="364"/>
  <c r="C54" i="364"/>
  <c r="C219" i="364"/>
  <c r="C332" i="364"/>
  <c r="C280" i="364"/>
  <c r="C679" i="364"/>
  <c r="C2501" i="364"/>
  <c r="C1805" i="364"/>
  <c r="C2765" i="364"/>
  <c r="C1863" i="364"/>
  <c r="C2279" i="364"/>
  <c r="C1059" i="364"/>
  <c r="C2821" i="364"/>
  <c r="C863" i="364"/>
  <c r="C1742" i="364"/>
  <c r="C520" i="364"/>
  <c r="C2017" i="364"/>
  <c r="C2" i="364"/>
  <c r="C2116" i="364"/>
  <c r="C629" i="364"/>
  <c r="C1784" i="364"/>
  <c r="C2475" i="364"/>
  <c r="A1" i="337"/>
  <c r="C1157" i="364"/>
  <c r="C1461" i="364"/>
  <c r="C421" i="364"/>
  <c r="C2639" i="364"/>
  <c r="C257" i="364"/>
  <c r="C2470" i="364"/>
  <c r="C1175" i="364"/>
  <c r="C1496" i="364"/>
  <c r="C1911" i="364"/>
  <c r="C2319" i="364"/>
  <c r="C495" i="364"/>
  <c r="C2290" i="364"/>
  <c r="C2653" i="364"/>
  <c r="C275" i="364"/>
  <c r="C1912" i="364"/>
  <c r="C9" i="364"/>
  <c r="C378" i="364"/>
  <c r="C2352" i="364"/>
  <c r="C81" i="364"/>
  <c r="C2630" i="364"/>
  <c r="C2197" i="364"/>
  <c r="C754" i="364"/>
  <c r="C2122" i="364"/>
  <c r="C1943" i="364"/>
  <c r="C2150" i="364"/>
  <c r="C2239" i="364"/>
  <c r="C2538" i="364"/>
  <c r="C2487" i="364"/>
  <c r="C1662" i="364"/>
  <c r="C2743" i="364"/>
  <c r="C2056" i="364"/>
  <c r="C1656" i="364"/>
  <c r="C2278" i="364"/>
  <c r="C1140" i="364"/>
  <c r="C1471" i="364"/>
  <c r="C2358" i="364"/>
  <c r="C2415" i="364"/>
  <c r="C1090" i="364"/>
  <c r="C2655" i="364"/>
  <c r="C1946" i="364"/>
  <c r="C571" i="364"/>
  <c r="C1862" i="364"/>
  <c r="C1815" i="364"/>
  <c r="C22" i="364"/>
  <c r="C527" i="364"/>
  <c r="A72" i="147"/>
  <c r="C146" i="364"/>
  <c r="C510" i="364"/>
  <c r="C2688" i="364"/>
  <c r="C2286" i="364"/>
  <c r="C1032" i="364"/>
  <c r="C782" i="364"/>
  <c r="C1860" i="364"/>
  <c r="C470" i="364"/>
  <c r="C453" i="364"/>
  <c r="C2320" i="364"/>
  <c r="C52" i="364"/>
  <c r="C2133" i="364"/>
  <c r="C1561" i="364"/>
  <c r="C2817" i="364"/>
  <c r="C1777" i="364"/>
  <c r="C120" i="364"/>
  <c r="C554" i="364"/>
  <c r="C1736" i="364"/>
  <c r="C1548" i="364"/>
  <c r="C2050" i="364"/>
  <c r="C2525" i="364"/>
  <c r="C1868" i="364"/>
  <c r="C465" i="364"/>
  <c r="C2293" i="364"/>
  <c r="C103" i="364"/>
  <c r="C1979" i="364"/>
  <c r="C1709" i="364"/>
  <c r="C732" i="364"/>
  <c r="C936" i="364"/>
  <c r="C1812" i="364"/>
  <c r="C297" i="364"/>
  <c r="C1572" i="364"/>
  <c r="C1308" i="364"/>
  <c r="C945" i="364"/>
  <c r="C401" i="364"/>
  <c r="C2788" i="364"/>
  <c r="C1866" i="364"/>
  <c r="C1694" i="364"/>
  <c r="C1380" i="364"/>
  <c r="C906" i="364"/>
  <c r="C1425" i="364"/>
  <c r="C424" i="364"/>
  <c r="C265" i="364"/>
  <c r="C2168" i="364"/>
  <c r="C2075" i="364"/>
  <c r="C8" i="364"/>
  <c r="C1094" i="364"/>
  <c r="C343" i="364"/>
  <c r="C2161" i="364"/>
  <c r="C1079" i="364"/>
  <c r="C2523" i="364"/>
  <c r="C221" i="364"/>
  <c r="C1558" i="364"/>
  <c r="C2561" i="364"/>
  <c r="C441" i="364"/>
  <c r="C1145" i="364"/>
  <c r="C855" i="364"/>
  <c r="C2844" i="364"/>
  <c r="C1245" i="364"/>
  <c r="C1511" i="364"/>
  <c r="C776" i="364"/>
  <c r="C2351" i="364"/>
  <c r="C1534" i="364"/>
  <c r="C328" i="364"/>
  <c r="C1315" i="364"/>
  <c r="C982" i="364"/>
  <c r="C799" i="364"/>
  <c r="C2053" i="364"/>
  <c r="C540" i="364"/>
  <c r="C1190" i="364"/>
  <c r="C1216" i="364"/>
  <c r="C164" i="364"/>
  <c r="C524" i="364"/>
  <c r="C1242" i="364"/>
  <c r="C2874" i="364"/>
  <c r="C742" i="364"/>
  <c r="C434" i="364"/>
  <c r="C127" i="364"/>
  <c r="C918" i="364"/>
  <c r="C1530" i="364"/>
  <c r="C561" i="364"/>
  <c r="C1205" i="364"/>
  <c r="C710" i="364"/>
  <c r="C2298" i="364"/>
  <c r="C2174" i="364"/>
  <c r="C845" i="364"/>
  <c r="C42" i="364"/>
  <c r="C152" i="364"/>
  <c r="C2248" i="364"/>
  <c r="C2347" i="364"/>
  <c r="A1" i="355"/>
  <c r="C433" i="364"/>
  <c r="C2252" i="364"/>
  <c r="C965" i="364"/>
  <c r="C2512" i="364"/>
  <c r="C1562" i="364"/>
  <c r="C2671" i="364"/>
  <c r="C2736" i="364"/>
  <c r="C352" i="364"/>
  <c r="C2717" i="364"/>
  <c r="C2776" i="364"/>
  <c r="C973" i="364"/>
  <c r="C2292" i="364"/>
  <c r="C1497" i="364"/>
  <c r="C1817" i="364"/>
  <c r="C753" i="364"/>
  <c r="C2831" i="364"/>
  <c r="C635" i="364"/>
  <c r="C2654" i="364"/>
  <c r="C2448" i="364"/>
  <c r="C1443" i="364"/>
  <c r="C2006" i="364"/>
  <c r="C2854" i="364"/>
  <c r="C2275" i="364"/>
  <c r="C2317" i="364"/>
  <c r="C2089" i="364"/>
  <c r="C48" i="133" l="1"/>
  <c r="D110" i="123"/>
  <c r="J25" i="248"/>
  <c r="A1" i="342"/>
  <c r="A1" i="233"/>
  <c r="K118" i="248"/>
  <c r="A1" i="133"/>
  <c r="A1" i="351"/>
  <c r="C27" i="253"/>
  <c r="D5" i="123"/>
  <c r="C23" i="88"/>
  <c r="C5" i="237"/>
  <c r="K50" i="248"/>
  <c r="K112" i="248"/>
  <c r="E102" i="146"/>
  <c r="F49" i="146"/>
  <c r="N19" i="137"/>
  <c r="C19" i="137"/>
  <c r="I25" i="248"/>
  <c r="I120" i="248"/>
  <c r="I121" i="248" s="1"/>
  <c r="D109" i="123"/>
  <c r="A16" i="233"/>
  <c r="A16" i="299" s="1"/>
  <c r="A34" i="299" s="1"/>
  <c r="A295" i="342"/>
  <c r="A34" i="233" s="1"/>
  <c r="Q30" i="140"/>
  <c r="E12" i="294"/>
  <c r="J167" i="134"/>
  <c r="F3" i="294"/>
  <c r="M3" i="127"/>
  <c r="E167" i="358"/>
  <c r="E168" i="248" s="1"/>
  <c r="C17" i="133"/>
  <c r="C15" i="133" s="1"/>
  <c r="C169" i="248"/>
  <c r="C201" i="248" s="1"/>
  <c r="H47" i="249"/>
  <c r="B106" i="100"/>
  <c r="A1" i="131" s="1"/>
  <c r="I2" i="146"/>
  <c r="I2" i="144"/>
  <c r="K2" i="141"/>
  <c r="H2" i="361"/>
  <c r="K155" i="363"/>
  <c r="K2" i="315"/>
  <c r="I2" i="351"/>
  <c r="H2" i="139"/>
  <c r="O2" i="368"/>
  <c r="F339" i="342"/>
  <c r="A187" i="343"/>
  <c r="E79" i="248"/>
  <c r="B104" i="100"/>
  <c r="A1" i="343" s="1"/>
  <c r="H342" i="343"/>
  <c r="C92" i="255"/>
  <c r="C93" i="255" s="1"/>
  <c r="C32" i="127" s="1"/>
  <c r="B16" i="86" s="1"/>
  <c r="A84" i="343"/>
  <c r="M37" i="127"/>
  <c r="F172" i="343"/>
  <c r="K97" i="343"/>
  <c r="F14" i="146"/>
  <c r="E60" i="253"/>
  <c r="L150" i="343"/>
  <c r="L19" i="126" s="1"/>
  <c r="E34" i="255"/>
  <c r="E9" i="127" s="1"/>
  <c r="F49" i="123" s="1"/>
  <c r="E30" i="255"/>
  <c r="C124" i="351"/>
  <c r="C247" i="351" s="1"/>
  <c r="C167" i="349"/>
  <c r="K109" i="363"/>
  <c r="I2" i="248"/>
  <c r="I2" i="253"/>
  <c r="J2" i="88"/>
  <c r="I2" i="136"/>
  <c r="J2" i="237"/>
  <c r="H18" i="337"/>
  <c r="F45" i="123"/>
  <c r="K97" i="363"/>
  <c r="C28" i="140"/>
  <c r="N28" i="140" s="1"/>
  <c r="F6" i="350"/>
  <c r="E112" i="248"/>
  <c r="F120" i="248"/>
  <c r="E14" i="146"/>
  <c r="I22" i="253"/>
  <c r="V341" i="342"/>
  <c r="S37" i="127"/>
  <c r="H63" i="126"/>
  <c r="G27" i="86" s="1"/>
  <c r="I112" i="123" s="1"/>
  <c r="C34" i="137"/>
  <c r="N34" i="137" s="1"/>
  <c r="J139" i="134"/>
  <c r="J28" i="248"/>
  <c r="K2" i="314"/>
  <c r="J2" i="343"/>
  <c r="K2" i="123"/>
  <c r="I73" i="147"/>
  <c r="I2" i="349"/>
  <c r="I2" i="358"/>
  <c r="D2" i="88"/>
  <c r="C112" i="248"/>
  <c r="E50" i="298"/>
  <c r="E53" i="298" s="1"/>
  <c r="U84" i="343"/>
  <c r="K342" i="343"/>
  <c r="K167" i="350"/>
  <c r="Q43" i="256" s="1"/>
  <c r="D167" i="367"/>
  <c r="K116" i="248"/>
  <c r="B29" i="100"/>
  <c r="X3" i="127" s="1"/>
  <c r="B27" i="100"/>
  <c r="B25" i="100"/>
  <c r="S3" i="233" s="1"/>
  <c r="B23" i="100"/>
  <c r="B21" i="100"/>
  <c r="K2" i="139" s="1"/>
  <c r="B19" i="100"/>
  <c r="M3" i="233" s="1"/>
  <c r="B15" i="100"/>
  <c r="B2" i="100"/>
  <c r="E2" i="136" s="1"/>
  <c r="M48" i="298"/>
  <c r="E106" i="363"/>
  <c r="E107" i="363" s="1"/>
  <c r="D38" i="253"/>
  <c r="D39" i="253" s="1"/>
  <c r="N27" i="140"/>
  <c r="C27" i="140"/>
  <c r="C46" i="136"/>
  <c r="J112" i="248"/>
  <c r="Q3" i="127"/>
  <c r="I2" i="336"/>
  <c r="J2" i="126"/>
  <c r="I2" i="301"/>
  <c r="I2" i="249"/>
  <c r="J2" i="129"/>
  <c r="I2" i="233"/>
  <c r="C56" i="253"/>
  <c r="C339" i="342"/>
  <c r="E74" i="350"/>
  <c r="E167" i="350" s="1"/>
  <c r="H110" i="349"/>
  <c r="I167" i="367"/>
  <c r="B154" i="100"/>
  <c r="O24" i="143"/>
  <c r="K22" i="253"/>
  <c r="B140" i="100"/>
  <c r="A1" i="140" s="1"/>
  <c r="A128" i="343"/>
  <c r="K83" i="363"/>
  <c r="J55" i="253"/>
  <c r="K21" i="255"/>
  <c r="K7" i="127" s="1"/>
  <c r="F103" i="146"/>
  <c r="D59" i="316"/>
  <c r="B105" i="100"/>
  <c r="A1" i="129" s="1"/>
  <c r="L3" i="233"/>
  <c r="I2" i="147"/>
  <c r="I2" i="350"/>
  <c r="I2" i="342"/>
  <c r="J2" i="305"/>
  <c r="J2" i="128"/>
  <c r="K201" i="363"/>
  <c r="J167" i="367"/>
  <c r="U73" i="343"/>
  <c r="B152" i="100"/>
  <c r="A1" i="256" s="1"/>
  <c r="B153" i="100"/>
  <c r="A1" i="296" s="1"/>
  <c r="G171" i="342"/>
  <c r="W37" i="127"/>
  <c r="C25" i="133"/>
  <c r="C49" i="133" s="1"/>
  <c r="D25" i="248"/>
  <c r="C36" i="253"/>
  <c r="G34" i="337"/>
  <c r="I2" i="86"/>
  <c r="I2" i="316"/>
  <c r="I2" i="134"/>
  <c r="I2" i="367"/>
  <c r="I2" i="133"/>
  <c r="U117" i="343"/>
  <c r="C12" i="294"/>
  <c r="Q95" i="343"/>
  <c r="D103" i="248"/>
  <c r="I49" i="146"/>
  <c r="B109" i="100"/>
  <c r="A1" i="253" s="1"/>
  <c r="J106" i="363"/>
  <c r="J107" i="363" s="1"/>
  <c r="C63" i="126"/>
  <c r="B27" i="86" s="1"/>
  <c r="D112" i="123" s="1"/>
  <c r="M25" i="298"/>
  <c r="E32" i="142"/>
  <c r="H32" i="305"/>
  <c r="J32" i="305"/>
  <c r="J91" i="255" s="1"/>
  <c r="E32" i="305"/>
  <c r="I98" i="146"/>
  <c r="I37" i="148"/>
  <c r="C26" i="137"/>
  <c r="N26" i="137" s="1"/>
  <c r="C18" i="137"/>
  <c r="K18" i="137"/>
  <c r="G18" i="137"/>
  <c r="N18" i="137" s="1"/>
  <c r="N16" i="137"/>
  <c r="C16" i="137"/>
  <c r="C14" i="137"/>
  <c r="N14" i="137" s="1"/>
  <c r="N12" i="137"/>
  <c r="C12" i="137"/>
  <c r="F39" i="140"/>
  <c r="G180" i="363"/>
  <c r="E245" i="363"/>
  <c r="K104" i="248"/>
  <c r="J139" i="350"/>
  <c r="J167" i="350" s="1"/>
  <c r="E113" i="248"/>
  <c r="O6" i="95"/>
  <c r="B6" i="95"/>
  <c r="M6" i="95" s="1"/>
  <c r="D39" i="129"/>
  <c r="E34" i="129"/>
  <c r="D37" i="86" s="1"/>
  <c r="F18" i="337"/>
  <c r="D27" i="136"/>
  <c r="D46" i="136" s="1"/>
  <c r="A46" i="316"/>
  <c r="H53" i="316"/>
  <c r="G32" i="305"/>
  <c r="H37" i="148"/>
  <c r="F53" i="95"/>
  <c r="F63" i="95" s="1"/>
  <c r="G53" i="294"/>
  <c r="J153" i="363"/>
  <c r="E189" i="363"/>
  <c r="E56" i="253"/>
  <c r="E24" i="255"/>
  <c r="E27" i="255" s="1"/>
  <c r="E8" i="127" s="1"/>
  <c r="F48" i="123" s="1"/>
  <c r="J93" i="248"/>
  <c r="O9" i="95"/>
  <c r="P9" i="95" s="1"/>
  <c r="B9" i="95"/>
  <c r="M9" i="95" s="1"/>
  <c r="C32" i="142"/>
  <c r="E45" i="136"/>
  <c r="E46" i="136" s="1"/>
  <c r="L25" i="300"/>
  <c r="D22" i="253"/>
  <c r="D27" i="253" s="1"/>
  <c r="E104" i="248"/>
  <c r="C115" i="248"/>
  <c r="O11" i="95"/>
  <c r="B11" i="95"/>
  <c r="M11" i="95" s="1"/>
  <c r="K49" i="316"/>
  <c r="K60" i="316" s="1"/>
  <c r="C28" i="137"/>
  <c r="N28" i="137" s="1"/>
  <c r="N20" i="137"/>
  <c r="C20" i="137"/>
  <c r="D57" i="253"/>
  <c r="D12" i="255"/>
  <c r="D15" i="255" s="1"/>
  <c r="D6" i="127" s="1"/>
  <c r="E17" i="88" s="1"/>
  <c r="D21" i="255"/>
  <c r="D7" i="127" s="1"/>
  <c r="E47" i="123" s="1"/>
  <c r="D18" i="255"/>
  <c r="F96" i="363"/>
  <c r="K108" i="248"/>
  <c r="J110" i="248"/>
  <c r="H6" i="358"/>
  <c r="G6" i="358"/>
  <c r="O13" i="95"/>
  <c r="B13" i="95"/>
  <c r="M13" i="95" s="1"/>
  <c r="E11" i="88"/>
  <c r="H48" i="337"/>
  <c r="J18" i="337"/>
  <c r="K100" i="146"/>
  <c r="K102" i="146" s="1"/>
  <c r="K103" i="146" s="1"/>
  <c r="F30" i="146"/>
  <c r="C25" i="137"/>
  <c r="N25" i="137" s="1"/>
  <c r="N17" i="137"/>
  <c r="C17" i="137"/>
  <c r="C15" i="137"/>
  <c r="N15" i="137" s="1"/>
  <c r="N13" i="137"/>
  <c r="C13" i="137"/>
  <c r="C11" i="137"/>
  <c r="N11" i="137" s="1"/>
  <c r="E21" i="255"/>
  <c r="E7" i="127" s="1"/>
  <c r="E18" i="255"/>
  <c r="D45" i="253"/>
  <c r="C65" i="86" s="1"/>
  <c r="F110" i="350"/>
  <c r="J129" i="248"/>
  <c r="D105" i="248"/>
  <c r="G118" i="349"/>
  <c r="O8" i="95"/>
  <c r="P8" i="95" s="1"/>
  <c r="B8" i="95"/>
  <c r="M8" i="95" s="1"/>
  <c r="N33" i="137"/>
  <c r="C33" i="137"/>
  <c r="I34" i="129"/>
  <c r="I42" i="123"/>
  <c r="I45" i="249"/>
  <c r="I47" i="249" s="1"/>
  <c r="D27" i="249"/>
  <c r="D47" i="249" s="1"/>
  <c r="E53" i="316"/>
  <c r="F63" i="305"/>
  <c r="F92" i="255" s="1"/>
  <c r="C38" i="137"/>
  <c r="N38" i="137" s="1"/>
  <c r="K38" i="137"/>
  <c r="H38" i="137"/>
  <c r="M122" i="363"/>
  <c r="I143" i="363"/>
  <c r="G153" i="363"/>
  <c r="G199" i="363"/>
  <c r="E10" i="253"/>
  <c r="E15" i="253" s="1"/>
  <c r="F71" i="363"/>
  <c r="F76" i="363" s="1"/>
  <c r="G83" i="363"/>
  <c r="G88" i="363" s="1"/>
  <c r="J117" i="248"/>
  <c r="J118" i="248" s="1"/>
  <c r="O7" i="95"/>
  <c r="P7" i="95" s="1"/>
  <c r="B7" i="95"/>
  <c r="M7" i="95" s="1"/>
  <c r="E45" i="249"/>
  <c r="E47" i="249" s="1"/>
  <c r="J53" i="316"/>
  <c r="K25" i="316"/>
  <c r="N30" i="137"/>
  <c r="C30" i="137"/>
  <c r="K48" i="298"/>
  <c r="J189" i="363"/>
  <c r="G214" i="363"/>
  <c r="I59" i="253"/>
  <c r="H118" i="350"/>
  <c r="H167" i="350" s="1"/>
  <c r="D106" i="248"/>
  <c r="E128" i="248"/>
  <c r="D179" i="248"/>
  <c r="G118" i="358"/>
  <c r="E89" i="248"/>
  <c r="E69" i="248" s="1"/>
  <c r="O19" i="95"/>
  <c r="P19" i="95" s="1"/>
  <c r="B19" i="95"/>
  <c r="M19" i="95" s="1"/>
  <c r="F62" i="95"/>
  <c r="G62" i="95"/>
  <c r="E51" i="95"/>
  <c r="E53" i="95" s="1"/>
  <c r="E63" i="95" s="1"/>
  <c r="M45" i="95"/>
  <c r="M62" i="95" s="1"/>
  <c r="C53" i="95"/>
  <c r="J53" i="95"/>
  <c r="J63" i="95" s="1"/>
  <c r="L53" i="95"/>
  <c r="L63" i="95" s="1"/>
  <c r="I53" i="95"/>
  <c r="I63" i="95" s="1"/>
  <c r="G53" i="95"/>
  <c r="G63" i="95" s="1"/>
  <c r="H51" i="95"/>
  <c r="H53" i="95" s="1"/>
  <c r="H63" i="95" s="1"/>
  <c r="D53" i="95"/>
  <c r="K53" i="95"/>
  <c r="K63" i="95" s="1"/>
  <c r="I39" i="140"/>
  <c r="M39" i="140"/>
  <c r="D69" i="248"/>
  <c r="G125" i="248"/>
  <c r="F118" i="248"/>
  <c r="D118" i="248"/>
  <c r="K5" i="248"/>
  <c r="I6" i="134"/>
  <c r="I167" i="134" s="1"/>
  <c r="I105" i="248"/>
  <c r="J107" i="248"/>
  <c r="J79" i="248"/>
  <c r="I18" i="248"/>
  <c r="D55" i="253"/>
  <c r="D60" i="253" s="1"/>
  <c r="F107" i="363"/>
  <c r="F106" i="363"/>
  <c r="G107" i="363"/>
  <c r="E46" i="253"/>
  <c r="D46" i="253"/>
  <c r="D32" i="253"/>
  <c r="D35" i="253" s="1"/>
  <c r="C64" i="86" s="1"/>
  <c r="F97" i="363"/>
  <c r="E36" i="253"/>
  <c r="E17" i="253"/>
  <c r="E22" i="253" s="1"/>
  <c r="E27" i="253" s="1"/>
  <c r="G71" i="363"/>
  <c r="G76" i="363" s="1"/>
  <c r="D7" i="253"/>
  <c r="D10" i="253" s="1"/>
  <c r="K74" i="349"/>
  <c r="J182" i="248"/>
  <c r="K180" i="248"/>
  <c r="K182" i="248" s="1"/>
  <c r="J6" i="349"/>
  <c r="J167" i="349" s="1"/>
  <c r="K166" i="255" s="1"/>
  <c r="K6" i="349"/>
  <c r="J179" i="248"/>
  <c r="J169" i="248" s="1"/>
  <c r="J56" i="86" s="1"/>
  <c r="I6" i="349"/>
  <c r="I167" i="349" s="1"/>
  <c r="E179" i="248"/>
  <c r="E169" i="248" s="1"/>
  <c r="D56" i="86" s="1"/>
  <c r="E170" i="367"/>
  <c r="D167" i="358"/>
  <c r="D168" i="248" s="1"/>
  <c r="D204" i="248" s="1"/>
  <c r="D165" i="248"/>
  <c r="C53" i="86" s="1"/>
  <c r="E110" i="123"/>
  <c r="D342" i="343"/>
  <c r="D343" i="343" s="1"/>
  <c r="E119" i="248"/>
  <c r="E121" i="248" s="1"/>
  <c r="E127" i="248"/>
  <c r="E114" i="248"/>
  <c r="E18" i="248"/>
  <c r="E74" i="134"/>
  <c r="E15" i="248"/>
  <c r="E5" i="248" s="1"/>
  <c r="E6" i="134"/>
  <c r="E167" i="134" s="1"/>
  <c r="M43" i="256" s="1"/>
  <c r="J121" i="248"/>
  <c r="D32" i="86"/>
  <c r="F109" i="123" s="1"/>
  <c r="E63" i="126"/>
  <c r="D27" i="86" s="1"/>
  <c r="F112" i="123" s="1"/>
  <c r="D63" i="126"/>
  <c r="D85" i="126" s="1"/>
  <c r="D39" i="126"/>
  <c r="E339" i="342"/>
  <c r="E341" i="342" s="1"/>
  <c r="E38" i="233"/>
  <c r="J2" i="246"/>
  <c r="D339" i="342"/>
  <c r="E201" i="248"/>
  <c r="E170" i="350"/>
  <c r="E167" i="248"/>
  <c r="D54" i="86"/>
  <c r="C62" i="86"/>
  <c r="D15" i="253"/>
  <c r="E103" i="146"/>
  <c r="C167" i="248"/>
  <c r="D17" i="123"/>
  <c r="B56" i="86"/>
  <c r="C205" i="248"/>
  <c r="D101" i="123" s="1"/>
  <c r="J110" i="123"/>
  <c r="J108" i="123"/>
  <c r="J109" i="123"/>
  <c r="C166" i="255"/>
  <c r="C175" i="349"/>
  <c r="C169" i="349"/>
  <c r="C2" i="342"/>
  <c r="C2" i="249"/>
  <c r="C2" i="127"/>
  <c r="C2" i="133"/>
  <c r="C2" i="129"/>
  <c r="C2" i="350"/>
  <c r="E2" i="315"/>
  <c r="C2" i="316"/>
  <c r="D2" i="362"/>
  <c r="E2" i="141"/>
  <c r="C2" i="128"/>
  <c r="C2" i="147"/>
  <c r="C2" i="233"/>
  <c r="C2" i="349"/>
  <c r="D2" i="123"/>
  <c r="E247" i="363"/>
  <c r="C2" i="367"/>
  <c r="C2" i="358"/>
  <c r="C2" i="301"/>
  <c r="C2" i="237"/>
  <c r="C2" i="131"/>
  <c r="C2" i="343"/>
  <c r="E2" i="314"/>
  <c r="C2" i="255"/>
  <c r="B2" i="86"/>
  <c r="E155" i="363"/>
  <c r="E201" i="363"/>
  <c r="C2" i="248"/>
  <c r="C2" i="305"/>
  <c r="D2" i="361"/>
  <c r="C2" i="253"/>
  <c r="C2" i="146"/>
  <c r="C2" i="336"/>
  <c r="C2" i="88"/>
  <c r="C73" i="147"/>
  <c r="Q3" i="342"/>
  <c r="M2" i="139"/>
  <c r="O3" i="233"/>
  <c r="P3" i="127"/>
  <c r="J3" i="255"/>
  <c r="I3" i="86"/>
  <c r="C2" i="298"/>
  <c r="O3" i="368"/>
  <c r="O3" i="300"/>
  <c r="K64" i="363"/>
  <c r="J3" i="128"/>
  <c r="K156" i="363"/>
  <c r="I3" i="351"/>
  <c r="K3" i="315"/>
  <c r="J3" i="127"/>
  <c r="K3" i="123"/>
  <c r="K110" i="363"/>
  <c r="K248" i="363"/>
  <c r="I3" i="253"/>
  <c r="C2" i="137"/>
  <c r="I3" i="367"/>
  <c r="K202" i="363"/>
  <c r="I3" i="249"/>
  <c r="J3" i="129"/>
  <c r="I3" i="342"/>
  <c r="I3" i="350"/>
  <c r="I3" i="233"/>
  <c r="I3" i="144"/>
  <c r="E2" i="351"/>
  <c r="E2" i="133"/>
  <c r="E2" i="144"/>
  <c r="E73" i="147"/>
  <c r="G155" i="363"/>
  <c r="E2" i="358"/>
  <c r="E2" i="126"/>
  <c r="E2" i="129"/>
  <c r="I2" i="363"/>
  <c r="E2" i="349"/>
  <c r="E2" i="248"/>
  <c r="E2" i="367"/>
  <c r="G2" i="314"/>
  <c r="E2" i="88"/>
  <c r="E2" i="255"/>
  <c r="E2" i="142"/>
  <c r="E2" i="237"/>
  <c r="E2" i="147"/>
  <c r="M3" i="368"/>
  <c r="E2" i="301"/>
  <c r="E2" i="128"/>
  <c r="G201" i="363"/>
  <c r="G63" i="363"/>
  <c r="E2" i="134"/>
  <c r="E2" i="342"/>
  <c r="G109" i="363"/>
  <c r="E2" i="249"/>
  <c r="F2" i="123"/>
  <c r="F2" i="361"/>
  <c r="F2" i="362"/>
  <c r="E2" i="233"/>
  <c r="C2" i="148"/>
  <c r="G2" i="315"/>
  <c r="E2" i="343"/>
  <c r="D2" i="86"/>
  <c r="E2" i="146"/>
  <c r="I47" i="248"/>
  <c r="I37" i="248" s="1"/>
  <c r="K58" i="123" s="1"/>
  <c r="C54" i="248"/>
  <c r="C37" i="248" s="1"/>
  <c r="D58" i="123" s="1"/>
  <c r="J107" i="123"/>
  <c r="J52" i="316"/>
  <c r="C170" i="367"/>
  <c r="I3" i="248"/>
  <c r="O3" i="140"/>
  <c r="I3" i="358"/>
  <c r="I3" i="147"/>
  <c r="B2" i="95"/>
  <c r="F2" i="233"/>
  <c r="W3" i="342"/>
  <c r="E2" i="127"/>
  <c r="G2" i="363"/>
  <c r="O3" i="342"/>
  <c r="C15" i="248"/>
  <c r="D64" i="86"/>
  <c r="C25" i="129"/>
  <c r="H124" i="248"/>
  <c r="E74" i="351"/>
  <c r="J3" i="337"/>
  <c r="F2" i="142"/>
  <c r="C3" i="294"/>
  <c r="N2" i="343"/>
  <c r="N3" i="343"/>
  <c r="I2" i="148"/>
  <c r="F2" i="248"/>
  <c r="W3" i="233"/>
  <c r="E2" i="131"/>
  <c r="E109" i="363"/>
  <c r="J3" i="249"/>
  <c r="L3" i="315"/>
  <c r="K3" i="131"/>
  <c r="D121" i="248"/>
  <c r="C2" i="300"/>
  <c r="J3" i="343"/>
  <c r="K3" i="314"/>
  <c r="I3" i="134"/>
  <c r="I74" i="147"/>
  <c r="E2" i="253"/>
  <c r="G247" i="363"/>
  <c r="C2" i="351"/>
  <c r="N3" i="95"/>
  <c r="N3" i="342"/>
  <c r="H3" i="294"/>
  <c r="N3" i="233"/>
  <c r="B53" i="86"/>
  <c r="J3" i="131"/>
  <c r="I3" i="336"/>
  <c r="I3" i="136"/>
  <c r="J3" i="305"/>
  <c r="V3" i="343"/>
  <c r="G2" i="141"/>
  <c r="E2" i="336"/>
  <c r="C2" i="134"/>
  <c r="S3" i="342"/>
  <c r="I3" i="142"/>
  <c r="H201" i="363"/>
  <c r="F2" i="133"/>
  <c r="A3" i="335"/>
  <c r="F2" i="358"/>
  <c r="F2" i="88"/>
  <c r="Q3" i="368"/>
  <c r="K3" i="233"/>
  <c r="J3" i="361"/>
  <c r="K3" i="342"/>
  <c r="M3" i="315"/>
  <c r="K3" i="142"/>
  <c r="K3" i="351"/>
  <c r="K3" i="86"/>
  <c r="Q3" i="137"/>
  <c r="K3" i="301"/>
  <c r="L3" i="131"/>
  <c r="L3" i="343"/>
  <c r="L3" i="126"/>
  <c r="M110" i="363"/>
  <c r="L3" i="129"/>
  <c r="K3" i="358"/>
  <c r="L3" i="127"/>
  <c r="L3" i="88"/>
  <c r="K3" i="133"/>
  <c r="X3" i="343"/>
  <c r="E3" i="294"/>
  <c r="K3" i="336"/>
  <c r="L3" i="237"/>
  <c r="M3" i="314"/>
  <c r="K3" i="349"/>
  <c r="L3" i="305"/>
  <c r="Q3" i="140"/>
  <c r="K3" i="144"/>
  <c r="K3" i="350"/>
  <c r="M202" i="363"/>
  <c r="P3" i="95"/>
  <c r="Q3" i="298"/>
  <c r="K74" i="147"/>
  <c r="L3" i="255"/>
  <c r="Q3" i="256"/>
  <c r="K3" i="253"/>
  <c r="Q3" i="299"/>
  <c r="K3" i="136"/>
  <c r="M64" i="363"/>
  <c r="L3" i="337"/>
  <c r="K3" i="134"/>
  <c r="K3" i="146"/>
  <c r="E166" i="255"/>
  <c r="C13" i="88"/>
  <c r="E108" i="123"/>
  <c r="A14" i="299"/>
  <c r="A32" i="299" s="1"/>
  <c r="C14" i="88"/>
  <c r="H34" i="337"/>
  <c r="I3" i="349"/>
  <c r="O3" i="137"/>
  <c r="P3" i="343"/>
  <c r="I3" i="146"/>
  <c r="R3" i="343"/>
  <c r="F2" i="255"/>
  <c r="E2" i="337"/>
  <c r="E2" i="305"/>
  <c r="C2" i="136"/>
  <c r="T3" i="127"/>
  <c r="I3" i="337"/>
  <c r="C38" i="233"/>
  <c r="C27" i="86"/>
  <c r="E112" i="123" s="1"/>
  <c r="E2" i="350"/>
  <c r="E2" i="316"/>
  <c r="C2" i="337"/>
  <c r="I3" i="316"/>
  <c r="F5" i="133"/>
  <c r="M3" i="256"/>
  <c r="C2" i="142"/>
  <c r="E63" i="363"/>
  <c r="C55" i="86"/>
  <c r="K106" i="343"/>
  <c r="K15" i="126" s="1"/>
  <c r="D20" i="233"/>
  <c r="C69" i="248"/>
  <c r="C169" i="350" s="1"/>
  <c r="Q37" i="127"/>
  <c r="O5" i="95"/>
  <c r="J6" i="131"/>
  <c r="K50" i="298"/>
  <c r="K53" i="298" s="1"/>
  <c r="G339" i="342"/>
  <c r="D171" i="342"/>
  <c r="C102" i="146"/>
  <c r="D103" i="146" s="1"/>
  <c r="I69" i="248"/>
  <c r="G8" i="233"/>
  <c r="G20" i="233" s="1"/>
  <c r="X37" i="127"/>
  <c r="P37" i="127"/>
  <c r="G63" i="126"/>
  <c r="G85" i="126" s="1"/>
  <c r="C18" i="248"/>
  <c r="F15" i="253"/>
  <c r="K47" i="248"/>
  <c r="H167" i="367"/>
  <c r="D11" i="88"/>
  <c r="L76" i="363"/>
  <c r="L128" i="343"/>
  <c r="L17" i="126" s="1"/>
  <c r="Q16" i="140" s="1"/>
  <c r="J95" i="343"/>
  <c r="J14" i="126" s="1"/>
  <c r="O13" i="140" s="1"/>
  <c r="N13" i="140" s="1"/>
  <c r="J45" i="249"/>
  <c r="J47" i="249" s="1"/>
  <c r="J63" i="305"/>
  <c r="J92" i="255" s="1"/>
  <c r="J93" i="255" s="1"/>
  <c r="J32" i="127" s="1"/>
  <c r="K100" i="363"/>
  <c r="I38" i="253"/>
  <c r="I39" i="253" s="1"/>
  <c r="D2" i="301"/>
  <c r="C171" i="342"/>
  <c r="C341" i="342" s="1"/>
  <c r="C172" i="343"/>
  <c r="C343" i="343" s="1"/>
  <c r="K18" i="337"/>
  <c r="J69" i="248"/>
  <c r="I15" i="337"/>
  <c r="A149" i="342"/>
  <c r="A317" i="342" s="1"/>
  <c r="A36" i="233" s="1"/>
  <c r="V37" i="127"/>
  <c r="F37" i="148"/>
  <c r="F2" i="141"/>
  <c r="A17" i="233"/>
  <c r="H102" i="146"/>
  <c r="D2" i="126"/>
  <c r="E342" i="343"/>
  <c r="E343" i="343" s="1"/>
  <c r="I17" i="337"/>
  <c r="C124" i="248"/>
  <c r="C125" i="248" s="1"/>
  <c r="J37" i="248"/>
  <c r="L58" i="123" s="1"/>
  <c r="J167" i="358"/>
  <c r="J168" i="248" s="1"/>
  <c r="E18" i="337"/>
  <c r="D38" i="233"/>
  <c r="E39" i="129"/>
  <c r="D38" i="86" s="1"/>
  <c r="G48" i="146"/>
  <c r="I55" i="145"/>
  <c r="I21" i="126"/>
  <c r="K167" i="358"/>
  <c r="K168" i="248" s="1"/>
  <c r="K54" i="86" s="1"/>
  <c r="U6" i="343"/>
  <c r="K88" i="363"/>
  <c r="D73" i="147"/>
  <c r="F50" i="298"/>
  <c r="F53" i="298" s="1"/>
  <c r="J339" i="342"/>
  <c r="I36" i="253"/>
  <c r="H172" i="343"/>
  <c r="I167" i="358"/>
  <c r="I168" i="248" s="1"/>
  <c r="I170" i="350" s="1"/>
  <c r="A71" i="336"/>
  <c r="M5" i="95"/>
  <c r="M20" i="95" s="1"/>
  <c r="M32" i="95" s="1"/>
  <c r="G172" i="343"/>
  <c r="H97" i="363"/>
  <c r="K76" i="363"/>
  <c r="D127" i="351"/>
  <c r="K34" i="129"/>
  <c r="I35" i="145"/>
  <c r="I57" i="145" s="1"/>
  <c r="G53" i="248"/>
  <c r="G110" i="350"/>
  <c r="G167" i="350" s="1"/>
  <c r="G170" i="350" s="1"/>
  <c r="L17" i="343"/>
  <c r="L7" i="126" s="1"/>
  <c r="F47" i="131"/>
  <c r="B17" i="86"/>
  <c r="J34" i="129"/>
  <c r="D15" i="133"/>
  <c r="L39" i="343"/>
  <c r="L9" i="126" s="1"/>
  <c r="U17" i="343"/>
  <c r="F32" i="305"/>
  <c r="F91" i="255" s="1"/>
  <c r="F93" i="255" s="1"/>
  <c r="F32" i="127" s="1"/>
  <c r="C59" i="253"/>
  <c r="C60" i="253" s="1"/>
  <c r="F58" i="253"/>
  <c r="F34" i="255"/>
  <c r="F9" i="127" s="1"/>
  <c r="G49" i="123" s="1"/>
  <c r="I45" i="253"/>
  <c r="D74" i="349"/>
  <c r="D167" i="349" s="1"/>
  <c r="D181" i="248"/>
  <c r="D182" i="248" s="1"/>
  <c r="D169" i="248" s="1"/>
  <c r="C56" i="86" s="1"/>
  <c r="Q50" i="343"/>
  <c r="Q17" i="343"/>
  <c r="H34" i="129"/>
  <c r="G37" i="86" s="1"/>
  <c r="I25" i="298"/>
  <c r="G45" i="253"/>
  <c r="D104" i="248"/>
  <c r="G108" i="248"/>
  <c r="L139" i="343"/>
  <c r="L18" i="126" s="1"/>
  <c r="Q17" i="140" s="1"/>
  <c r="I39" i="129"/>
  <c r="H38" i="86" s="1"/>
  <c r="G34" i="129"/>
  <c r="F37" i="86" s="1"/>
  <c r="K199" i="363"/>
  <c r="G110" i="248"/>
  <c r="C113" i="248"/>
  <c r="C114" i="248" s="1"/>
  <c r="C117" i="248"/>
  <c r="C118" i="248" s="1"/>
  <c r="H39" i="129"/>
  <c r="G38" i="86" s="1"/>
  <c r="F34" i="129"/>
  <c r="F40" i="129" s="1"/>
  <c r="K17" i="128"/>
  <c r="K20" i="128" s="1"/>
  <c r="J13" i="128"/>
  <c r="J14" i="128" s="1"/>
  <c r="J8" i="129" s="1"/>
  <c r="J12" i="129" s="1"/>
  <c r="I35" i="86" s="1"/>
  <c r="M14" i="123"/>
  <c r="K37" i="148"/>
  <c r="I48" i="298"/>
  <c r="J15" i="248"/>
  <c r="G106" i="248"/>
  <c r="D107" i="248"/>
  <c r="H110" i="248"/>
  <c r="E116" i="248"/>
  <c r="E118" i="248" s="1"/>
  <c r="J106" i="343"/>
  <c r="J15" i="126" s="1"/>
  <c r="L95" i="343"/>
  <c r="L14" i="126" s="1"/>
  <c r="J50" i="343"/>
  <c r="J10" i="126" s="1"/>
  <c r="L50" i="343"/>
  <c r="L10" i="126" s="1"/>
  <c r="Q9" i="140" s="1"/>
  <c r="L28" i="343"/>
  <c r="L8" i="126" s="1"/>
  <c r="Q7" i="140" s="1"/>
  <c r="I47" i="131"/>
  <c r="I50" i="131" s="1"/>
  <c r="G39" i="129"/>
  <c r="F38" i="86" s="1"/>
  <c r="J45" i="136"/>
  <c r="H53" i="294"/>
  <c r="I26" i="255"/>
  <c r="I27" i="255" s="1"/>
  <c r="I8" i="127" s="1"/>
  <c r="J48" i="123" s="1"/>
  <c r="H56" i="253"/>
  <c r="H27" i="255"/>
  <c r="H8" i="127" s="1"/>
  <c r="I48" i="123" s="1"/>
  <c r="H10" i="253"/>
  <c r="H15" i="253" s="1"/>
  <c r="F26" i="253"/>
  <c r="E63" i="86" s="1"/>
  <c r="I97" i="363"/>
  <c r="H106" i="248"/>
  <c r="U61" i="343"/>
  <c r="F39" i="129"/>
  <c r="E38" i="86" s="1"/>
  <c r="L34" i="129"/>
  <c r="F27" i="136"/>
  <c r="F46" i="136" s="1"/>
  <c r="L180" i="363"/>
  <c r="H59" i="253"/>
  <c r="H36" i="253"/>
  <c r="L134" i="363"/>
  <c r="K134" i="363"/>
  <c r="H58" i="253"/>
  <c r="G26" i="253"/>
  <c r="F63" i="86" s="1"/>
  <c r="J71" i="363"/>
  <c r="J76" i="363" s="1"/>
  <c r="H55" i="248"/>
  <c r="D126" i="248"/>
  <c r="G127" i="248"/>
  <c r="G79" i="253"/>
  <c r="F60" i="86" s="1"/>
  <c r="K143" i="363"/>
  <c r="I10" i="253"/>
  <c r="I15" i="253" s="1"/>
  <c r="K126" i="248"/>
  <c r="F131" i="248"/>
  <c r="K131" i="248"/>
  <c r="F104" i="248"/>
  <c r="J10" i="253"/>
  <c r="J15" i="253" s="1"/>
  <c r="J31" i="253"/>
  <c r="J36" i="253" s="1"/>
  <c r="F126" i="248"/>
  <c r="H127" i="248"/>
  <c r="I179" i="248"/>
  <c r="I169" i="248" s="1"/>
  <c r="I56" i="86" s="1"/>
  <c r="M143" i="363"/>
  <c r="F38" i="253"/>
  <c r="F39" i="253" s="1"/>
  <c r="K10" i="253"/>
  <c r="K15" i="253" s="1"/>
  <c r="J22" i="253"/>
  <c r="M92" i="363"/>
  <c r="M97" i="363" s="1"/>
  <c r="F74" i="350"/>
  <c r="F167" i="350" s="1"/>
  <c r="H17" i="248"/>
  <c r="H18" i="248" s="1"/>
  <c r="H104" i="248"/>
  <c r="K153" i="363"/>
  <c r="F45" i="253"/>
  <c r="I106" i="363"/>
  <c r="J127" i="248"/>
  <c r="J83" i="363"/>
  <c r="J88" i="363" s="1"/>
  <c r="M87" i="363"/>
  <c r="F31" i="253"/>
  <c r="F36" i="253" s="1"/>
  <c r="H106" i="363"/>
  <c r="M106" i="363"/>
  <c r="M107" i="363" s="1"/>
  <c r="D122" i="248"/>
  <c r="K179" i="248"/>
  <c r="G126" i="248"/>
  <c r="F128" i="248"/>
  <c r="G104" i="248"/>
  <c r="H127" i="351"/>
  <c r="H126" i="248"/>
  <c r="G113" i="248"/>
  <c r="J98" i="351"/>
  <c r="G128" i="248"/>
  <c r="F182" i="248"/>
  <c r="F189" i="248"/>
  <c r="H113" i="248"/>
  <c r="F220" i="351"/>
  <c r="D127" i="248"/>
  <c r="H128" i="248"/>
  <c r="D220" i="351"/>
  <c r="D128" i="248"/>
  <c r="G189" i="248"/>
  <c r="H15" i="133"/>
  <c r="F118" i="358"/>
  <c r="F167" i="358" s="1"/>
  <c r="F168" i="248" s="1"/>
  <c r="E54" i="86" s="1"/>
  <c r="E127" i="351"/>
  <c r="F127" i="248"/>
  <c r="H189" i="248"/>
  <c r="F5" i="351"/>
  <c r="E47" i="131"/>
  <c r="E50" i="131" s="1"/>
  <c r="E38" i="131"/>
  <c r="E40" i="131" s="1"/>
  <c r="F5" i="123" s="1"/>
  <c r="D42" i="86"/>
  <c r="D34" i="129"/>
  <c r="D15" i="88" s="1"/>
  <c r="E217" i="248"/>
  <c r="F17" i="123"/>
  <c r="E205" i="248"/>
  <c r="F101" i="123" s="1"/>
  <c r="E24" i="129"/>
  <c r="D36" i="86" s="1"/>
  <c r="E169" i="349"/>
  <c r="F55" i="123"/>
  <c r="F84" i="123" s="1"/>
  <c r="E12" i="129"/>
  <c r="E36" i="142"/>
  <c r="D29" i="133"/>
  <c r="D28" i="133" s="1"/>
  <c r="E28" i="133"/>
  <c r="E30" i="133"/>
  <c r="E220" i="351"/>
  <c r="E246" i="351" s="1"/>
  <c r="E42" i="133"/>
  <c r="E38" i="133"/>
  <c r="D38" i="133"/>
  <c r="D196" i="351"/>
  <c r="D42" i="133"/>
  <c r="D147" i="351"/>
  <c r="D246" i="351" s="1"/>
  <c r="D33" i="133"/>
  <c r="D32" i="133" s="1"/>
  <c r="E32" i="133"/>
  <c r="E15" i="133"/>
  <c r="D74" i="351"/>
  <c r="D124" i="351" s="1"/>
  <c r="D19" i="133"/>
  <c r="E98" i="351"/>
  <c r="E19" i="133"/>
  <c r="E9" i="133"/>
  <c r="D9" i="133"/>
  <c r="E25" i="351"/>
  <c r="E5" i="133"/>
  <c r="D5" i="133"/>
  <c r="D13" i="86"/>
  <c r="E173" i="358"/>
  <c r="C17" i="86"/>
  <c r="K21" i="86"/>
  <c r="Q39" i="137"/>
  <c r="E5" i="86"/>
  <c r="G92" i="123"/>
  <c r="G45" i="123"/>
  <c r="C11" i="86"/>
  <c r="E97" i="123" s="1"/>
  <c r="D46" i="88"/>
  <c r="D79" i="253"/>
  <c r="C60" i="86" s="1"/>
  <c r="H15" i="255"/>
  <c r="H6" i="127" s="1"/>
  <c r="I14" i="255"/>
  <c r="I15" i="255" s="1"/>
  <c r="I6" i="127" s="1"/>
  <c r="J46" i="123" s="1"/>
  <c r="I79" i="253"/>
  <c r="H60" i="86" s="1"/>
  <c r="J79" i="253"/>
  <c r="J60" i="86" s="1"/>
  <c r="K93" i="255"/>
  <c r="K32" i="127" s="1"/>
  <c r="C35" i="127"/>
  <c r="C58" i="133" s="1"/>
  <c r="I19" i="127"/>
  <c r="H9" i="86" s="1"/>
  <c r="F79" i="253"/>
  <c r="E60" i="86" s="1"/>
  <c r="K79" i="253"/>
  <c r="K60" i="86" s="1"/>
  <c r="L93" i="255"/>
  <c r="L32" i="127" s="1"/>
  <c r="K16" i="86" s="1"/>
  <c r="H19" i="127"/>
  <c r="G9" i="86" s="1"/>
  <c r="C79" i="253"/>
  <c r="B60" i="86" s="1"/>
  <c r="E79" i="253"/>
  <c r="D60" i="86" s="1"/>
  <c r="J27" i="255"/>
  <c r="J8" i="127" s="1"/>
  <c r="G19" i="127"/>
  <c r="F9" i="86" s="1"/>
  <c r="F17" i="88"/>
  <c r="F41" i="123"/>
  <c r="F40" i="123"/>
  <c r="B5" i="86"/>
  <c r="E45" i="123"/>
  <c r="E37" i="123" s="1"/>
  <c r="D6" i="86"/>
  <c r="D10" i="86" s="1"/>
  <c r="F86" i="123" s="1"/>
  <c r="F130" i="123" s="1"/>
  <c r="C46" i="88"/>
  <c r="C39" i="88" s="1"/>
  <c r="D7" i="123" s="1"/>
  <c r="D117" i="123" s="1"/>
  <c r="E21" i="127"/>
  <c r="E8" i="88" s="1"/>
  <c r="D17" i="86"/>
  <c r="E92" i="123"/>
  <c r="B15" i="86"/>
  <c r="B18" i="86" s="1"/>
  <c r="F47" i="123"/>
  <c r="F39" i="123" s="1"/>
  <c r="D35" i="127"/>
  <c r="E38" i="88"/>
  <c r="E18" i="88"/>
  <c r="F54" i="123"/>
  <c r="F10" i="123" s="1"/>
  <c r="F116" i="123" s="1"/>
  <c r="F92" i="123"/>
  <c r="E39" i="123"/>
  <c r="D21" i="127"/>
  <c r="D59" i="127" s="1"/>
  <c r="E40" i="123"/>
  <c r="G37" i="123"/>
  <c r="F42" i="123"/>
  <c r="K42" i="123"/>
  <c r="D167" i="134"/>
  <c r="D114" i="248"/>
  <c r="D102" i="248"/>
  <c r="D15" i="248"/>
  <c r="D5" i="248" s="1"/>
  <c r="D132" i="248" s="1"/>
  <c r="D47" i="131"/>
  <c r="D50" i="131" s="1"/>
  <c r="D51" i="131" s="1"/>
  <c r="D40" i="131"/>
  <c r="D35" i="237"/>
  <c r="E55" i="123"/>
  <c r="E84" i="123" s="1"/>
  <c r="F15" i="123"/>
  <c r="E15" i="123"/>
  <c r="D12" i="129"/>
  <c r="C35" i="86" s="1"/>
  <c r="D36" i="142"/>
  <c r="D217" i="248"/>
  <c r="D169" i="349"/>
  <c r="D24" i="129"/>
  <c r="C38" i="86"/>
  <c r="H45" i="253"/>
  <c r="I65" i="86"/>
  <c r="H65" i="86"/>
  <c r="J45" i="253"/>
  <c r="J65" i="86" s="1"/>
  <c r="K45" i="253"/>
  <c r="E65" i="86"/>
  <c r="F46" i="253"/>
  <c r="F65" i="86"/>
  <c r="G46" i="253"/>
  <c r="L106" i="363"/>
  <c r="L107" i="363" s="1"/>
  <c r="I46" i="253"/>
  <c r="K107" i="363"/>
  <c r="J46" i="253"/>
  <c r="I107" i="363"/>
  <c r="I153" i="363"/>
  <c r="H107" i="363"/>
  <c r="K29" i="253"/>
  <c r="K31" i="253" s="1"/>
  <c r="K36" i="253" s="1"/>
  <c r="L92" i="363"/>
  <c r="L97" i="363" s="1"/>
  <c r="G29" i="253"/>
  <c r="G31" i="253" s="1"/>
  <c r="G36" i="253" s="1"/>
  <c r="K23" i="253"/>
  <c r="K26" i="253" s="1"/>
  <c r="K63" i="86" s="1"/>
  <c r="I63" i="86"/>
  <c r="L88" i="363"/>
  <c r="I27" i="253"/>
  <c r="J27" i="253"/>
  <c r="H87" i="363"/>
  <c r="H88" i="363" s="1"/>
  <c r="H134" i="363"/>
  <c r="M83" i="363"/>
  <c r="M88" i="363" s="1"/>
  <c r="F22" i="253"/>
  <c r="F27" i="253" s="1"/>
  <c r="G22" i="253"/>
  <c r="G27" i="253" s="1"/>
  <c r="H17" i="253"/>
  <c r="H22" i="253" s="1"/>
  <c r="H27" i="253" s="1"/>
  <c r="I83" i="363"/>
  <c r="I88" i="363" s="1"/>
  <c r="E114" i="123"/>
  <c r="E113" i="123"/>
  <c r="K114" i="248"/>
  <c r="I118" i="248"/>
  <c r="K125" i="248"/>
  <c r="C121" i="248"/>
  <c r="F58" i="123"/>
  <c r="H125" i="248"/>
  <c r="K121" i="248"/>
  <c r="C111" i="248"/>
  <c r="K111" i="248"/>
  <c r="E111" i="248"/>
  <c r="I55" i="86"/>
  <c r="K113" i="123" s="1"/>
  <c r="H118" i="248"/>
  <c r="J114" i="248"/>
  <c r="A18" i="255"/>
  <c r="G42" i="123"/>
  <c r="J41" i="123"/>
  <c r="K46" i="136"/>
  <c r="J27" i="136"/>
  <c r="G45" i="136"/>
  <c r="G46" i="136" s="1"/>
  <c r="H53" i="86"/>
  <c r="H217" i="248"/>
  <c r="F134" i="248"/>
  <c r="J102" i="248"/>
  <c r="I15" i="248"/>
  <c r="I102" i="248"/>
  <c r="G119" i="248"/>
  <c r="G121" i="248" s="1"/>
  <c r="G89" i="248"/>
  <c r="F89" i="248"/>
  <c r="F119" i="248"/>
  <c r="F121" i="248" s="1"/>
  <c r="H82" i="248"/>
  <c r="G74" i="367"/>
  <c r="G167" i="367" s="1"/>
  <c r="G82" i="248"/>
  <c r="F167" i="367"/>
  <c r="H112" i="248"/>
  <c r="F112" i="248"/>
  <c r="F114" i="248" s="1"/>
  <c r="F82" i="248"/>
  <c r="H107" i="248"/>
  <c r="G107" i="248"/>
  <c r="F107" i="248"/>
  <c r="G79" i="248"/>
  <c r="F79" i="248"/>
  <c r="F103" i="248"/>
  <c r="G103" i="248"/>
  <c r="H103" i="248"/>
  <c r="H102" i="248"/>
  <c r="H79" i="248"/>
  <c r="J170" i="367"/>
  <c r="J54" i="86"/>
  <c r="I54" i="86"/>
  <c r="I170" i="367"/>
  <c r="G167" i="358"/>
  <c r="G168" i="248" s="1"/>
  <c r="H167" i="358"/>
  <c r="H168" i="248" s="1"/>
  <c r="H170" i="367" s="1"/>
  <c r="F54" i="86"/>
  <c r="H54" i="86"/>
  <c r="H74" i="349"/>
  <c r="G182" i="248"/>
  <c r="F74" i="349"/>
  <c r="F167" i="349" s="1"/>
  <c r="H180" i="248"/>
  <c r="H182" i="248" s="1"/>
  <c r="G74" i="349"/>
  <c r="H6" i="349"/>
  <c r="G6" i="349"/>
  <c r="H179" i="248"/>
  <c r="H169" i="248" s="1"/>
  <c r="F179" i="248"/>
  <c r="F169" i="248" s="1"/>
  <c r="E56" i="86" s="1"/>
  <c r="G170" i="248"/>
  <c r="G179" i="248" s="1"/>
  <c r="G169" i="248" s="1"/>
  <c r="H17" i="123" s="1"/>
  <c r="H47" i="248"/>
  <c r="G47" i="248"/>
  <c r="G102" i="248"/>
  <c r="F102" i="248"/>
  <c r="F47" i="248"/>
  <c r="F37" i="248" s="1"/>
  <c r="G112" i="248"/>
  <c r="G114" i="248" s="1"/>
  <c r="G18" i="248"/>
  <c r="H167" i="134"/>
  <c r="G6" i="134"/>
  <c r="G167" i="134" s="1"/>
  <c r="G15" i="248"/>
  <c r="G105" i="248"/>
  <c r="H105" i="248"/>
  <c r="H15" i="248"/>
  <c r="H5" i="248" s="1"/>
  <c r="F105" i="248"/>
  <c r="F15" i="248"/>
  <c r="F5" i="248" s="1"/>
  <c r="F6" i="134"/>
  <c r="F167" i="134" s="1"/>
  <c r="L17" i="128"/>
  <c r="L20" i="128" s="1"/>
  <c r="L13" i="128" s="1"/>
  <c r="L14" i="128" s="1"/>
  <c r="L8" i="129" s="1"/>
  <c r="L35" i="237" s="1"/>
  <c r="K13" i="128"/>
  <c r="K14" i="128" s="1"/>
  <c r="K8" i="129" s="1"/>
  <c r="K38" i="88" s="1"/>
  <c r="H23" i="88"/>
  <c r="G45" i="86"/>
  <c r="I38" i="131"/>
  <c r="I40" i="131" s="1"/>
  <c r="I23" i="88" s="1"/>
  <c r="H51" i="131"/>
  <c r="G50" i="131"/>
  <c r="G51" i="131" s="1"/>
  <c r="F50" i="131"/>
  <c r="F51" i="131" s="1"/>
  <c r="H5" i="237"/>
  <c r="H6" i="237" s="1"/>
  <c r="H8" i="237" s="1"/>
  <c r="G48" i="86" s="1"/>
  <c r="H43" i="86"/>
  <c r="I5" i="123"/>
  <c r="F45" i="86"/>
  <c r="H5" i="123"/>
  <c r="F40" i="131"/>
  <c r="I11" i="88"/>
  <c r="I48" i="129"/>
  <c r="H39" i="86" s="1"/>
  <c r="H11" i="88"/>
  <c r="H48" i="129"/>
  <c r="G39" i="86" s="1"/>
  <c r="G48" i="129"/>
  <c r="F39" i="86" s="1"/>
  <c r="G11" i="88"/>
  <c r="F48" i="129"/>
  <c r="E39" i="86" s="1"/>
  <c r="F11" i="88"/>
  <c r="K71" i="144"/>
  <c r="L39" i="129"/>
  <c r="K38" i="86" s="1"/>
  <c r="L11" i="88"/>
  <c r="K11" i="88"/>
  <c r="K39" i="129"/>
  <c r="J38" i="86" s="1"/>
  <c r="J71" i="144"/>
  <c r="K37" i="86"/>
  <c r="J37" i="86"/>
  <c r="I40" i="129"/>
  <c r="H37" i="86"/>
  <c r="H40" i="129"/>
  <c r="F15" i="88"/>
  <c r="E37" i="86"/>
  <c r="I24" i="129"/>
  <c r="H36" i="86" s="1"/>
  <c r="G24" i="129"/>
  <c r="F36" i="86" s="1"/>
  <c r="H24" i="129"/>
  <c r="G36" i="86" s="1"/>
  <c r="G217" i="248"/>
  <c r="F217" i="248"/>
  <c r="F24" i="129"/>
  <c r="E36" i="86" s="1"/>
  <c r="L15" i="88"/>
  <c r="K36" i="142"/>
  <c r="J36" i="142"/>
  <c r="K15" i="88"/>
  <c r="H15" i="88"/>
  <c r="H36" i="142"/>
  <c r="I15" i="88"/>
  <c r="G36" i="142"/>
  <c r="G6" i="237"/>
  <c r="G8" i="237" s="1"/>
  <c r="F48" i="86" s="1"/>
  <c r="I55" i="123"/>
  <c r="H35" i="237"/>
  <c r="I35" i="237"/>
  <c r="J55" i="123"/>
  <c r="G84" i="123" s="1"/>
  <c r="J15" i="123"/>
  <c r="I12" i="129"/>
  <c r="H35" i="86" s="1"/>
  <c r="G35" i="237"/>
  <c r="G12" i="129"/>
  <c r="G13" i="88" s="1"/>
  <c r="H55" i="123"/>
  <c r="I15" i="123"/>
  <c r="H12" i="129"/>
  <c r="G15" i="123"/>
  <c r="F12" i="129"/>
  <c r="H15" i="123"/>
  <c r="F35" i="237"/>
  <c r="G55" i="123"/>
  <c r="Q25" i="300"/>
  <c r="P25" i="300"/>
  <c r="K63" i="126"/>
  <c r="J63" i="126"/>
  <c r="O25" i="300"/>
  <c r="N19" i="300"/>
  <c r="N25" i="300" s="1"/>
  <c r="I109" i="123"/>
  <c r="I108" i="123"/>
  <c r="I110" i="123"/>
  <c r="H109" i="123"/>
  <c r="E32" i="86"/>
  <c r="G110" i="123" s="1"/>
  <c r="G107" i="123"/>
  <c r="F74" i="126"/>
  <c r="F85" i="126" s="1"/>
  <c r="I63" i="126"/>
  <c r="I85" i="126" s="1"/>
  <c r="F63" i="126"/>
  <c r="F27" i="86"/>
  <c r="H112" i="123" s="1"/>
  <c r="E27" i="86"/>
  <c r="G112" i="123" s="1"/>
  <c r="Q6" i="140"/>
  <c r="E6" i="294"/>
  <c r="Q8" i="140"/>
  <c r="E8" i="294"/>
  <c r="J39" i="343"/>
  <c r="J9" i="126" s="1"/>
  <c r="U28" i="343"/>
  <c r="A320" i="343"/>
  <c r="U39" i="343"/>
  <c r="K50" i="343"/>
  <c r="K10" i="126" s="1"/>
  <c r="P9" i="140" s="1"/>
  <c r="K39" i="343"/>
  <c r="K9" i="126" s="1"/>
  <c r="K17" i="343"/>
  <c r="K7" i="126" s="1"/>
  <c r="D6" i="294" s="1"/>
  <c r="J22" i="343"/>
  <c r="J17" i="343" s="1"/>
  <c r="K20" i="343"/>
  <c r="K11" i="343"/>
  <c r="K6" i="343" s="1"/>
  <c r="E17" i="294"/>
  <c r="C21" i="126"/>
  <c r="E15" i="294"/>
  <c r="H21" i="126"/>
  <c r="L172" i="343"/>
  <c r="L343" i="343" s="1"/>
  <c r="A233" i="343"/>
  <c r="J6" i="343"/>
  <c r="J6" i="126" s="1"/>
  <c r="E21" i="126"/>
  <c r="Q39" i="343"/>
  <c r="Q28" i="343"/>
  <c r="F21" i="126"/>
  <c r="C9" i="294"/>
  <c r="O9" i="140"/>
  <c r="N9" i="140" s="1"/>
  <c r="C14" i="294"/>
  <c r="O14" i="140"/>
  <c r="N14" i="140" s="1"/>
  <c r="D8" i="294"/>
  <c r="P8" i="140"/>
  <c r="D14" i="294"/>
  <c r="P14" i="140"/>
  <c r="C8" i="294"/>
  <c r="O8" i="140"/>
  <c r="N8" i="140" s="1"/>
  <c r="C10" i="294"/>
  <c r="O10" i="140"/>
  <c r="N10" i="140" s="1"/>
  <c r="A276" i="343"/>
  <c r="G21" i="126"/>
  <c r="E13" i="294"/>
  <c r="Q13" i="140"/>
  <c r="K73" i="343"/>
  <c r="K12" i="126" s="1"/>
  <c r="D18" i="294"/>
  <c r="J117" i="343"/>
  <c r="J16" i="126" s="1"/>
  <c r="K95" i="343"/>
  <c r="K14" i="126" s="1"/>
  <c r="E39" i="126"/>
  <c r="U150" i="343"/>
  <c r="J140" i="343"/>
  <c r="J139" i="343" s="1"/>
  <c r="J18" i="126" s="1"/>
  <c r="Q139" i="343"/>
  <c r="A17" i="294"/>
  <c r="A36" i="294" s="1"/>
  <c r="A36" i="126"/>
  <c r="A35" i="140" s="1"/>
  <c r="A265" i="343"/>
  <c r="Q27" i="140"/>
  <c r="Q38" i="140" s="1"/>
  <c r="E9" i="294"/>
  <c r="J165" i="343"/>
  <c r="J161" i="343" s="1"/>
  <c r="J20" i="126" s="1"/>
  <c r="Q161" i="343"/>
  <c r="K139" i="343"/>
  <c r="K18" i="126" s="1"/>
  <c r="K138" i="343"/>
  <c r="K128" i="343" s="1"/>
  <c r="K17" i="126" s="1"/>
  <c r="U128" i="343"/>
  <c r="J28" i="343"/>
  <c r="J8" i="126" s="1"/>
  <c r="E5" i="294"/>
  <c r="A12" i="126"/>
  <c r="A243" i="343"/>
  <c r="K84" i="343"/>
  <c r="K13" i="126" s="1"/>
  <c r="K61" i="343"/>
  <c r="K11" i="126" s="1"/>
  <c r="A25" i="126"/>
  <c r="A24" i="140" s="1"/>
  <c r="A6" i="140"/>
  <c r="E16" i="294"/>
  <c r="K28" i="343"/>
  <c r="K8" i="126" s="1"/>
  <c r="E7" i="294"/>
  <c r="P38" i="140"/>
  <c r="F39" i="126"/>
  <c r="K162" i="343"/>
  <c r="K161" i="343" s="1"/>
  <c r="K20" i="126" s="1"/>
  <c r="U161" i="343"/>
  <c r="J152" i="343"/>
  <c r="J150" i="343" s="1"/>
  <c r="J19" i="126" s="1"/>
  <c r="Q150" i="343"/>
  <c r="J73" i="343"/>
  <c r="J12" i="126" s="1"/>
  <c r="J132" i="343"/>
  <c r="J128" i="343" s="1"/>
  <c r="J17" i="126" s="1"/>
  <c r="Q128" i="343"/>
  <c r="K117" i="343"/>
  <c r="K16" i="126" s="1"/>
  <c r="A33" i="126"/>
  <c r="A32" i="140" s="1"/>
  <c r="O12" i="140"/>
  <c r="N12" i="140" s="1"/>
  <c r="Q10" i="140"/>
  <c r="J39" i="126"/>
  <c r="J23" i="128" s="1"/>
  <c r="J26" i="128" s="1"/>
  <c r="J19" i="129" s="1"/>
  <c r="A287" i="343"/>
  <c r="A16" i="126"/>
  <c r="E19" i="294"/>
  <c r="Q19" i="140"/>
  <c r="L39" i="126"/>
  <c r="D21" i="126"/>
  <c r="L21" i="126"/>
  <c r="K39" i="126"/>
  <c r="O38" i="140"/>
  <c r="N23" i="140"/>
  <c r="C39" i="126"/>
  <c r="G342" i="343"/>
  <c r="G343" i="343" s="1"/>
  <c r="I342" i="343"/>
  <c r="I343" i="343" s="1"/>
  <c r="I39" i="126"/>
  <c r="I40" i="126" s="1"/>
  <c r="J57" i="123" s="1"/>
  <c r="J18" i="123" s="1"/>
  <c r="H39" i="126"/>
  <c r="G39" i="126"/>
  <c r="F342" i="343"/>
  <c r="F343" i="343" s="1"/>
  <c r="H91" i="255"/>
  <c r="H93" i="255" s="1"/>
  <c r="H32" i="127" s="1"/>
  <c r="G16" i="86" s="1"/>
  <c r="H64" i="305"/>
  <c r="G91" i="255"/>
  <c r="G93" i="255" s="1"/>
  <c r="G32" i="127" s="1"/>
  <c r="F16" i="86" s="1"/>
  <c r="G64" i="305"/>
  <c r="G17" i="86"/>
  <c r="F17" i="86"/>
  <c r="H17" i="86"/>
  <c r="E17" i="86"/>
  <c r="Q31" i="137"/>
  <c r="K17" i="86"/>
  <c r="J17" i="86"/>
  <c r="P31" i="137"/>
  <c r="J16" i="86"/>
  <c r="P32" i="137"/>
  <c r="Q29" i="137"/>
  <c r="K15" i="86"/>
  <c r="P29" i="137"/>
  <c r="K13" i="86"/>
  <c r="Q27" i="137"/>
  <c r="J13" i="86"/>
  <c r="P27" i="137"/>
  <c r="K173" i="358"/>
  <c r="H13" i="86"/>
  <c r="I173" i="358"/>
  <c r="G13" i="86"/>
  <c r="H173" i="358"/>
  <c r="F13" i="86"/>
  <c r="G173" i="358"/>
  <c r="E13" i="86"/>
  <c r="Q24" i="137"/>
  <c r="L46" i="88"/>
  <c r="K11" i="86"/>
  <c r="K35" i="127"/>
  <c r="J348" i="342" s="1"/>
  <c r="K46" i="88"/>
  <c r="J11" i="86"/>
  <c r="P24" i="137"/>
  <c r="G11" i="86"/>
  <c r="F11" i="86"/>
  <c r="H11" i="86"/>
  <c r="I35" i="127"/>
  <c r="I7" i="88" s="1"/>
  <c r="J121" i="123" s="1"/>
  <c r="I46" i="88"/>
  <c r="E11" i="86"/>
  <c r="Q19" i="137"/>
  <c r="K9" i="86"/>
  <c r="J9" i="86"/>
  <c r="P19" i="137"/>
  <c r="J47" i="123"/>
  <c r="J39" i="123" s="1"/>
  <c r="L46" i="123"/>
  <c r="P6" i="137"/>
  <c r="Q9" i="137"/>
  <c r="M49" i="123"/>
  <c r="P9" i="137"/>
  <c r="L49" i="123"/>
  <c r="I58" i="253"/>
  <c r="I60" i="253" s="1"/>
  <c r="K126" i="123" s="1"/>
  <c r="G34" i="255"/>
  <c r="G9" i="127" s="1"/>
  <c r="H49" i="123" s="1"/>
  <c r="I41" i="123" s="1"/>
  <c r="G41" i="123"/>
  <c r="M48" i="123"/>
  <c r="Q8" i="137"/>
  <c r="K60" i="253"/>
  <c r="K59" i="86" s="1"/>
  <c r="P8" i="137"/>
  <c r="L48" i="123"/>
  <c r="J60" i="253"/>
  <c r="J59" i="86" s="1"/>
  <c r="J40" i="123"/>
  <c r="I40" i="123"/>
  <c r="H40" i="123"/>
  <c r="G40" i="123"/>
  <c r="F60" i="253"/>
  <c r="G126" i="123" s="1"/>
  <c r="Q7" i="137"/>
  <c r="M47" i="123"/>
  <c r="L47" i="123"/>
  <c r="P7" i="137"/>
  <c r="J6" i="86"/>
  <c r="I39" i="123"/>
  <c r="G60" i="253"/>
  <c r="F59" i="86" s="1"/>
  <c r="H39" i="123"/>
  <c r="M46" i="123"/>
  <c r="K6" i="86"/>
  <c r="Q6" i="137"/>
  <c r="M54" i="123"/>
  <c r="M93" i="123"/>
  <c r="J15" i="255"/>
  <c r="J6" i="127" s="1"/>
  <c r="H57" i="253"/>
  <c r="H60" i="253" s="1"/>
  <c r="C38" i="88"/>
  <c r="E93" i="123"/>
  <c r="C18" i="88"/>
  <c r="D17" i="88"/>
  <c r="C21" i="127"/>
  <c r="D46" i="123"/>
  <c r="B6" i="86"/>
  <c r="D54" i="123"/>
  <c r="D10" i="123" s="1"/>
  <c r="G6" i="86"/>
  <c r="J93" i="123"/>
  <c r="I93" i="123"/>
  <c r="I46" i="123"/>
  <c r="H46" i="123"/>
  <c r="G46" i="123"/>
  <c r="G93" i="123"/>
  <c r="F21" i="127"/>
  <c r="F18" i="88"/>
  <c r="E6" i="86"/>
  <c r="F38" i="88"/>
  <c r="G54" i="123"/>
  <c r="G10" i="123" s="1"/>
  <c r="G116" i="123" s="1"/>
  <c r="G17" i="88"/>
  <c r="H93" i="123"/>
  <c r="L21" i="127"/>
  <c r="K5" i="86"/>
  <c r="M45" i="123"/>
  <c r="K21" i="127"/>
  <c r="P5" i="137"/>
  <c r="M92" i="123"/>
  <c r="J5" i="86"/>
  <c r="L45" i="123"/>
  <c r="L54" i="123"/>
  <c r="H92" i="123"/>
  <c r="F5" i="86"/>
  <c r="H45" i="123"/>
  <c r="H21" i="127"/>
  <c r="I45" i="123"/>
  <c r="H18" i="88"/>
  <c r="G5" i="86"/>
  <c r="I92" i="123"/>
  <c r="I54" i="123"/>
  <c r="I10" i="123" s="1"/>
  <c r="H36" i="237" s="1"/>
  <c r="H29" i="237" s="1"/>
  <c r="H32" i="237" s="1"/>
  <c r="H14" i="237" s="1"/>
  <c r="H18" i="237" s="1"/>
  <c r="I17" i="88"/>
  <c r="H38" i="88"/>
  <c r="J45" i="123"/>
  <c r="J92" i="123"/>
  <c r="H5" i="86"/>
  <c r="I18" i="88"/>
  <c r="K339" i="342"/>
  <c r="I339" i="342"/>
  <c r="I28" i="233"/>
  <c r="O28" i="299" s="1"/>
  <c r="N28" i="299" s="1"/>
  <c r="J38" i="233"/>
  <c r="H339" i="342"/>
  <c r="G38" i="233"/>
  <c r="H38" i="233"/>
  <c r="G341" i="342"/>
  <c r="F38" i="233"/>
  <c r="K171" i="342"/>
  <c r="J171" i="342"/>
  <c r="J341" i="342" s="1"/>
  <c r="I171" i="342"/>
  <c r="I20" i="233"/>
  <c r="E20" i="233"/>
  <c r="C20" i="233"/>
  <c r="P20" i="299"/>
  <c r="Q38" i="299"/>
  <c r="Q20" i="299"/>
  <c r="O5" i="299"/>
  <c r="O35" i="299"/>
  <c r="N35" i="299" s="1"/>
  <c r="P23" i="299"/>
  <c r="P38" i="299" s="1"/>
  <c r="K20" i="233"/>
  <c r="J20" i="233"/>
  <c r="A19" i="233"/>
  <c r="K38" i="233"/>
  <c r="A13" i="233"/>
  <c r="A18" i="233"/>
  <c r="A18" i="299" s="1"/>
  <c r="A36" i="299" s="1"/>
  <c r="H20" i="233"/>
  <c r="A10" i="233"/>
  <c r="H2" i="246" s="1"/>
  <c r="F171" i="342"/>
  <c r="F341" i="342" s="1"/>
  <c r="F6" i="233"/>
  <c r="F20" i="233" s="1"/>
  <c r="J25" i="351"/>
  <c r="I127" i="351"/>
  <c r="K127" i="351"/>
  <c r="K147" i="351"/>
  <c r="K38" i="133"/>
  <c r="Q38" i="298" s="1"/>
  <c r="I38" i="133"/>
  <c r="O38" i="298" s="1"/>
  <c r="N38" i="298" s="1"/>
  <c r="I147" i="351"/>
  <c r="O39" i="298"/>
  <c r="N39" i="298" s="1"/>
  <c r="K220" i="351"/>
  <c r="I220" i="351"/>
  <c r="J220" i="351"/>
  <c r="Q43" i="298"/>
  <c r="K42" i="133"/>
  <c r="Q42" i="298" s="1"/>
  <c r="J42" i="133"/>
  <c r="P42" i="298" s="1"/>
  <c r="P43" i="298"/>
  <c r="O43" i="298"/>
  <c r="N43" i="298" s="1"/>
  <c r="I42" i="133"/>
  <c r="O42" i="298" s="1"/>
  <c r="N42" i="298" s="1"/>
  <c r="K32" i="133"/>
  <c r="Q32" i="298" s="1"/>
  <c r="J32" i="133"/>
  <c r="P32" i="298" s="1"/>
  <c r="P33" i="298"/>
  <c r="O33" i="298"/>
  <c r="N33" i="298" s="1"/>
  <c r="I32" i="133"/>
  <c r="O32" i="298" s="1"/>
  <c r="N32" i="298" s="1"/>
  <c r="J127" i="351"/>
  <c r="K31" i="133"/>
  <c r="Q31" i="298" s="1"/>
  <c r="Q39" i="298"/>
  <c r="P39" i="298"/>
  <c r="J38" i="133"/>
  <c r="P38" i="298" s="1"/>
  <c r="Q29" i="298"/>
  <c r="P29" i="298"/>
  <c r="J28" i="133"/>
  <c r="O29" i="298"/>
  <c r="N29" i="298" s="1"/>
  <c r="I28" i="133"/>
  <c r="K17" i="133"/>
  <c r="Q17" i="298" s="1"/>
  <c r="I98" i="351"/>
  <c r="Q20" i="298"/>
  <c r="K19" i="133"/>
  <c r="Q19" i="298" s="1"/>
  <c r="J19" i="133"/>
  <c r="P19" i="298" s="1"/>
  <c r="I19" i="133"/>
  <c r="O19" i="298" s="1"/>
  <c r="N19" i="298" s="1"/>
  <c r="O20" i="298"/>
  <c r="N20" i="298" s="1"/>
  <c r="J74" i="351"/>
  <c r="J124" i="351" s="1"/>
  <c r="I74" i="351"/>
  <c r="Q16" i="298"/>
  <c r="J15" i="133"/>
  <c r="P15" i="298" s="1"/>
  <c r="P16" i="298"/>
  <c r="O16" i="298"/>
  <c r="N16" i="298" s="1"/>
  <c r="I15" i="133"/>
  <c r="O15" i="298" s="1"/>
  <c r="N15" i="298" s="1"/>
  <c r="J14" i="133"/>
  <c r="P14" i="298" s="1"/>
  <c r="I25" i="351"/>
  <c r="Q10" i="298"/>
  <c r="K9" i="133"/>
  <c r="Q9" i="298" s="1"/>
  <c r="K25" i="351"/>
  <c r="K124" i="351" s="1"/>
  <c r="P10" i="298"/>
  <c r="O10" i="298"/>
  <c r="N10" i="298" s="1"/>
  <c r="I9" i="133"/>
  <c r="O9" i="298" s="1"/>
  <c r="N9" i="298" s="1"/>
  <c r="J5" i="133"/>
  <c r="P5" i="298" s="1"/>
  <c r="I5" i="351"/>
  <c r="I5" i="133"/>
  <c r="O5" i="298" s="1"/>
  <c r="N5" i="298" s="1"/>
  <c r="O7" i="298"/>
  <c r="N7" i="298" s="1"/>
  <c r="P6" i="298"/>
  <c r="Q6" i="298"/>
  <c r="K5" i="133"/>
  <c r="O24" i="298"/>
  <c r="N24" i="298" s="1"/>
  <c r="G42" i="133"/>
  <c r="H42" i="133"/>
  <c r="F42" i="133"/>
  <c r="H220" i="351"/>
  <c r="H38" i="133"/>
  <c r="G38" i="133"/>
  <c r="F38" i="133"/>
  <c r="H147" i="351"/>
  <c r="F147" i="351"/>
  <c r="G147" i="351"/>
  <c r="G32" i="133"/>
  <c r="H32" i="133"/>
  <c r="F32" i="133"/>
  <c r="F127" i="351"/>
  <c r="H30" i="133"/>
  <c r="H28" i="133" s="1"/>
  <c r="G127" i="351"/>
  <c r="G28" i="133"/>
  <c r="F28" i="133"/>
  <c r="F98" i="351"/>
  <c r="H19" i="133"/>
  <c r="F19" i="133"/>
  <c r="G19" i="133"/>
  <c r="G74" i="351"/>
  <c r="G15" i="133"/>
  <c r="F17" i="133"/>
  <c r="F15" i="133" s="1"/>
  <c r="H74" i="351"/>
  <c r="H9" i="133"/>
  <c r="G9" i="133"/>
  <c r="F25" i="351"/>
  <c r="G25" i="351"/>
  <c r="F10" i="133"/>
  <c r="F9" i="133" s="1"/>
  <c r="G5" i="351"/>
  <c r="G5" i="133"/>
  <c r="B8" i="355"/>
  <c r="C2356" i="364"/>
  <c r="C2132" i="364"/>
  <c r="C1377" i="364"/>
  <c r="C797" i="364"/>
  <c r="C2663" i="364"/>
  <c r="C392" i="364"/>
  <c r="C2308" i="364"/>
  <c r="C2088" i="364"/>
  <c r="C419" i="364"/>
  <c r="C1746" i="364"/>
  <c r="C1382" i="364"/>
  <c r="C308" i="364"/>
  <c r="C1411" i="364"/>
  <c r="C2519" i="364"/>
  <c r="C1579" i="364"/>
  <c r="C2828" i="364"/>
  <c r="C2504" i="364"/>
  <c r="C519" i="364"/>
  <c r="C1467" i="364"/>
  <c r="C65" i="364"/>
  <c r="C2254" i="364"/>
  <c r="C1082" i="364"/>
  <c r="C1785" i="364"/>
  <c r="C2435" i="364"/>
  <c r="C2669" i="364"/>
  <c r="C207" i="364"/>
  <c r="C2830" i="364"/>
  <c r="C1297" i="364"/>
  <c r="C525" i="364"/>
  <c r="C1882" i="364"/>
  <c r="C161" i="364"/>
  <c r="C2689" i="364"/>
  <c r="C2060" i="364"/>
  <c r="C2471" i="364"/>
  <c r="C1238" i="364"/>
  <c r="C2099" i="364"/>
  <c r="C135" i="364"/>
  <c r="C432" i="364"/>
  <c r="C1192" i="364"/>
  <c r="C322" i="364"/>
  <c r="C1450" i="364"/>
  <c r="C2498" i="364"/>
  <c r="C2071" i="364"/>
  <c r="C2206" i="364"/>
  <c r="C496" i="364"/>
  <c r="C2713" i="364"/>
  <c r="C1827" i="364"/>
  <c r="C580" i="364"/>
  <c r="C2076" i="364"/>
  <c r="C553" i="364"/>
  <c r="C987" i="364"/>
  <c r="C1654" i="364"/>
  <c r="C2606" i="364"/>
  <c r="C1513" i="364"/>
  <c r="C1826" i="364"/>
  <c r="C1318" i="364"/>
  <c r="C2137" i="364"/>
  <c r="C2657" i="364"/>
  <c r="C1486" i="364"/>
  <c r="C1129" i="364"/>
  <c r="C2594" i="364"/>
  <c r="C1767" i="364"/>
  <c r="C1468" i="364"/>
  <c r="C2219" i="364"/>
  <c r="C289" i="364"/>
  <c r="C2650" i="364"/>
  <c r="C279" i="364"/>
  <c r="C1137" i="364"/>
  <c r="C2049" i="364"/>
  <c r="C2220" i="364"/>
  <c r="C1544" i="364"/>
  <c r="C878" i="364"/>
  <c r="C2127" i="364"/>
  <c r="C1433" i="364"/>
  <c r="C1710" i="364"/>
  <c r="C607" i="364"/>
  <c r="C1745" i="364"/>
  <c r="C111" i="364"/>
  <c r="C725" i="364"/>
  <c r="C2513" i="364"/>
  <c r="C858" i="364"/>
  <c r="C784" i="364"/>
  <c r="C2706" i="364"/>
  <c r="C366" i="364"/>
  <c r="C2422" i="364"/>
  <c r="C2636" i="364"/>
  <c r="C1840" i="364"/>
  <c r="C2562" i="364"/>
  <c r="C1007" i="364"/>
  <c r="C2522" i="364"/>
  <c r="C2720" i="364"/>
  <c r="C1818" i="364"/>
  <c r="C2676" i="364"/>
  <c r="C1361" i="364"/>
  <c r="C229" i="364"/>
  <c r="C165" i="364"/>
  <c r="C548" i="364"/>
  <c r="C963" i="364"/>
  <c r="C2520" i="364"/>
  <c r="C1323" i="364"/>
  <c r="C2314" i="364"/>
  <c r="C2030" i="364"/>
  <c r="C17" i="364"/>
  <c r="C21" i="364"/>
  <c r="C303" i="364"/>
  <c r="C2726" i="364"/>
  <c r="C1084" i="364"/>
  <c r="C2700" i="364"/>
  <c r="C2865" i="364"/>
  <c r="C2188" i="364"/>
  <c r="C375" i="364"/>
  <c r="C2571" i="364"/>
  <c r="C957" i="364"/>
  <c r="C355" i="364"/>
  <c r="C1202" i="364"/>
  <c r="C1942" i="364"/>
  <c r="C2466" i="364"/>
  <c r="C1877" i="364"/>
  <c r="C1890" i="364"/>
  <c r="C612" i="364"/>
  <c r="C2605" i="364"/>
  <c r="C1342" i="364"/>
  <c r="C1464" i="364"/>
  <c r="C884" i="364"/>
  <c r="C1432" i="364"/>
  <c r="C1444" i="364"/>
  <c r="C2683" i="364"/>
  <c r="C972" i="364"/>
  <c r="C2273" i="364"/>
  <c r="C2718" i="364"/>
  <c r="C2790" i="364"/>
  <c r="C1539" i="364"/>
  <c r="C2681" i="364"/>
  <c r="C2445" i="364"/>
  <c r="C57" i="364"/>
  <c r="C141" i="364"/>
  <c r="C129" i="364"/>
  <c r="C2067" i="364"/>
  <c r="C1055" i="364"/>
  <c r="C2808" i="364"/>
  <c r="C236" i="364"/>
  <c r="C1189" i="364"/>
  <c r="C2527" i="364"/>
  <c r="C93" i="364"/>
  <c r="C1606" i="364"/>
  <c r="C1538" i="364"/>
  <c r="C1553" i="364"/>
  <c r="C825" i="364"/>
  <c r="C2436" i="364"/>
  <c r="C49" i="364"/>
  <c r="C2000" i="364"/>
  <c r="C695" i="364"/>
  <c r="C1918" i="364"/>
  <c r="C2039" i="364"/>
  <c r="C2693" i="364"/>
  <c r="C948" i="364"/>
  <c r="C590" i="364"/>
  <c r="C736" i="364"/>
  <c r="C787" i="364"/>
  <c r="C2872" i="364"/>
  <c r="C879" i="364"/>
  <c r="C1405" i="364"/>
  <c r="C1125" i="364"/>
  <c r="C491" i="364"/>
  <c r="C284" i="364"/>
  <c r="C2674" i="364"/>
  <c r="C624" i="364"/>
  <c r="C760" i="364"/>
  <c r="C230" i="364"/>
  <c r="C403" i="364"/>
  <c r="C1477" i="364"/>
  <c r="C772" i="364"/>
  <c r="C1711" i="364"/>
  <c r="C475" i="364"/>
  <c r="C2604" i="364"/>
  <c r="C2374" i="364"/>
  <c r="C2211" i="364"/>
  <c r="C376" i="364"/>
  <c r="C2205" i="364"/>
  <c r="C964" i="364"/>
  <c r="A1" i="363"/>
  <c r="C2066" i="364"/>
  <c r="C2782" i="364"/>
  <c r="C478" i="364"/>
  <c r="C2345" i="364"/>
  <c r="C2480" i="364"/>
  <c r="C1589" i="364"/>
  <c r="C2758" i="364"/>
  <c r="C2472" i="364"/>
  <c r="C903" i="364"/>
  <c r="C1585" i="364"/>
  <c r="C643" i="364"/>
  <c r="C2401" i="364"/>
  <c r="C1915" i="364"/>
  <c r="C2013" i="364"/>
  <c r="C831" i="364"/>
  <c r="C2040" i="364"/>
  <c r="C2755" i="364"/>
  <c r="C997" i="364"/>
  <c r="C1196" i="364"/>
  <c r="C1389" i="364"/>
  <c r="C2214" i="364"/>
  <c r="C969" i="364"/>
  <c r="C2398" i="364"/>
  <c r="C996" i="364"/>
  <c r="C2626" i="364"/>
  <c r="C1773" i="364"/>
  <c r="C1440" i="364"/>
  <c r="C2431" i="364"/>
  <c r="C622" i="364"/>
  <c r="C512" i="364"/>
  <c r="C448" i="364"/>
  <c r="C1976" i="364"/>
  <c r="C933" i="364"/>
  <c r="C2611" i="364"/>
  <c r="C2226" i="364"/>
  <c r="C1166" i="364"/>
  <c r="C2648" i="364"/>
  <c r="C1451" i="364"/>
  <c r="C2827" i="364"/>
  <c r="C2200" i="364"/>
  <c r="C583" i="364"/>
  <c r="C1230" i="364"/>
  <c r="C255" i="364"/>
  <c r="C2142" i="364"/>
  <c r="C1596" i="364"/>
  <c r="C2245" i="364"/>
  <c r="C354" i="364"/>
  <c r="C2414" i="364"/>
  <c r="C335" i="364"/>
  <c r="C2785" i="364"/>
  <c r="C1085" i="364"/>
  <c r="C397" i="364"/>
  <c r="C1546" i="364"/>
  <c r="C1473" i="364"/>
  <c r="A1" i="146"/>
  <c r="C1378" i="364"/>
  <c r="C877" i="364"/>
  <c r="C651" i="364"/>
  <c r="C660" i="364"/>
  <c r="C1712" i="364"/>
  <c r="C1080" i="364"/>
  <c r="C286" i="364"/>
  <c r="C2745" i="364"/>
  <c r="C2652" i="364"/>
  <c r="C1346" i="364"/>
  <c r="C1131" i="364"/>
  <c r="C1754" i="364"/>
  <c r="C1452" i="364"/>
  <c r="C381" i="364"/>
  <c r="C1603" i="364"/>
  <c r="C2363" i="364"/>
  <c r="C2687" i="364"/>
  <c r="C2461" i="364"/>
  <c r="C1228" i="364"/>
  <c r="C1825" i="364"/>
  <c r="C2841" i="364"/>
  <c r="C2115" i="364"/>
  <c r="C1305" i="364"/>
  <c r="C2799" i="364"/>
  <c r="C2120" i="364"/>
  <c r="C1755" i="364"/>
  <c r="C1333" i="364"/>
  <c r="C2410" i="364"/>
  <c r="C2397" i="364"/>
  <c r="C1524" i="364"/>
  <c r="C1373" i="364"/>
  <c r="C301" i="364"/>
  <c r="C1783" i="364"/>
  <c r="C1587" i="364"/>
  <c r="C1525" i="364"/>
  <c r="C980" i="364"/>
  <c r="C2003" i="364"/>
  <c r="C1298" i="364"/>
  <c r="C1337" i="364"/>
  <c r="C843" i="364"/>
  <c r="C1729" i="364"/>
  <c r="C1779" i="364"/>
  <c r="C97" i="364"/>
  <c r="C2554" i="364"/>
  <c r="C621" i="364"/>
  <c r="C1324" i="364"/>
  <c r="C2379" i="364"/>
  <c r="C946" i="364"/>
  <c r="C984" i="364"/>
  <c r="C2456" i="364"/>
  <c r="C1584" i="364"/>
  <c r="C745" i="364"/>
  <c r="C1772" i="364"/>
  <c r="C2024" i="364"/>
  <c r="C1967" i="364"/>
  <c r="C2851" i="364"/>
  <c r="C1861" i="364"/>
  <c r="C2170" i="364"/>
  <c r="C1163" i="364"/>
  <c r="C2058" i="364"/>
  <c r="C1973" i="364"/>
  <c r="C2508" i="364"/>
  <c r="C101" i="364"/>
  <c r="C599" i="364"/>
  <c r="C2469" i="364"/>
  <c r="C899" i="364"/>
  <c r="C2350" i="364"/>
  <c r="C2656" i="364"/>
  <c r="C2046" i="364"/>
  <c r="C591" i="364"/>
  <c r="C148" i="364"/>
  <c r="C2820" i="364"/>
  <c r="C2549" i="364"/>
  <c r="C834" i="364"/>
  <c r="C2677" i="364"/>
  <c r="C701" i="364"/>
  <c r="C1195" i="364"/>
  <c r="C1582" i="364"/>
  <c r="C2399" i="364"/>
  <c r="C1505" i="364"/>
  <c r="C773" i="364"/>
  <c r="C1029" i="364"/>
  <c r="C2413" i="364"/>
  <c r="C156" i="364"/>
  <c r="C2602" i="364"/>
  <c r="C2462" i="364"/>
  <c r="C1326" i="364"/>
  <c r="C2361" i="364"/>
  <c r="C2172" i="364"/>
  <c r="C1449" i="364"/>
  <c r="C2449" i="364"/>
  <c r="C2041" i="364"/>
  <c r="C1718" i="364"/>
  <c r="A1" i="360"/>
  <c r="C5" i="364"/>
  <c r="C1065" i="364"/>
  <c r="C1154" i="364"/>
  <c r="C1639" i="364"/>
  <c r="C1292" i="364"/>
  <c r="C2094" i="364"/>
  <c r="C501" i="364"/>
  <c r="C2164" i="364"/>
  <c r="C85" i="364"/>
  <c r="C759" i="364"/>
  <c r="C1565" i="364"/>
  <c r="C1542" i="364"/>
  <c r="C597" i="364"/>
  <c r="C2802" i="364"/>
  <c r="C2271" i="364"/>
  <c r="C584" i="364"/>
  <c r="C780" i="364"/>
  <c r="C1581" i="364"/>
  <c r="C2684" i="364"/>
  <c r="C1660" i="364"/>
  <c r="C923" i="364"/>
  <c r="C1138" i="364"/>
  <c r="C2192" i="364"/>
  <c r="C293" i="364"/>
  <c r="C2784" i="364"/>
  <c r="C1188" i="364"/>
  <c r="C2381" i="364"/>
  <c r="C1417" i="364"/>
  <c r="C2590" i="364"/>
  <c r="C2016" i="364"/>
  <c r="C1268" i="364"/>
  <c r="C1457" i="364"/>
  <c r="C429" i="364"/>
  <c r="C1625" i="364"/>
  <c r="C1747" i="364"/>
  <c r="C1695" i="364"/>
  <c r="C927" i="364"/>
  <c r="C2459" i="364"/>
  <c r="C1810" i="364"/>
  <c r="C1253" i="364"/>
  <c r="C757" i="364"/>
  <c r="C2592" i="364"/>
  <c r="C1535" i="364"/>
  <c r="C2389" i="364"/>
  <c r="C1657" i="364"/>
  <c r="C1197" i="364"/>
  <c r="C882" i="364"/>
  <c r="C416" i="364"/>
  <c r="C232" i="364"/>
  <c r="C228" i="364"/>
  <c r="C2789" i="364"/>
  <c r="C1734" i="364"/>
  <c r="C2184" i="364"/>
  <c r="C803" i="364"/>
  <c r="A32" i="126"/>
  <c r="A31" i="140" s="1"/>
  <c r="A13" i="140"/>
  <c r="A13" i="294"/>
  <c r="A32" i="294" s="1"/>
  <c r="A18" i="294"/>
  <c r="A37" i="294" s="1"/>
  <c r="A18" i="140"/>
  <c r="A37" i="126"/>
  <c r="A36" i="140" s="1"/>
  <c r="A14" i="294"/>
  <c r="A33" i="294" s="1"/>
  <c r="N2" i="246"/>
  <c r="A11" i="233"/>
  <c r="M2" i="246"/>
  <c r="A38" i="126"/>
  <c r="A37" i="140" s="1"/>
  <c r="A19" i="294"/>
  <c r="A38" i="294" s="1"/>
  <c r="P2" i="246"/>
  <c r="A220" i="343"/>
  <c r="A10" i="126"/>
  <c r="A11" i="126"/>
  <c r="A49" i="342"/>
  <c r="A8" i="233"/>
  <c r="A27" i="342"/>
  <c r="A9" i="126"/>
  <c r="A209" i="343"/>
  <c r="A8" i="126"/>
  <c r="A198" i="343"/>
  <c r="A185" i="342"/>
  <c r="A24" i="233" s="1"/>
  <c r="A6" i="233"/>
  <c r="A5" i="233"/>
  <c r="A174" i="342"/>
  <c r="A23" i="233" s="1"/>
  <c r="A6" i="343"/>
  <c r="O24" i="137"/>
  <c r="I11" i="86"/>
  <c r="O31" i="137"/>
  <c r="I17" i="86"/>
  <c r="O29" i="137"/>
  <c r="I15" i="86"/>
  <c r="J46" i="88"/>
  <c r="I13" i="86"/>
  <c r="O27" i="137"/>
  <c r="C27" i="137" s="1"/>
  <c r="J173" i="358"/>
  <c r="J46" i="131"/>
  <c r="N51" i="95"/>
  <c r="J11" i="88"/>
  <c r="I71" i="144"/>
  <c r="J39" i="129"/>
  <c r="I38" i="86" s="1"/>
  <c r="J15" i="88"/>
  <c r="I37" i="86"/>
  <c r="K49" i="123"/>
  <c r="O9" i="137"/>
  <c r="K48" i="123"/>
  <c r="O8" i="137"/>
  <c r="K47" i="123"/>
  <c r="O7" i="137"/>
  <c r="K46" i="123"/>
  <c r="K93" i="123"/>
  <c r="O6" i="137"/>
  <c r="I6" i="86"/>
  <c r="L93" i="123"/>
  <c r="I60" i="86"/>
  <c r="K54" i="123"/>
  <c r="I5" i="86"/>
  <c r="K45" i="123"/>
  <c r="J21" i="127"/>
  <c r="J35" i="88" s="1"/>
  <c r="L92" i="123"/>
  <c r="O5" i="137"/>
  <c r="K92" i="123"/>
  <c r="J7" i="131"/>
  <c r="J45" i="131" s="1"/>
  <c r="N20" i="95"/>
  <c r="N32" i="95" s="1"/>
  <c r="K15" i="123"/>
  <c r="P43" i="256" l="1"/>
  <c r="J170" i="350"/>
  <c r="C59" i="86"/>
  <c r="E126" i="123"/>
  <c r="E16" i="86"/>
  <c r="F35" i="127"/>
  <c r="E206" i="248"/>
  <c r="F102" i="123" s="1"/>
  <c r="E204" i="248"/>
  <c r="D55" i="86"/>
  <c r="P13" i="95"/>
  <c r="L11" i="131" s="1"/>
  <c r="K11" i="131"/>
  <c r="P11" i="95"/>
  <c r="L8" i="131" s="1"/>
  <c r="K8" i="131"/>
  <c r="D59" i="86"/>
  <c r="F126" i="123"/>
  <c r="H85" i="126"/>
  <c r="G7" i="137"/>
  <c r="I7" i="137"/>
  <c r="J7" i="137"/>
  <c r="L7" i="137"/>
  <c r="M7" i="137"/>
  <c r="H7" i="137"/>
  <c r="K7" i="137"/>
  <c r="E7" i="137"/>
  <c r="N7" i="137" s="1"/>
  <c r="D7" i="137"/>
  <c r="F7" i="137"/>
  <c r="C7" i="137"/>
  <c r="H46" i="88"/>
  <c r="H39" i="88" s="1"/>
  <c r="I7" i="123" s="1"/>
  <c r="I117" i="123" s="1"/>
  <c r="E54" i="123"/>
  <c r="E10" i="123" s="1"/>
  <c r="E116" i="123" s="1"/>
  <c r="C38" i="140"/>
  <c r="C39" i="140" s="1"/>
  <c r="B20" i="95"/>
  <c r="B32" i="95" s="1"/>
  <c r="B53" i="95" s="1"/>
  <c r="B55" i="95" s="1"/>
  <c r="C54" i="95" s="1"/>
  <c r="C55" i="95" s="1"/>
  <c r="D54" i="95" s="1"/>
  <c r="C8" i="237"/>
  <c r="B48" i="86" s="1"/>
  <c r="C6" i="237"/>
  <c r="J54" i="123"/>
  <c r="J10" i="123" s="1"/>
  <c r="L35" i="127"/>
  <c r="Q32" i="137"/>
  <c r="C13" i="294"/>
  <c r="G15" i="88"/>
  <c r="C6" i="86"/>
  <c r="C10" i="86" s="1"/>
  <c r="E86" i="123" s="1"/>
  <c r="E64" i="305"/>
  <c r="E91" i="255"/>
  <c r="R3" i="127"/>
  <c r="Q3" i="233"/>
  <c r="J38" i="88"/>
  <c r="J9" i="133"/>
  <c r="P9" i="298" s="1"/>
  <c r="K28" i="133"/>
  <c r="I38" i="88"/>
  <c r="N38" i="140"/>
  <c r="H167" i="349"/>
  <c r="H175" i="349" s="1"/>
  <c r="F93" i="123"/>
  <c r="H343" i="343"/>
  <c r="I2" i="139"/>
  <c r="P6" i="95"/>
  <c r="L7" i="131" s="1"/>
  <c r="K7" i="131"/>
  <c r="C29" i="137"/>
  <c r="N29" i="137" s="1"/>
  <c r="H246" i="351"/>
  <c r="P6" i="140"/>
  <c r="G40" i="129"/>
  <c r="J46" i="136"/>
  <c r="D205" i="248"/>
  <c r="E101" i="123" s="1"/>
  <c r="D38" i="88"/>
  <c r="E46" i="123"/>
  <c r="F38" i="123" s="1"/>
  <c r="G3" i="294"/>
  <c r="U3" i="342"/>
  <c r="U3" i="233"/>
  <c r="V3" i="127"/>
  <c r="J29" i="248"/>
  <c r="J5" i="248" s="1"/>
  <c r="J124" i="248"/>
  <c r="J125" i="248" s="1"/>
  <c r="L15" i="123"/>
  <c r="J8" i="137"/>
  <c r="K8" i="137"/>
  <c r="D8" i="137"/>
  <c r="L8" i="137"/>
  <c r="H8" i="137"/>
  <c r="E8" i="137"/>
  <c r="M8" i="137"/>
  <c r="F8" i="137"/>
  <c r="C8" i="137"/>
  <c r="N8" i="137" s="1"/>
  <c r="G8" i="137"/>
  <c r="I8" i="137"/>
  <c r="K55" i="123"/>
  <c r="H84" i="123" s="1"/>
  <c r="J35" i="237"/>
  <c r="K5" i="137"/>
  <c r="G5" i="137"/>
  <c r="D5" i="137"/>
  <c r="L5" i="137"/>
  <c r="M5" i="137"/>
  <c r="J5" i="137"/>
  <c r="E5" i="137"/>
  <c r="F5" i="137"/>
  <c r="F21" i="137" s="1"/>
  <c r="F37" i="137" s="1"/>
  <c r="F41" i="137" s="1"/>
  <c r="F45" i="137" s="1"/>
  <c r="C5" i="137"/>
  <c r="H5" i="137"/>
  <c r="I5" i="137"/>
  <c r="N9" i="137"/>
  <c r="C9" i="137"/>
  <c r="N31" i="137"/>
  <c r="C31" i="137"/>
  <c r="J17" i="88"/>
  <c r="I39" i="88"/>
  <c r="J7" i="123" s="1"/>
  <c r="J117" i="123" s="1"/>
  <c r="K170" i="367"/>
  <c r="D18" i="88"/>
  <c r="E15" i="88"/>
  <c r="K37" i="248"/>
  <c r="F108" i="123"/>
  <c r="N3" i="127"/>
  <c r="A298" i="343"/>
  <c r="A17" i="126"/>
  <c r="L55" i="123"/>
  <c r="I84" i="123" s="1"/>
  <c r="K348" i="342"/>
  <c r="I21" i="127"/>
  <c r="I59" i="127" s="1"/>
  <c r="H6" i="86"/>
  <c r="F64" i="305"/>
  <c r="K27" i="253"/>
  <c r="E40" i="129"/>
  <c r="M3" i="342"/>
  <c r="M50" i="298"/>
  <c r="M53" i="298" s="1"/>
  <c r="M26" i="298"/>
  <c r="A254" i="343"/>
  <c r="A13" i="126"/>
  <c r="D6" i="137"/>
  <c r="L6" i="137"/>
  <c r="E6" i="137"/>
  <c r="F6" i="137"/>
  <c r="C6" i="137"/>
  <c r="N6" i="137" s="1"/>
  <c r="G6" i="137"/>
  <c r="H6" i="137"/>
  <c r="I6" i="137"/>
  <c r="J6" i="137"/>
  <c r="K6" i="137"/>
  <c r="M6" i="137"/>
  <c r="C24" i="137"/>
  <c r="N43" i="256"/>
  <c r="K170" i="350"/>
  <c r="F110" i="123"/>
  <c r="O43" i="256"/>
  <c r="K59" i="316"/>
  <c r="K52" i="316"/>
  <c r="P3" i="296"/>
  <c r="C2" i="299"/>
  <c r="H3" i="362"/>
  <c r="O3" i="256"/>
  <c r="C2" i="140"/>
  <c r="I3" i="133"/>
  <c r="O3" i="298"/>
  <c r="K3" i="141"/>
  <c r="A3" i="360"/>
  <c r="O3" i="299"/>
  <c r="J3" i="126"/>
  <c r="H3" i="361"/>
  <c r="J3" i="237"/>
  <c r="T3" i="343"/>
  <c r="I3" i="301"/>
  <c r="J3" i="88"/>
  <c r="E3" i="139"/>
  <c r="E18" i="294"/>
  <c r="Q18" i="140"/>
  <c r="C85" i="126"/>
  <c r="M51" i="95"/>
  <c r="M53" i="95" s="1"/>
  <c r="M63" i="95" s="1"/>
  <c r="D55" i="95"/>
  <c r="E54" i="95" s="1"/>
  <c r="E55" i="95" s="1"/>
  <c r="F54" i="95" s="1"/>
  <c r="F55" i="95" s="1"/>
  <c r="G54" i="95" s="1"/>
  <c r="G55" i="95" s="1"/>
  <c r="H54" i="95" s="1"/>
  <c r="H55" i="95" s="1"/>
  <c r="I54" i="95" s="1"/>
  <c r="I55" i="95" s="1"/>
  <c r="J54" i="95" s="1"/>
  <c r="J55" i="95" s="1"/>
  <c r="K54" i="95" s="1"/>
  <c r="K55" i="95" s="1"/>
  <c r="L54" i="95" s="1"/>
  <c r="L55" i="95" s="1"/>
  <c r="M54" i="95" s="1"/>
  <c r="H114" i="248"/>
  <c r="E101" i="248"/>
  <c r="C206" i="248"/>
  <c r="D102" i="123" s="1"/>
  <c r="I204" i="248"/>
  <c r="C204" i="248"/>
  <c r="B55" i="86"/>
  <c r="D114" i="123" s="1"/>
  <c r="J111" i="248"/>
  <c r="I111" i="248"/>
  <c r="I5" i="248"/>
  <c r="D111" i="248"/>
  <c r="D36" i="253"/>
  <c r="K167" i="349"/>
  <c r="L166" i="255" s="1"/>
  <c r="K169" i="248"/>
  <c r="K56" i="86" s="1"/>
  <c r="J175" i="349"/>
  <c r="J201" i="248"/>
  <c r="J167" i="248"/>
  <c r="J206" i="248"/>
  <c r="L102" i="123" s="1"/>
  <c r="I167" i="248"/>
  <c r="J166" i="255"/>
  <c r="I175" i="349"/>
  <c r="I169" i="349"/>
  <c r="J17" i="123"/>
  <c r="I206" i="248"/>
  <c r="K102" i="123" s="1"/>
  <c r="I201" i="248"/>
  <c r="E17" i="123"/>
  <c r="D173" i="358"/>
  <c r="D170" i="367"/>
  <c r="C54" i="86"/>
  <c r="D170" i="350"/>
  <c r="D206" i="248"/>
  <c r="E102" i="123" s="1"/>
  <c r="D40" i="126"/>
  <c r="D173" i="134" s="1"/>
  <c r="E132" i="248"/>
  <c r="E203" i="248" s="1"/>
  <c r="K132" i="248"/>
  <c r="K169" i="350" s="1"/>
  <c r="K101" i="248"/>
  <c r="K55" i="86"/>
  <c r="M113" i="123" s="1"/>
  <c r="K204" i="248"/>
  <c r="M58" i="123"/>
  <c r="J55" i="86"/>
  <c r="L113" i="123" s="1"/>
  <c r="J101" i="248"/>
  <c r="J204" i="248"/>
  <c r="E85" i="126"/>
  <c r="E124" i="351"/>
  <c r="E247" i="351" s="1"/>
  <c r="E39" i="233"/>
  <c r="E45" i="233" s="1"/>
  <c r="A10" i="299"/>
  <c r="A28" i="299" s="1"/>
  <c r="C39" i="233"/>
  <c r="C45" i="233" s="1"/>
  <c r="D341" i="342"/>
  <c r="I217" i="248"/>
  <c r="I205" i="248"/>
  <c r="K101" i="123" s="1"/>
  <c r="J24" i="129"/>
  <c r="I36" i="86" s="1"/>
  <c r="J169" i="349"/>
  <c r="K17" i="123"/>
  <c r="J35" i="127"/>
  <c r="O32" i="137"/>
  <c r="I16" i="86"/>
  <c r="I18" i="86" s="1"/>
  <c r="J170" i="349" s="1"/>
  <c r="D126" i="123"/>
  <c r="B59" i="86"/>
  <c r="K12" i="129"/>
  <c r="J35" i="86" s="1"/>
  <c r="G167" i="349"/>
  <c r="G169" i="349" s="1"/>
  <c r="H170" i="350"/>
  <c r="I26" i="298"/>
  <c r="I50" i="298"/>
  <c r="I53" i="298" s="1"/>
  <c r="P5" i="95"/>
  <c r="O20" i="95"/>
  <c r="O32" i="95" s="1"/>
  <c r="K6" i="131"/>
  <c r="C5" i="248"/>
  <c r="G49" i="146"/>
  <c r="G102" i="146"/>
  <c r="G103" i="146" s="1"/>
  <c r="J64" i="305"/>
  <c r="K341" i="342"/>
  <c r="E59" i="86"/>
  <c r="G35" i="127"/>
  <c r="G54" i="86"/>
  <c r="D201" i="248"/>
  <c r="F124" i="351"/>
  <c r="G46" i="88"/>
  <c r="G39" i="88" s="1"/>
  <c r="H7" i="123" s="1"/>
  <c r="H117" i="123" s="1"/>
  <c r="I27" i="86"/>
  <c r="K112" i="123" s="1"/>
  <c r="O48" i="95"/>
  <c r="J66" i="126"/>
  <c r="I5" i="237"/>
  <c r="I6" i="237" s="1"/>
  <c r="I8" i="237" s="1"/>
  <c r="H48" i="86" s="1"/>
  <c r="I51" i="131"/>
  <c r="C256" i="351"/>
  <c r="H57" i="248"/>
  <c r="H37" i="248" s="1"/>
  <c r="H119" i="248"/>
  <c r="H121" i="248" s="1"/>
  <c r="G117" i="248"/>
  <c r="G118" i="248" s="1"/>
  <c r="G54" i="248"/>
  <c r="G37" i="248" s="1"/>
  <c r="H103" i="146"/>
  <c r="I103" i="146"/>
  <c r="D39" i="233"/>
  <c r="D167" i="248"/>
  <c r="Q20" i="140"/>
  <c r="K66" i="126"/>
  <c r="P48" i="95"/>
  <c r="H45" i="86"/>
  <c r="E27" i="315"/>
  <c r="O2" i="246"/>
  <c r="A17" i="299"/>
  <c r="A35" i="299" s="1"/>
  <c r="K15" i="133"/>
  <c r="Q15" i="298" s="1"/>
  <c r="J5" i="123"/>
  <c r="D175" i="349"/>
  <c r="D166" i="255"/>
  <c r="C42" i="129"/>
  <c r="C55" i="129" s="1"/>
  <c r="C71" i="129"/>
  <c r="I246" i="351"/>
  <c r="E48" i="133"/>
  <c r="H49" i="146"/>
  <c r="E5" i="237"/>
  <c r="E6" i="237" s="1"/>
  <c r="E8" i="237" s="1"/>
  <c r="D48" i="86" s="1"/>
  <c r="E51" i="131"/>
  <c r="D45" i="86"/>
  <c r="E23" i="88"/>
  <c r="D40" i="129"/>
  <c r="C37" i="86"/>
  <c r="D84" i="123"/>
  <c r="D55" i="123" s="1"/>
  <c r="E13" i="88"/>
  <c r="E14" i="88"/>
  <c r="E25" i="129"/>
  <c r="D35" i="86"/>
  <c r="H126" i="123"/>
  <c r="D48" i="133"/>
  <c r="D58" i="133" s="1"/>
  <c r="D247" i="351"/>
  <c r="E25" i="133"/>
  <c r="E49" i="133" s="1"/>
  <c r="D25" i="133"/>
  <c r="E59" i="127"/>
  <c r="G26" i="141" s="1"/>
  <c r="E34" i="88"/>
  <c r="E37" i="88"/>
  <c r="E19" i="88"/>
  <c r="E36" i="237"/>
  <c r="E29" i="237" s="1"/>
  <c r="E32" i="237" s="1"/>
  <c r="E14" i="237" s="1"/>
  <c r="E18" i="237" s="1"/>
  <c r="E32" i="88"/>
  <c r="F97" i="123"/>
  <c r="D36" i="237"/>
  <c r="D29" i="237" s="1"/>
  <c r="D32" i="237" s="1"/>
  <c r="D14" i="237" s="1"/>
  <c r="D18" i="237" s="1"/>
  <c r="C49" i="86" s="1"/>
  <c r="M126" i="123"/>
  <c r="G10" i="86"/>
  <c r="I127" i="123" s="1"/>
  <c r="L12" i="129"/>
  <c r="C18" i="86"/>
  <c r="E87" i="123" s="1"/>
  <c r="C7" i="88"/>
  <c r="D121" i="123" s="1"/>
  <c r="C348" i="342"/>
  <c r="F37" i="123"/>
  <c r="C170" i="349"/>
  <c r="D87" i="123"/>
  <c r="D131" i="123" s="1"/>
  <c r="L126" i="123"/>
  <c r="F94" i="123"/>
  <c r="F43" i="123"/>
  <c r="F11" i="123" s="1"/>
  <c r="F103" i="123" s="1"/>
  <c r="F18" i="86"/>
  <c r="H87" i="123" s="1"/>
  <c r="H131" i="123" s="1"/>
  <c r="K18" i="86"/>
  <c r="M87" i="123" s="1"/>
  <c r="M131" i="123" s="1"/>
  <c r="G94" i="123"/>
  <c r="G39" i="123"/>
  <c r="E43" i="123"/>
  <c r="E11" i="123" s="1"/>
  <c r="E103" i="123" s="1"/>
  <c r="F44" i="123"/>
  <c r="E127" i="123"/>
  <c r="D348" i="342"/>
  <c r="D7" i="88"/>
  <c r="E121" i="123" s="1"/>
  <c r="F27" i="315"/>
  <c r="D256" i="351"/>
  <c r="H35" i="127"/>
  <c r="F127" i="123"/>
  <c r="E44" i="123"/>
  <c r="E33" i="88"/>
  <c r="E35" i="88"/>
  <c r="F26" i="141"/>
  <c r="D37" i="88"/>
  <c r="D35" i="88"/>
  <c r="D19" i="88"/>
  <c r="D33" i="88"/>
  <c r="D8" i="88"/>
  <c r="D34" i="88"/>
  <c r="D37" i="127"/>
  <c r="D41" i="127" s="1"/>
  <c r="D32" i="88"/>
  <c r="D255" i="351"/>
  <c r="D347" i="342"/>
  <c r="F91" i="123"/>
  <c r="D101" i="248"/>
  <c r="D23" i="88"/>
  <c r="D39" i="88"/>
  <c r="E7" i="123" s="1"/>
  <c r="E117" i="123" s="1"/>
  <c r="E5" i="123"/>
  <c r="D5" i="237"/>
  <c r="D6" i="237" s="1"/>
  <c r="D8" i="237" s="1"/>
  <c r="C48" i="86" s="1"/>
  <c r="C45" i="86"/>
  <c r="D14" i="88"/>
  <c r="D13" i="88"/>
  <c r="C36" i="86"/>
  <c r="D25" i="129"/>
  <c r="D71" i="129" s="1"/>
  <c r="K65" i="86"/>
  <c r="K46" i="253"/>
  <c r="H46" i="253"/>
  <c r="G65" i="86"/>
  <c r="G69" i="248"/>
  <c r="H69" i="248"/>
  <c r="M114" i="123"/>
  <c r="F113" i="123"/>
  <c r="F114" i="123"/>
  <c r="F111" i="248"/>
  <c r="D169" i="367"/>
  <c r="D203" i="248"/>
  <c r="D169" i="350"/>
  <c r="J132" i="248"/>
  <c r="J169" i="350" s="1"/>
  <c r="F40" i="126"/>
  <c r="H26" i="314" s="1"/>
  <c r="H40" i="126"/>
  <c r="I57" i="123" s="1"/>
  <c r="E130" i="123"/>
  <c r="I10" i="86"/>
  <c r="K86" i="123" s="1"/>
  <c r="K130" i="123" s="1"/>
  <c r="I132" i="248"/>
  <c r="I101" i="248"/>
  <c r="G170" i="367"/>
  <c r="F69" i="248"/>
  <c r="F204" i="248" s="1"/>
  <c r="H111" i="248"/>
  <c r="F170" i="367"/>
  <c r="H167" i="248"/>
  <c r="F173" i="358"/>
  <c r="F170" i="350"/>
  <c r="F166" i="255"/>
  <c r="F175" i="349"/>
  <c r="F169" i="349"/>
  <c r="G166" i="255"/>
  <c r="G17" i="123"/>
  <c r="G175" i="349"/>
  <c r="F201" i="248"/>
  <c r="H169" i="349"/>
  <c r="H166" i="255"/>
  <c r="G56" i="86"/>
  <c r="I17" i="123"/>
  <c r="F205" i="248"/>
  <c r="G101" i="123" s="1"/>
  <c r="F167" i="248"/>
  <c r="H56" i="86"/>
  <c r="H201" i="248"/>
  <c r="H205" i="248"/>
  <c r="I101" i="123" s="1"/>
  <c r="G167" i="248"/>
  <c r="G201" i="248"/>
  <c r="F56" i="86"/>
  <c r="G205" i="248"/>
  <c r="H101" i="123" s="1"/>
  <c r="G111" i="248"/>
  <c r="G58" i="123"/>
  <c r="G5" i="248"/>
  <c r="K35" i="237"/>
  <c r="L38" i="88"/>
  <c r="M55" i="123"/>
  <c r="J84" i="123" s="1"/>
  <c r="M15" i="123"/>
  <c r="G5" i="123"/>
  <c r="F23" i="88"/>
  <c r="E45" i="86"/>
  <c r="F5" i="237"/>
  <c r="F6" i="237" s="1"/>
  <c r="F8" i="237" s="1"/>
  <c r="E48" i="86" s="1"/>
  <c r="L40" i="129"/>
  <c r="K40" i="129"/>
  <c r="L14" i="88"/>
  <c r="L13" i="88"/>
  <c r="K35" i="86"/>
  <c r="K14" i="88"/>
  <c r="K13" i="88"/>
  <c r="G25" i="129"/>
  <c r="G71" i="129" s="1"/>
  <c r="G14" i="88"/>
  <c r="I25" i="129"/>
  <c r="I71" i="129" s="1"/>
  <c r="F35" i="86"/>
  <c r="I13" i="88"/>
  <c r="I14" i="88"/>
  <c r="H14" i="88"/>
  <c r="H25" i="129"/>
  <c r="H13" i="88"/>
  <c r="G35" i="86"/>
  <c r="F13" i="88"/>
  <c r="E35" i="86"/>
  <c r="F14" i="88"/>
  <c r="F25" i="129"/>
  <c r="J27" i="86"/>
  <c r="L112" i="123" s="1"/>
  <c r="G109" i="123"/>
  <c r="G108" i="123"/>
  <c r="H27" i="86"/>
  <c r="J112" i="123" s="1"/>
  <c r="F175" i="350"/>
  <c r="F175" i="367"/>
  <c r="U172" i="343"/>
  <c r="C5" i="294"/>
  <c r="O5" i="140"/>
  <c r="N5" i="140" s="1"/>
  <c r="J12" i="123"/>
  <c r="I175" i="367"/>
  <c r="J52" i="123"/>
  <c r="J13" i="123" s="1"/>
  <c r="J122" i="123" s="1"/>
  <c r="C40" i="126"/>
  <c r="D9" i="294"/>
  <c r="I175" i="350"/>
  <c r="Q172" i="343"/>
  <c r="I48" i="88"/>
  <c r="I9" i="88" s="1"/>
  <c r="G40" i="126"/>
  <c r="I26" i="314" s="1"/>
  <c r="E40" i="126"/>
  <c r="F12" i="123" s="1"/>
  <c r="D175" i="350"/>
  <c r="E52" i="123"/>
  <c r="E13" i="123" s="1"/>
  <c r="E122" i="123" s="1"/>
  <c r="D175" i="367"/>
  <c r="O16" i="140"/>
  <c r="N16" i="140" s="1"/>
  <c r="C16" i="294"/>
  <c r="D16" i="294"/>
  <c r="P16" i="140"/>
  <c r="C11" i="294"/>
  <c r="O11" i="140"/>
  <c r="N11" i="140" s="1"/>
  <c r="P12" i="140"/>
  <c r="D12" i="294"/>
  <c r="P17" i="140"/>
  <c r="D17" i="294"/>
  <c r="K6" i="126"/>
  <c r="K172" i="343"/>
  <c r="K343" i="343" s="1"/>
  <c r="O17" i="140"/>
  <c r="N17" i="140" s="1"/>
  <c r="C17" i="294"/>
  <c r="D11" i="294"/>
  <c r="P11" i="140"/>
  <c r="D7" i="294"/>
  <c r="P7" i="140"/>
  <c r="C19" i="294"/>
  <c r="O19" i="140"/>
  <c r="N19" i="140" s="1"/>
  <c r="L40" i="126"/>
  <c r="K173" i="134" s="1"/>
  <c r="A11" i="294"/>
  <c r="A30" i="294" s="1"/>
  <c r="A30" i="126"/>
  <c r="A29" i="140" s="1"/>
  <c r="A11" i="140"/>
  <c r="A15" i="294"/>
  <c r="A34" i="294" s="1"/>
  <c r="A15" i="140"/>
  <c r="A34" i="126"/>
  <c r="A33" i="140" s="1"/>
  <c r="J7" i="126"/>
  <c r="J172" i="343"/>
  <c r="J343" i="343" s="1"/>
  <c r="D19" i="294"/>
  <c r="P19" i="140"/>
  <c r="E21" i="294"/>
  <c r="P13" i="140"/>
  <c r="D13" i="294"/>
  <c r="D10" i="294"/>
  <c r="P10" i="140"/>
  <c r="Q45" i="140"/>
  <c r="Q39" i="140"/>
  <c r="P15" i="140"/>
  <c r="D15" i="294"/>
  <c r="C7" i="294"/>
  <c r="O7" i="140"/>
  <c r="N7" i="140" s="1"/>
  <c r="C15" i="294"/>
  <c r="O15" i="140"/>
  <c r="N15" i="140" s="1"/>
  <c r="O18" i="140"/>
  <c r="N18" i="140" s="1"/>
  <c r="C18" i="294"/>
  <c r="H175" i="350"/>
  <c r="K10" i="86"/>
  <c r="M127" i="123" s="1"/>
  <c r="F46" i="88"/>
  <c r="F39" i="88" s="1"/>
  <c r="G7" i="123" s="1"/>
  <c r="G117" i="123" s="1"/>
  <c r="Q35" i="137"/>
  <c r="P35" i="137"/>
  <c r="H256" i="351"/>
  <c r="M27" i="315"/>
  <c r="Q42" i="368"/>
  <c r="L7" i="88"/>
  <c r="M121" i="123" s="1"/>
  <c r="J18" i="86"/>
  <c r="M97" i="123"/>
  <c r="L27" i="315"/>
  <c r="P42" i="368"/>
  <c r="K7" i="88"/>
  <c r="L121" i="123" s="1"/>
  <c r="H18" i="86"/>
  <c r="J97" i="123"/>
  <c r="I27" i="315"/>
  <c r="G7" i="88"/>
  <c r="H121" i="123" s="1"/>
  <c r="G170" i="349"/>
  <c r="G348" i="342"/>
  <c r="I97" i="123"/>
  <c r="G18" i="86"/>
  <c r="J27" i="315"/>
  <c r="H7" i="88"/>
  <c r="I121" i="123" s="1"/>
  <c r="N42" i="368"/>
  <c r="F7" i="88"/>
  <c r="G121" i="123" s="1"/>
  <c r="H27" i="315"/>
  <c r="F348" i="342"/>
  <c r="G99" i="123"/>
  <c r="H97" i="123"/>
  <c r="G97" i="123"/>
  <c r="E18" i="86"/>
  <c r="M40" i="123"/>
  <c r="M38" i="123"/>
  <c r="M41" i="123"/>
  <c r="Q21" i="137"/>
  <c r="M39" i="123"/>
  <c r="P21" i="137"/>
  <c r="I59" i="86"/>
  <c r="H59" i="86"/>
  <c r="G18" i="88"/>
  <c r="H54" i="123"/>
  <c r="H10" i="123" s="1"/>
  <c r="H116" i="123" s="1"/>
  <c r="G38" i="88"/>
  <c r="F6" i="86"/>
  <c r="I94" i="123" s="1"/>
  <c r="H17" i="88"/>
  <c r="G21" i="127"/>
  <c r="G37" i="127" s="1"/>
  <c r="G41" i="127" s="1"/>
  <c r="H41" i="123"/>
  <c r="F36" i="237"/>
  <c r="F29" i="237" s="1"/>
  <c r="F32" i="237" s="1"/>
  <c r="F14" i="237" s="1"/>
  <c r="F18" i="237" s="1"/>
  <c r="F19" i="237" s="1"/>
  <c r="E10" i="86"/>
  <c r="G86" i="123" s="1"/>
  <c r="G130" i="123" s="1"/>
  <c r="G59" i="86"/>
  <c r="I126" i="123"/>
  <c r="D116" i="123"/>
  <c r="C36" i="237"/>
  <c r="C29" i="237" s="1"/>
  <c r="C32" i="237" s="1"/>
  <c r="C14" i="237" s="1"/>
  <c r="C18" i="237" s="1"/>
  <c r="B10" i="86"/>
  <c r="E94" i="123"/>
  <c r="D43" i="123"/>
  <c r="D11" i="123" s="1"/>
  <c r="D103" i="123" s="1"/>
  <c r="D44" i="123"/>
  <c r="E38" i="123"/>
  <c r="C8" i="88"/>
  <c r="C37" i="88"/>
  <c r="C34" i="88"/>
  <c r="C35" i="88"/>
  <c r="C37" i="127"/>
  <c r="C41" i="127" s="1"/>
  <c r="C59" i="127"/>
  <c r="C19" i="88"/>
  <c r="C33" i="88"/>
  <c r="C32" i="88"/>
  <c r="I86" i="123"/>
  <c r="I130" i="123" s="1"/>
  <c r="J38" i="123"/>
  <c r="I38" i="123"/>
  <c r="F34" i="88"/>
  <c r="F8" i="88"/>
  <c r="F59" i="127"/>
  <c r="H26" i="141" s="1"/>
  <c r="F37" i="88"/>
  <c r="G37" i="88" s="1"/>
  <c r="H37" i="88" s="1"/>
  <c r="F32" i="88"/>
  <c r="F37" i="127"/>
  <c r="F41" i="127" s="1"/>
  <c r="F33" i="88"/>
  <c r="F19" i="88"/>
  <c r="F35" i="88"/>
  <c r="H38" i="123"/>
  <c r="G43" i="123"/>
  <c r="G11" i="123" s="1"/>
  <c r="G103" i="123" s="1"/>
  <c r="G44" i="123"/>
  <c r="G38" i="123"/>
  <c r="L37" i="127"/>
  <c r="L41" i="127" s="1"/>
  <c r="L35" i="88"/>
  <c r="L32" i="88"/>
  <c r="L19" i="88"/>
  <c r="L59" i="127"/>
  <c r="M26" i="141" s="1"/>
  <c r="L33" i="88"/>
  <c r="L37" i="88"/>
  <c r="L8" i="88"/>
  <c r="M43" i="123"/>
  <c r="M11" i="123" s="1"/>
  <c r="M103" i="123" s="1"/>
  <c r="M44" i="123"/>
  <c r="M94" i="123"/>
  <c r="J10" i="86"/>
  <c r="M37" i="123"/>
  <c r="L43" i="123"/>
  <c r="L11" i="123" s="1"/>
  <c r="L103" i="123" s="1"/>
  <c r="L44" i="123"/>
  <c r="K35" i="88"/>
  <c r="K37" i="88"/>
  <c r="K37" i="127"/>
  <c r="K41" i="127" s="1"/>
  <c r="K8" i="88"/>
  <c r="K32" i="88"/>
  <c r="K34" i="88"/>
  <c r="K19" i="88"/>
  <c r="K59" i="127"/>
  <c r="L26" i="141" s="1"/>
  <c r="K33" i="88"/>
  <c r="I116" i="123"/>
  <c r="H10" i="86"/>
  <c r="J94" i="123"/>
  <c r="H43" i="123"/>
  <c r="H11" i="123" s="1"/>
  <c r="H103" i="123" s="1"/>
  <c r="H44" i="123"/>
  <c r="H37" i="123"/>
  <c r="I36" i="237"/>
  <c r="I29" i="237" s="1"/>
  <c r="I32" i="237" s="1"/>
  <c r="I14" i="237" s="1"/>
  <c r="I18" i="237" s="1"/>
  <c r="J116" i="123"/>
  <c r="I19" i="88"/>
  <c r="I37" i="88"/>
  <c r="I35" i="88"/>
  <c r="I32" i="88"/>
  <c r="I8" i="88"/>
  <c r="I37" i="127"/>
  <c r="I41" i="127" s="1"/>
  <c r="I37" i="123"/>
  <c r="I44" i="123"/>
  <c r="I43" i="123"/>
  <c r="I11" i="123" s="1"/>
  <c r="I103" i="123" s="1"/>
  <c r="J37" i="123"/>
  <c r="J44" i="123"/>
  <c r="J43" i="123"/>
  <c r="J11" i="123" s="1"/>
  <c r="J103" i="123" s="1"/>
  <c r="H37" i="127"/>
  <c r="H41" i="127" s="1"/>
  <c r="H59" i="127"/>
  <c r="H8" i="88"/>
  <c r="H35" i="88"/>
  <c r="H34" i="88"/>
  <c r="H33" i="88"/>
  <c r="H32" i="88"/>
  <c r="H19" i="88"/>
  <c r="G49" i="86"/>
  <c r="G50" i="86" s="1"/>
  <c r="H19" i="237"/>
  <c r="I6" i="123"/>
  <c r="I348" i="342"/>
  <c r="I341" i="342"/>
  <c r="N38" i="299"/>
  <c r="I38" i="233"/>
  <c r="I39" i="233" s="1"/>
  <c r="Q40" i="299"/>
  <c r="Q45" i="299" s="1"/>
  <c r="J39" i="233"/>
  <c r="J45" i="233" s="1"/>
  <c r="K39" i="233"/>
  <c r="K45" i="233" s="1"/>
  <c r="H348" i="342"/>
  <c r="H341" i="342"/>
  <c r="G39" i="233"/>
  <c r="G45" i="233" s="1"/>
  <c r="F39" i="233"/>
  <c r="F45" i="233" s="1"/>
  <c r="H39" i="233"/>
  <c r="A19" i="299"/>
  <c r="A37" i="299" s="1"/>
  <c r="Q2" i="246"/>
  <c r="K2" i="246"/>
  <c r="A13" i="299"/>
  <c r="A31" i="299" s="1"/>
  <c r="N5" i="299"/>
  <c r="N20" i="299" s="1"/>
  <c r="O20" i="299"/>
  <c r="P40" i="299"/>
  <c r="P45" i="299" s="1"/>
  <c r="O38" i="299"/>
  <c r="K246" i="351"/>
  <c r="K256" i="351" s="1"/>
  <c r="J246" i="351"/>
  <c r="J256" i="351" s="1"/>
  <c r="Q28" i="298"/>
  <c r="Q48" i="298" s="1"/>
  <c r="K48" i="133"/>
  <c r="K58" i="133" s="1"/>
  <c r="J48" i="133"/>
  <c r="J58" i="133" s="1"/>
  <c r="P28" i="298"/>
  <c r="P48" i="298" s="1"/>
  <c r="O28" i="298"/>
  <c r="I48" i="133"/>
  <c r="I58" i="133" s="1"/>
  <c r="I124" i="351"/>
  <c r="I247" i="351" s="1"/>
  <c r="P25" i="298"/>
  <c r="J25" i="133"/>
  <c r="I25" i="133"/>
  <c r="Q5" i="298"/>
  <c r="Q25" i="298" s="1"/>
  <c r="K25" i="133"/>
  <c r="N25" i="298"/>
  <c r="O25" i="298"/>
  <c r="F246" i="351"/>
  <c r="F256" i="351" s="1"/>
  <c r="G48" i="133"/>
  <c r="G58" i="133" s="1"/>
  <c r="G246" i="351"/>
  <c r="G256" i="351" s="1"/>
  <c r="H48" i="133"/>
  <c r="H58" i="133" s="1"/>
  <c r="F48" i="133"/>
  <c r="F58" i="133" s="1"/>
  <c r="G25" i="133"/>
  <c r="F25" i="133"/>
  <c r="G124" i="351"/>
  <c r="I2" i="246"/>
  <c r="A11" i="299"/>
  <c r="A29" i="299" s="1"/>
  <c r="A218" i="342"/>
  <c r="A27" i="233" s="1"/>
  <c r="A9" i="233"/>
  <c r="A10" i="140"/>
  <c r="A29" i="126"/>
  <c r="A28" i="140" s="1"/>
  <c r="A10" i="294"/>
  <c r="A29" i="294" s="1"/>
  <c r="A28" i="126"/>
  <c r="A27" i="140" s="1"/>
  <c r="A9" i="294"/>
  <c r="A28" i="294" s="1"/>
  <c r="A9" i="140"/>
  <c r="F2" i="246"/>
  <c r="A8" i="299"/>
  <c r="A26" i="299" s="1"/>
  <c r="A7" i="233"/>
  <c r="A196" i="342"/>
  <c r="A25" i="233" s="1"/>
  <c r="A8" i="294"/>
  <c r="A27" i="294" s="1"/>
  <c r="A27" i="126"/>
  <c r="A26" i="140" s="1"/>
  <c r="A8" i="140"/>
  <c r="A26" i="126"/>
  <c r="A25" i="140" s="1"/>
  <c r="A7" i="294"/>
  <c r="A26" i="294" s="1"/>
  <c r="A7" i="140"/>
  <c r="A6" i="299"/>
  <c r="A24" i="299" s="1"/>
  <c r="D2" i="246"/>
  <c r="A6" i="126"/>
  <c r="A176" i="343"/>
  <c r="C2" i="246"/>
  <c r="A5" i="299"/>
  <c r="A23" i="299" s="1"/>
  <c r="J25" i="129"/>
  <c r="J40" i="129"/>
  <c r="K97" i="123"/>
  <c r="L97" i="123"/>
  <c r="K99" i="123"/>
  <c r="I256" i="351"/>
  <c r="N27" i="137"/>
  <c r="O35" i="137"/>
  <c r="K27" i="315"/>
  <c r="O42" i="368"/>
  <c r="J7" i="88"/>
  <c r="K121" i="123" s="1"/>
  <c r="J14" i="88"/>
  <c r="J13" i="88"/>
  <c r="J47" i="131"/>
  <c r="J50" i="131" s="1"/>
  <c r="N53" i="95"/>
  <c r="N55" i="95" s="1"/>
  <c r="O54" i="95" s="1"/>
  <c r="K41" i="123"/>
  <c r="L41" i="123"/>
  <c r="L40" i="123"/>
  <c r="K40" i="123"/>
  <c r="K39" i="123"/>
  <c r="L39" i="123"/>
  <c r="K38" i="123"/>
  <c r="L38" i="123"/>
  <c r="J19" i="88"/>
  <c r="J34" i="88"/>
  <c r="J33" i="88"/>
  <c r="J8" i="88"/>
  <c r="N5" i="137"/>
  <c r="O21" i="137"/>
  <c r="J32" i="88"/>
  <c r="J37" i="127"/>
  <c r="J41" i="127" s="1"/>
  <c r="K127" i="123"/>
  <c r="J59" i="127"/>
  <c r="I347" i="342" s="1"/>
  <c r="L37" i="123"/>
  <c r="K37" i="123"/>
  <c r="K44" i="123"/>
  <c r="K43" i="123"/>
  <c r="K11" i="123" s="1"/>
  <c r="K103" i="123" s="1"/>
  <c r="J37" i="88"/>
  <c r="L94" i="123"/>
  <c r="J17" i="131"/>
  <c r="J38" i="131" s="1"/>
  <c r="J18" i="88"/>
  <c r="K17" i="88"/>
  <c r="K53" i="123"/>
  <c r="K10" i="123" s="1"/>
  <c r="K116" i="123" s="1"/>
  <c r="H21" i="137" l="1"/>
  <c r="H37" i="137" s="1"/>
  <c r="H41" i="137" s="1"/>
  <c r="H45" i="137" s="1"/>
  <c r="G21" i="137"/>
  <c r="G37" i="137" s="1"/>
  <c r="G41" i="137" s="1"/>
  <c r="G45" i="137" s="1"/>
  <c r="A16" i="140"/>
  <c r="A35" i="126"/>
  <c r="A34" i="140" s="1"/>
  <c r="A16" i="294"/>
  <c r="A35" i="294" s="1"/>
  <c r="C21" i="137"/>
  <c r="K21" i="137"/>
  <c r="K37" i="137" s="1"/>
  <c r="K41" i="137" s="1"/>
  <c r="K45" i="137" s="1"/>
  <c r="N21" i="137"/>
  <c r="C32" i="137"/>
  <c r="N32" i="137" s="1"/>
  <c r="N35" i="137" s="1"/>
  <c r="N37" i="137" s="1"/>
  <c r="N41" i="137" s="1"/>
  <c r="N45" i="137" s="1"/>
  <c r="E21" i="137"/>
  <c r="E37" i="137" s="1"/>
  <c r="E41" i="137" s="1"/>
  <c r="E45" i="137" s="1"/>
  <c r="J21" i="137"/>
  <c r="J37" i="137" s="1"/>
  <c r="J41" i="137" s="1"/>
  <c r="J45" i="137" s="1"/>
  <c r="A12" i="140"/>
  <c r="A31" i="126"/>
  <c r="A30" i="140" s="1"/>
  <c r="A12" i="294"/>
  <c r="A31" i="294" s="1"/>
  <c r="M21" i="137"/>
  <c r="M37" i="137" s="1"/>
  <c r="M41" i="137" s="1"/>
  <c r="M45" i="137" s="1"/>
  <c r="E93" i="255"/>
  <c r="E32" i="127" s="1"/>
  <c r="E46" i="88"/>
  <c r="E39" i="88" s="1"/>
  <c r="F7" i="123" s="1"/>
  <c r="F117" i="123" s="1"/>
  <c r="C35" i="137"/>
  <c r="L21" i="137"/>
  <c r="L37" i="137" s="1"/>
  <c r="L41" i="137" s="1"/>
  <c r="L45" i="137" s="1"/>
  <c r="N24" i="137"/>
  <c r="I21" i="137"/>
  <c r="I37" i="137" s="1"/>
  <c r="I41" i="137" s="1"/>
  <c r="I45" i="137" s="1"/>
  <c r="D21" i="137"/>
  <c r="D37" i="137" s="1"/>
  <c r="D41" i="137" s="1"/>
  <c r="D45" i="137" s="1"/>
  <c r="M55" i="95"/>
  <c r="D113" i="123"/>
  <c r="F132" i="248"/>
  <c r="F169" i="350" s="1"/>
  <c r="E55" i="86"/>
  <c r="G113" i="123" s="1"/>
  <c r="E169" i="367"/>
  <c r="E169" i="350"/>
  <c r="K203" i="248"/>
  <c r="K169" i="367"/>
  <c r="G36" i="123"/>
  <c r="G9" i="123" s="1"/>
  <c r="K175" i="349"/>
  <c r="K167" i="248"/>
  <c r="K201" i="248"/>
  <c r="K206" i="248"/>
  <c r="M102" i="123" s="1"/>
  <c r="L34" i="88"/>
  <c r="F52" i="123"/>
  <c r="F13" i="123" s="1"/>
  <c r="F122" i="123" s="1"/>
  <c r="E173" i="134"/>
  <c r="E57" i="123"/>
  <c r="E18" i="123" s="1"/>
  <c r="E12" i="123"/>
  <c r="D48" i="88"/>
  <c r="D9" i="88" s="1"/>
  <c r="F26" i="314"/>
  <c r="G206" i="248"/>
  <c r="H102" i="123" s="1"/>
  <c r="H58" i="123"/>
  <c r="D45" i="233"/>
  <c r="I58" i="123"/>
  <c r="I18" i="123" s="1"/>
  <c r="H204" i="248"/>
  <c r="H206" i="248"/>
  <c r="I102" i="123" s="1"/>
  <c r="H132" i="248"/>
  <c r="H169" i="367" s="1"/>
  <c r="H101" i="248"/>
  <c r="H55" i="86"/>
  <c r="K26" i="131"/>
  <c r="O51" i="95"/>
  <c r="I52" i="123"/>
  <c r="I13" i="123" s="1"/>
  <c r="I122" i="123" s="1"/>
  <c r="F101" i="248"/>
  <c r="P28" i="300"/>
  <c r="P32" i="300" s="1"/>
  <c r="P36" i="300" s="1"/>
  <c r="K70" i="126"/>
  <c r="L26" i="131"/>
  <c r="P51" i="95"/>
  <c r="H48" i="88"/>
  <c r="H9" i="88" s="1"/>
  <c r="I12" i="123"/>
  <c r="C132" i="248"/>
  <c r="C203" i="248" s="1"/>
  <c r="C101" i="248"/>
  <c r="G55" i="86"/>
  <c r="L53" i="123"/>
  <c r="L10" i="123" s="1"/>
  <c r="K45" i="131"/>
  <c r="K17" i="131"/>
  <c r="K18" i="88"/>
  <c r="L17" i="88"/>
  <c r="J26" i="314"/>
  <c r="H173" i="134"/>
  <c r="G204" i="248"/>
  <c r="O53" i="95"/>
  <c r="O63" i="95" s="1"/>
  <c r="H175" i="367"/>
  <c r="O28" i="300"/>
  <c r="J70" i="126"/>
  <c r="L6" i="131"/>
  <c r="P20" i="95"/>
  <c r="P32" i="95" s="1"/>
  <c r="P53" i="95" s="1"/>
  <c r="P63" i="95" s="1"/>
  <c r="E19" i="237"/>
  <c r="F124" i="123" s="1"/>
  <c r="E42" i="129"/>
  <c r="E55" i="129" s="1"/>
  <c r="E71" i="129"/>
  <c r="D49" i="133"/>
  <c r="D57" i="133"/>
  <c r="G19" i="86"/>
  <c r="G22" i="86" s="1"/>
  <c r="G24" i="86" s="1"/>
  <c r="E347" i="342"/>
  <c r="E57" i="133"/>
  <c r="E255" i="351"/>
  <c r="D49" i="86"/>
  <c r="D50" i="86" s="1"/>
  <c r="F6" i="123"/>
  <c r="C19" i="86"/>
  <c r="C22" i="86" s="1"/>
  <c r="C24" i="86" s="1"/>
  <c r="E96" i="123"/>
  <c r="D170" i="349"/>
  <c r="E131" i="123"/>
  <c r="E88" i="123"/>
  <c r="E132" i="123" s="1"/>
  <c r="K19" i="86"/>
  <c r="K22" i="86" s="1"/>
  <c r="K24" i="86" s="1"/>
  <c r="F36" i="123"/>
  <c r="F9" i="123" s="1"/>
  <c r="E36" i="123"/>
  <c r="E9" i="123" s="1"/>
  <c r="O37" i="137"/>
  <c r="O41" i="137" s="1"/>
  <c r="O45" i="137" s="1"/>
  <c r="D43" i="127"/>
  <c r="D45" i="127" s="1"/>
  <c r="E8" i="123"/>
  <c r="G59" i="127"/>
  <c r="G255" i="351" s="1"/>
  <c r="M86" i="123"/>
  <c r="M130" i="123" s="1"/>
  <c r="C50" i="86"/>
  <c r="E6" i="123"/>
  <c r="D19" i="237"/>
  <c r="E124" i="123" s="1"/>
  <c r="D42" i="129"/>
  <c r="D55" i="129" s="1"/>
  <c r="G101" i="248"/>
  <c r="F55" i="86"/>
  <c r="H113" i="123" s="1"/>
  <c r="F206" i="248"/>
  <c r="G102" i="123" s="1"/>
  <c r="J169" i="367"/>
  <c r="J203" i="248"/>
  <c r="G132" i="248"/>
  <c r="G169" i="367" s="1"/>
  <c r="E175" i="367"/>
  <c r="F48" i="88"/>
  <c r="F9" i="88" s="1"/>
  <c r="G57" i="123"/>
  <c r="G52" i="123"/>
  <c r="G13" i="123" s="1"/>
  <c r="G122" i="123" s="1"/>
  <c r="G26" i="314"/>
  <c r="F173" i="134"/>
  <c r="G12" i="123"/>
  <c r="L91" i="123"/>
  <c r="I169" i="367"/>
  <c r="I169" i="350"/>
  <c r="I203" i="248"/>
  <c r="G114" i="123"/>
  <c r="G18" i="123"/>
  <c r="F203" i="248"/>
  <c r="G42" i="129"/>
  <c r="G55" i="129" s="1"/>
  <c r="I42" i="129"/>
  <c r="I55" i="129" s="1"/>
  <c r="H71" i="129"/>
  <c r="H42" i="129"/>
  <c r="H55" i="129" s="1"/>
  <c r="F71" i="129"/>
  <c r="F42" i="129"/>
  <c r="F55" i="129" s="1"/>
  <c r="G173" i="134"/>
  <c r="H57" i="123"/>
  <c r="G175" i="367"/>
  <c r="G175" i="350"/>
  <c r="H52" i="123"/>
  <c r="H13" i="123" s="1"/>
  <c r="H122" i="123" s="1"/>
  <c r="F57" i="123"/>
  <c r="F18" i="123" s="1"/>
  <c r="H12" i="123"/>
  <c r="G48" i="88"/>
  <c r="G9" i="88" s="1"/>
  <c r="E48" i="88"/>
  <c r="E9" i="88" s="1"/>
  <c r="E175" i="350"/>
  <c r="C175" i="367"/>
  <c r="C173" i="134"/>
  <c r="E26" i="314"/>
  <c r="C48" i="88"/>
  <c r="C9" i="88" s="1"/>
  <c r="D52" i="123"/>
  <c r="D13" i="123" s="1"/>
  <c r="D122" i="123" s="1"/>
  <c r="C175" i="350"/>
  <c r="D12" i="123"/>
  <c r="D57" i="123"/>
  <c r="D18" i="123" s="1"/>
  <c r="E53" i="294"/>
  <c r="E59" i="294"/>
  <c r="D5" i="294"/>
  <c r="D21" i="294" s="1"/>
  <c r="K21" i="126"/>
  <c r="K40" i="126" s="1"/>
  <c r="P5" i="140"/>
  <c r="P20" i="140" s="1"/>
  <c r="C6" i="294"/>
  <c r="C21" i="294" s="1"/>
  <c r="O6" i="140"/>
  <c r="J21" i="126"/>
  <c r="J40" i="126" s="1"/>
  <c r="I173" i="134" s="1"/>
  <c r="L48" i="88"/>
  <c r="L9" i="88" s="1"/>
  <c r="M52" i="123"/>
  <c r="M13" i="123" s="1"/>
  <c r="M122" i="123" s="1"/>
  <c r="M26" i="314"/>
  <c r="M57" i="123"/>
  <c r="M18" i="123" s="1"/>
  <c r="Q37" i="137"/>
  <c r="Q41" i="137" s="1"/>
  <c r="Q45" i="137" s="1"/>
  <c r="P37" i="137"/>
  <c r="P41" i="137" s="1"/>
  <c r="P45" i="137" s="1"/>
  <c r="K170" i="349"/>
  <c r="L87" i="123"/>
  <c r="L131" i="123" s="1"/>
  <c r="M96" i="123"/>
  <c r="H170" i="349"/>
  <c r="I87" i="123"/>
  <c r="I131" i="123" s="1"/>
  <c r="I96" i="123"/>
  <c r="J87" i="123"/>
  <c r="J131" i="123" s="1"/>
  <c r="J96" i="123"/>
  <c r="I170" i="349"/>
  <c r="G87" i="123"/>
  <c r="G131" i="123" s="1"/>
  <c r="H96" i="123"/>
  <c r="F170" i="349"/>
  <c r="G35" i="88"/>
  <c r="G32" i="88"/>
  <c r="G19" i="88"/>
  <c r="F10" i="86"/>
  <c r="H127" i="123" s="1"/>
  <c r="H94" i="123"/>
  <c r="G36" i="237"/>
  <c r="G29" i="237" s="1"/>
  <c r="G32" i="237" s="1"/>
  <c r="G14" i="237" s="1"/>
  <c r="G18" i="237" s="1"/>
  <c r="H6" i="123" s="1"/>
  <c r="E19" i="86"/>
  <c r="E22" i="86" s="1"/>
  <c r="E24" i="86" s="1"/>
  <c r="G127" i="123"/>
  <c r="G91" i="123"/>
  <c r="K94" i="123"/>
  <c r="G34" i="88"/>
  <c r="G33" i="88"/>
  <c r="G8" i="88"/>
  <c r="G6" i="123"/>
  <c r="F347" i="342"/>
  <c r="K255" i="351"/>
  <c r="K347" i="342"/>
  <c r="J36" i="123"/>
  <c r="J9" i="123" s="1"/>
  <c r="E49" i="86"/>
  <c r="E50" i="86" s="1"/>
  <c r="E26" i="141"/>
  <c r="C347" i="342"/>
  <c r="C255" i="351"/>
  <c r="C57" i="133"/>
  <c r="D8" i="123"/>
  <c r="C43" i="127"/>
  <c r="C45" i="127" s="1"/>
  <c r="D127" i="123"/>
  <c r="B19" i="86"/>
  <c r="B22" i="86" s="1"/>
  <c r="B24" i="86" s="1"/>
  <c r="D86" i="123"/>
  <c r="E91" i="123"/>
  <c r="C19" i="237"/>
  <c r="B49" i="86"/>
  <c r="B50" i="86" s="1"/>
  <c r="D6" i="123"/>
  <c r="H36" i="123"/>
  <c r="H9" i="123" s="1"/>
  <c r="F255" i="351"/>
  <c r="F57" i="133"/>
  <c r="F43" i="127"/>
  <c r="F45" i="127" s="1"/>
  <c r="G8" i="123"/>
  <c r="M8" i="123"/>
  <c r="L43" i="127"/>
  <c r="L45" i="127" s="1"/>
  <c r="L57" i="127" s="1"/>
  <c r="M36" i="123"/>
  <c r="M9" i="123" s="1"/>
  <c r="J255" i="351"/>
  <c r="J347" i="342"/>
  <c r="L8" i="123"/>
  <c r="K43" i="127"/>
  <c r="K45" i="127" s="1"/>
  <c r="J19" i="86"/>
  <c r="J22" i="86" s="1"/>
  <c r="J24" i="86" s="1"/>
  <c r="L86" i="123"/>
  <c r="L127" i="123"/>
  <c r="M91" i="123"/>
  <c r="J26" i="141"/>
  <c r="H347" i="342"/>
  <c r="J8" i="123"/>
  <c r="I43" i="127"/>
  <c r="I45" i="127" s="1"/>
  <c r="H43" i="127"/>
  <c r="H45" i="127" s="1"/>
  <c r="I8" i="123"/>
  <c r="I36" i="123"/>
  <c r="I9" i="123" s="1"/>
  <c r="J86" i="123"/>
  <c r="H19" i="86"/>
  <c r="H22" i="86" s="1"/>
  <c r="H24" i="86" s="1"/>
  <c r="J91" i="123"/>
  <c r="J6" i="123"/>
  <c r="H49" i="86"/>
  <c r="H50" i="86" s="1"/>
  <c r="I19" i="237"/>
  <c r="G43" i="127"/>
  <c r="G45" i="127" s="1"/>
  <c r="H8" i="123"/>
  <c r="I124" i="123"/>
  <c r="I133" i="123"/>
  <c r="I134" i="123" s="1"/>
  <c r="I135" i="123" s="1"/>
  <c r="G124" i="123"/>
  <c r="G133" i="123"/>
  <c r="G134" i="123" s="1"/>
  <c r="G135" i="123" s="1"/>
  <c r="I45" i="233"/>
  <c r="N40" i="299"/>
  <c r="N45" i="299" s="1"/>
  <c r="H45" i="233"/>
  <c r="O40" i="299"/>
  <c r="O45" i="299" s="1"/>
  <c r="K247" i="351"/>
  <c r="J247" i="351"/>
  <c r="J49" i="133"/>
  <c r="P50" i="298"/>
  <c r="P53" i="298" s="1"/>
  <c r="I49" i="133"/>
  <c r="Q50" i="298"/>
  <c r="Q53" i="298" s="1"/>
  <c r="N28" i="298"/>
  <c r="N48" i="298" s="1"/>
  <c r="N50" i="298" s="1"/>
  <c r="N53" i="298" s="1"/>
  <c r="O48" i="298"/>
  <c r="O50" i="298" s="1"/>
  <c r="O53" i="298" s="1"/>
  <c r="I255" i="351"/>
  <c r="J57" i="133"/>
  <c r="K49" i="133"/>
  <c r="K57" i="133"/>
  <c r="F247" i="351"/>
  <c r="G49" i="133"/>
  <c r="F49" i="133"/>
  <c r="G247" i="351"/>
  <c r="A9" i="299"/>
  <c r="A27" i="299" s="1"/>
  <c r="G2" i="246"/>
  <c r="A7" i="299"/>
  <c r="A25" i="299" s="1"/>
  <c r="E2" i="246"/>
  <c r="A5" i="140"/>
  <c r="A5" i="294"/>
  <c r="A24" i="294" s="1"/>
  <c r="A24" i="126"/>
  <c r="A23" i="140" s="1"/>
  <c r="J71" i="129"/>
  <c r="J42" i="129"/>
  <c r="I19" i="86"/>
  <c r="I22" i="86" s="1"/>
  <c r="I24" i="86" s="1"/>
  <c r="K87" i="123"/>
  <c r="K131" i="123" s="1"/>
  <c r="K96" i="123"/>
  <c r="L96" i="123"/>
  <c r="N63" i="95"/>
  <c r="J43" i="127"/>
  <c r="J45" i="127" s="1"/>
  <c r="K8" i="123"/>
  <c r="R44" i="246"/>
  <c r="L36" i="123"/>
  <c r="L9" i="123" s="1"/>
  <c r="K36" i="123"/>
  <c r="K9" i="123" s="1"/>
  <c r="K26" i="141"/>
  <c r="I57" i="133"/>
  <c r="I42" i="86"/>
  <c r="J36" i="237"/>
  <c r="J29" i="237" s="1"/>
  <c r="J32" i="237" s="1"/>
  <c r="J14" i="237" s="1"/>
  <c r="J18" i="237" s="1"/>
  <c r="I49" i="86" s="1"/>
  <c r="J40" i="131"/>
  <c r="J51" i="131"/>
  <c r="F169" i="367" l="1"/>
  <c r="C37" i="137"/>
  <c r="C41" i="137" s="1"/>
  <c r="C45" i="137" s="1"/>
  <c r="K23" i="128"/>
  <c r="J173" i="134"/>
  <c r="D16" i="86"/>
  <c r="D18" i="86" s="1"/>
  <c r="E35" i="127"/>
  <c r="H18" i="123"/>
  <c r="H169" i="350"/>
  <c r="H203" i="248"/>
  <c r="M88" i="123"/>
  <c r="M132" i="123" s="1"/>
  <c r="F133" i="123"/>
  <c r="F134" i="123" s="1"/>
  <c r="F135" i="123" s="1"/>
  <c r="N28" i="300"/>
  <c r="N32" i="300" s="1"/>
  <c r="N36" i="300" s="1"/>
  <c r="O32" i="300"/>
  <c r="O36" i="300" s="1"/>
  <c r="J42" i="86"/>
  <c r="K46" i="131"/>
  <c r="K47" i="131" s="1"/>
  <c r="K50" i="131" s="1"/>
  <c r="K27" i="131"/>
  <c r="J43" i="86" s="1"/>
  <c r="I28" i="86"/>
  <c r="J74" i="126"/>
  <c r="J85" i="126" s="1"/>
  <c r="I60" i="316"/>
  <c r="K36" i="237"/>
  <c r="K29" i="237" s="1"/>
  <c r="K32" i="237" s="1"/>
  <c r="K14" i="237" s="1"/>
  <c r="K18" i="237" s="1"/>
  <c r="J49" i="86" s="1"/>
  <c r="L116" i="123"/>
  <c r="L27" i="131"/>
  <c r="K43" i="86" s="1"/>
  <c r="L46" i="131"/>
  <c r="J114" i="123"/>
  <c r="J113" i="123"/>
  <c r="I113" i="123"/>
  <c r="I114" i="123"/>
  <c r="K74" i="126"/>
  <c r="K85" i="126" s="1"/>
  <c r="J28" i="86"/>
  <c r="J60" i="316"/>
  <c r="M12" i="123"/>
  <c r="H114" i="123"/>
  <c r="O55" i="95"/>
  <c r="P54" i="95" s="1"/>
  <c r="P55" i="95" s="1"/>
  <c r="I88" i="123"/>
  <c r="I132" i="123" s="1"/>
  <c r="L45" i="131"/>
  <c r="L17" i="131"/>
  <c r="L18" i="88"/>
  <c r="M53" i="123"/>
  <c r="M10" i="123" s="1"/>
  <c r="K88" i="123"/>
  <c r="K132" i="123" s="1"/>
  <c r="G88" i="123"/>
  <c r="G132" i="123" s="1"/>
  <c r="G347" i="342"/>
  <c r="D57" i="127"/>
  <c r="D47" i="127"/>
  <c r="D58" i="128"/>
  <c r="D63" i="128" s="1"/>
  <c r="D71" i="128" s="1"/>
  <c r="D83" i="128" s="1"/>
  <c r="G57" i="133"/>
  <c r="K91" i="123"/>
  <c r="I26" i="141"/>
  <c r="E133" i="123"/>
  <c r="E134" i="123" s="1"/>
  <c r="E135" i="123" s="1"/>
  <c r="G203" i="248"/>
  <c r="G169" i="350"/>
  <c r="L23" i="128"/>
  <c r="L26" i="128" s="1"/>
  <c r="L19" i="129" s="1"/>
  <c r="K26" i="128"/>
  <c r="K19" i="129" s="1"/>
  <c r="K57" i="123"/>
  <c r="K18" i="123" s="1"/>
  <c r="J175" i="350"/>
  <c r="K12" i="123"/>
  <c r="J175" i="367"/>
  <c r="J48" i="88"/>
  <c r="J9" i="88" s="1"/>
  <c r="K52" i="123"/>
  <c r="K13" i="123" s="1"/>
  <c r="K122" i="123" s="1"/>
  <c r="K26" i="314"/>
  <c r="N6" i="140"/>
  <c r="N20" i="140" s="1"/>
  <c r="N39" i="140" s="1"/>
  <c r="O20" i="140"/>
  <c r="C53" i="294"/>
  <c r="C59" i="294"/>
  <c r="P39" i="140"/>
  <c r="P45" i="140"/>
  <c r="L12" i="123"/>
  <c r="K175" i="350"/>
  <c r="L52" i="123"/>
  <c r="L13" i="123" s="1"/>
  <c r="L122" i="123" s="1"/>
  <c r="K48" i="88"/>
  <c r="K9" i="88" s="1"/>
  <c r="K175" i="367"/>
  <c r="L26" i="314"/>
  <c r="L57" i="123"/>
  <c r="L18" i="123" s="1"/>
  <c r="D53" i="294"/>
  <c r="D59" i="294"/>
  <c r="F19" i="86"/>
  <c r="F22" i="86" s="1"/>
  <c r="F24" i="86" s="1"/>
  <c r="H91" i="123"/>
  <c r="H86" i="123"/>
  <c r="H88" i="123" s="1"/>
  <c r="H132" i="123" s="1"/>
  <c r="I91" i="123"/>
  <c r="F49" i="86"/>
  <c r="F50" i="86" s="1"/>
  <c r="G19" i="237"/>
  <c r="H124" i="123" s="1"/>
  <c r="C47" i="127"/>
  <c r="C58" i="128"/>
  <c r="C63" i="128" s="1"/>
  <c r="C71" i="128" s="1"/>
  <c r="C83" i="128" s="1"/>
  <c r="C57" i="127"/>
  <c r="D133" i="123"/>
  <c r="D134" i="123" s="1"/>
  <c r="D135" i="123" s="1"/>
  <c r="D124" i="123"/>
  <c r="D130" i="123"/>
  <c r="D88" i="123"/>
  <c r="D132" i="123" s="1"/>
  <c r="F58" i="128"/>
  <c r="F63" i="128" s="1"/>
  <c r="F71" i="128" s="1"/>
  <c r="F83" i="128" s="1"/>
  <c r="F47" i="127"/>
  <c r="F57" i="127"/>
  <c r="L47" i="127"/>
  <c r="Q56" i="298" s="1"/>
  <c r="L58" i="128"/>
  <c r="L130" i="123"/>
  <c r="L88" i="123"/>
  <c r="L132" i="123" s="1"/>
  <c r="K58" i="128"/>
  <c r="K47" i="127"/>
  <c r="K57" i="127"/>
  <c r="J130" i="123"/>
  <c r="J88" i="123"/>
  <c r="J132" i="123" s="1"/>
  <c r="J133" i="123"/>
  <c r="J134" i="123" s="1"/>
  <c r="J135" i="123" s="1"/>
  <c r="J124" i="123"/>
  <c r="H47" i="127"/>
  <c r="H58" i="128"/>
  <c r="H63" i="128" s="1"/>
  <c r="H71" i="128" s="1"/>
  <c r="H83" i="128" s="1"/>
  <c r="H57" i="127"/>
  <c r="I47" i="127"/>
  <c r="I58" i="128"/>
  <c r="I63" i="128" s="1"/>
  <c r="G57" i="127"/>
  <c r="G58" i="128"/>
  <c r="G63" i="128" s="1"/>
  <c r="G71" i="128" s="1"/>
  <c r="G83" i="128" s="1"/>
  <c r="G47" i="127"/>
  <c r="J47" i="127"/>
  <c r="J58" i="128"/>
  <c r="J57" i="127"/>
  <c r="J39" i="88"/>
  <c r="K7" i="123" s="1"/>
  <c r="K117" i="123" s="1"/>
  <c r="K5" i="123"/>
  <c r="I45" i="86"/>
  <c r="K89" i="123"/>
  <c r="J23" i="88"/>
  <c r="K39" i="131"/>
  <c r="J5" i="237"/>
  <c r="J6" i="237" s="1"/>
  <c r="J8" i="237" s="1"/>
  <c r="L47" i="131" l="1"/>
  <c r="L50" i="131" s="1"/>
  <c r="E37" i="127"/>
  <c r="E41" i="127" s="1"/>
  <c r="M42" i="368"/>
  <c r="E7" i="88"/>
  <c r="F121" i="123" s="1"/>
  <c r="E256" i="351"/>
  <c r="E348" i="342"/>
  <c r="G27" i="315"/>
  <c r="E58" i="133"/>
  <c r="F87" i="123"/>
  <c r="D19" i="86"/>
  <c r="D22" i="86" s="1"/>
  <c r="D24" i="86" s="1"/>
  <c r="E170" i="349"/>
  <c r="F96" i="123"/>
  <c r="G96" i="123"/>
  <c r="M116" i="123"/>
  <c r="L36" i="237"/>
  <c r="L29" i="237" s="1"/>
  <c r="L32" i="237" s="1"/>
  <c r="L14" i="237" s="1"/>
  <c r="L18" i="237" s="1"/>
  <c r="K49" i="86" s="1"/>
  <c r="J32" i="86"/>
  <c r="L107" i="123"/>
  <c r="L38" i="131"/>
  <c r="L51" i="131" s="1"/>
  <c r="K42" i="86"/>
  <c r="K38" i="131"/>
  <c r="K51" i="131" s="1"/>
  <c r="K107" i="123"/>
  <c r="I32" i="86"/>
  <c r="K110" i="123"/>
  <c r="L24" i="129"/>
  <c r="M17" i="123"/>
  <c r="K205" i="248"/>
  <c r="M101" i="123" s="1"/>
  <c r="K217" i="248"/>
  <c r="K24" i="129"/>
  <c r="J217" i="248"/>
  <c r="J205" i="248"/>
  <c r="L101" i="123" s="1"/>
  <c r="K169" i="349"/>
  <c r="L17" i="123"/>
  <c r="H130" i="123"/>
  <c r="I71" i="128"/>
  <c r="I83" i="128" s="1"/>
  <c r="J55" i="128"/>
  <c r="J57" i="128" s="1"/>
  <c r="J63" i="128" s="1"/>
  <c r="H133" i="123"/>
  <c r="H134" i="123" s="1"/>
  <c r="H135" i="123" s="1"/>
  <c r="O45" i="140"/>
  <c r="O39" i="140"/>
  <c r="Q48" i="137"/>
  <c r="Q48" i="299"/>
  <c r="P48" i="137"/>
  <c r="P48" i="299"/>
  <c r="P56" i="298"/>
  <c r="O48" i="137"/>
  <c r="O48" i="299"/>
  <c r="O56" i="298"/>
  <c r="I48" i="86"/>
  <c r="I50" i="86" s="1"/>
  <c r="K6" i="123"/>
  <c r="J19" i="237"/>
  <c r="K40" i="131" l="1"/>
  <c r="E43" i="127"/>
  <c r="E45" i="127" s="1"/>
  <c r="F8" i="123"/>
  <c r="F131" i="123"/>
  <c r="F88" i="123"/>
  <c r="F132" i="123" s="1"/>
  <c r="K23" i="88"/>
  <c r="L5" i="123"/>
  <c r="L39" i="131"/>
  <c r="L40" i="131" s="1"/>
  <c r="L5" i="237" s="1"/>
  <c r="L6" i="237" s="1"/>
  <c r="L8" i="237" s="1"/>
  <c r="K5" i="237"/>
  <c r="K6" i="237" s="1"/>
  <c r="K8" i="237" s="1"/>
  <c r="L6" i="123" s="1"/>
  <c r="L110" i="123"/>
  <c r="L108" i="123"/>
  <c r="L109" i="123"/>
  <c r="L114" i="123"/>
  <c r="K108" i="123"/>
  <c r="K109" i="123"/>
  <c r="K114" i="123"/>
  <c r="J36" i="86"/>
  <c r="K25" i="129"/>
  <c r="K36" i="86"/>
  <c r="L25" i="129"/>
  <c r="J71" i="128"/>
  <c r="K55" i="128"/>
  <c r="K57" i="128" s="1"/>
  <c r="K63" i="128" s="1"/>
  <c r="J45" i="129"/>
  <c r="J48" i="129" s="1"/>
  <c r="K124" i="123"/>
  <c r="K133" i="123"/>
  <c r="K134" i="123" s="1"/>
  <c r="K135" i="123" s="1"/>
  <c r="K45" i="86"/>
  <c r="M5" i="123"/>
  <c r="L39" i="88"/>
  <c r="M7" i="123" s="1"/>
  <c r="M117" i="123" s="1"/>
  <c r="L23" i="88"/>
  <c r="E47" i="127" l="1"/>
  <c r="E58" i="128"/>
  <c r="E63" i="128" s="1"/>
  <c r="E71" i="128" s="1"/>
  <c r="E83" i="128" s="1"/>
  <c r="E57" i="127"/>
  <c r="K39" i="88"/>
  <c r="L7" i="123" s="1"/>
  <c r="L117" i="123" s="1"/>
  <c r="J45" i="86"/>
  <c r="J48" i="86"/>
  <c r="J50" i="86" s="1"/>
  <c r="K19" i="237"/>
  <c r="L133" i="123" s="1"/>
  <c r="L134" i="123" s="1"/>
  <c r="L135" i="123" s="1"/>
  <c r="L42" i="129"/>
  <c r="L71" i="129"/>
  <c r="K42" i="129"/>
  <c r="K71" i="129"/>
  <c r="I39" i="86"/>
  <c r="J55" i="129"/>
  <c r="K71" i="128"/>
  <c r="K45" i="129"/>
  <c r="K48" i="129" s="1"/>
  <c r="L55" i="128"/>
  <c r="L57" i="128" s="1"/>
  <c r="L63" i="128" s="1"/>
  <c r="L71" i="128" s="1"/>
  <c r="J83" i="128"/>
  <c r="K48" i="86"/>
  <c r="K50" i="86" s="1"/>
  <c r="M6" i="123"/>
  <c r="L19" i="237"/>
  <c r="L124" i="123"/>
  <c r="L45" i="129" l="1"/>
  <c r="L48" i="129" s="1"/>
  <c r="J39" i="86"/>
  <c r="K55" i="129"/>
  <c r="K83" i="128"/>
  <c r="M124" i="123"/>
  <c r="M133" i="123"/>
  <c r="M134" i="123" s="1"/>
  <c r="M135" i="123" s="1"/>
  <c r="K39" i="86" l="1"/>
  <c r="L55" i="129"/>
  <c r="L83" i="128"/>
  <c r="H9" i="351" l="1"/>
  <c r="H7" i="133" s="1"/>
  <c r="H5" i="133" s="1"/>
  <c r="H25" i="133" s="1"/>
  <c r="H5" i="351" l="1"/>
  <c r="H124" i="351" s="1"/>
  <c r="H255" i="351" s="1"/>
  <c r="H57" i="133"/>
  <c r="H49" i="133"/>
  <c r="H247" i="351" l="1"/>
  <c r="I15" i="136"/>
  <c r="I27" i="136" s="1"/>
  <c r="I46" i="136" s="1"/>
</calcChain>
</file>

<file path=xl/sharedStrings.xml><?xml version="1.0" encoding="utf-8"?>
<sst xmlns="http://schemas.openxmlformats.org/spreadsheetml/2006/main" count="11632" uniqueCount="2716">
  <si>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</si>
  <si>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</si>
  <si>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</si>
  <si>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</si>
  <si>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</si>
  <si>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</si>
  <si>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</si>
  <si>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</si>
  <si>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</si>
  <si>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</si>
  <si>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</si>
  <si>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</si>
  <si>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</si>
  <si>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</si>
  <si>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</si>
  <si>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</si>
  <si>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</si>
  <si>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</si>
  <si>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</si>
  <si>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</si>
  <si>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</si>
  <si>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Generation</t>
  </si>
  <si>
    <t>Transmission &amp; Reticulation</t>
  </si>
  <si>
    <t>Dams &amp; Reservoirs</t>
  </si>
  <si>
    <t>Water purification</t>
  </si>
  <si>
    <t>Reticulation</t>
  </si>
  <si>
    <t>Sewerage purification</t>
  </si>
  <si>
    <t>Social rental housing</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</si>
  <si>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</si>
  <si>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</si>
  <si>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</si>
  <si>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</si>
  <si>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</si>
  <si>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</si>
  <si>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</si>
  <si>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</si>
  <si>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</si>
  <si>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</si>
  <si>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</si>
  <si>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</si>
  <si>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</si>
  <si>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</si>
  <si>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</si>
  <si>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</si>
  <si>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</si>
  <si>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</si>
  <si>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</si>
  <si>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</si>
  <si>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</si>
  <si>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</si>
  <si>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</si>
  <si>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</si>
  <si>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</si>
  <si>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</si>
  <si>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</si>
  <si>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</si>
  <si>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</si>
  <si>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</si>
  <si>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</si>
  <si>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</si>
  <si>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</si>
  <si>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</si>
  <si>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</si>
  <si>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</si>
  <si>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</si>
  <si>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</si>
  <si>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</si>
  <si>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</si>
  <si>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</si>
  <si>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</si>
  <si>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</si>
  <si>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</si>
  <si>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</si>
  <si>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MP316 Dr J.S. Moroka</t>
  </si>
  <si>
    <t>NW403 City Of Matlosana</t>
  </si>
  <si>
    <t>Choose name from list</t>
  </si>
  <si>
    <t>Name of Muni</t>
  </si>
  <si>
    <t>Name link</t>
  </si>
  <si>
    <t>Air Transport</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</si>
  <si>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</si>
  <si>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</si>
  <si>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</si>
  <si>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</si>
  <si>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</si>
  <si>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</si>
  <si>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</si>
  <si>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</si>
  <si>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</si>
  <si>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</si>
  <si>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</si>
  <si>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</si>
  <si>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</si>
  <si>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</si>
  <si>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</si>
  <si>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</si>
  <si>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</si>
  <si>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</si>
  <si>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</si>
  <si>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</si>
  <si>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</si>
  <si>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</si>
  <si>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</si>
  <si>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</si>
  <si>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</si>
  <si>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</si>
  <si>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</si>
  <si>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</si>
  <si>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</si>
  <si>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</si>
  <si>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</si>
  <si>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</si>
  <si>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</si>
  <si>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</si>
  <si>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</si>
  <si>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 increase/-decrease</t>
  </si>
  <si>
    <t>5. Net assets must balance with Total Community Wealth/Equity</t>
  </si>
  <si>
    <t>Street Lighting</t>
  </si>
  <si>
    <t>Gas</t>
  </si>
  <si>
    <t>sub-total</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</si>
  <si>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</si>
  <si>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</si>
  <si>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</si>
  <si>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</si>
  <si>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</si>
  <si>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</si>
  <si>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</si>
  <si>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</si>
  <si>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</si>
  <si>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</si>
  <si>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</si>
  <si>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</si>
  <si>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</si>
  <si>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</si>
  <si>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</si>
  <si>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</si>
  <si>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</si>
  <si>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</si>
  <si>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</si>
  <si>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</si>
  <si>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</si>
  <si>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</si>
  <si>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</si>
  <si>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</si>
  <si>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</si>
  <si>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</si>
  <si>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</si>
  <si>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</si>
  <si>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</si>
  <si>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</si>
  <si>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</si>
  <si>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</si>
  <si>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</si>
  <si>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</si>
  <si>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</si>
  <si>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</si>
  <si>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</si>
  <si>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</si>
  <si>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</si>
  <si>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EC135 Intsika Yethu</t>
  </si>
  <si>
    <t>EC137 Engcobo</t>
  </si>
  <si>
    <t>EC138 Sakhisizwe</t>
  </si>
  <si>
    <t>EC141 Elundini</t>
  </si>
  <si>
    <t>EC142 Senqu</t>
  </si>
  <si>
    <t>2. Must reconcile to Budgeted Financial Performance (revenue and expenditure)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</si>
  <si>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</si>
  <si>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</si>
  <si>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</si>
  <si>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</si>
  <si>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</si>
  <si>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</si>
  <si>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</si>
  <si>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</si>
  <si>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</si>
  <si>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</si>
  <si>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</si>
  <si>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</si>
  <si>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</si>
  <si>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</si>
  <si>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</si>
  <si>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</si>
  <si>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</si>
  <si>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</si>
  <si>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</si>
  <si>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</si>
  <si>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</si>
  <si>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</si>
  <si>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</si>
  <si>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</si>
  <si>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</si>
  <si>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</si>
  <si>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</si>
  <si>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</si>
  <si>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</si>
  <si>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</si>
  <si>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</si>
  <si>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</si>
  <si>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</si>
  <si>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</si>
  <si>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</si>
  <si>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</si>
  <si>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</si>
  <si>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</si>
  <si>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</si>
  <si>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</si>
  <si>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</si>
  <si>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</si>
  <si>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</si>
  <si>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</si>
  <si>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</si>
  <si>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</si>
  <si>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</si>
  <si>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</si>
  <si>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</si>
  <si>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</si>
  <si>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</si>
  <si>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</si>
  <si>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</si>
  <si>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</si>
  <si>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</si>
  <si>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</si>
  <si>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</si>
  <si>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</si>
  <si>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</si>
  <si>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</si>
  <si>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</si>
  <si>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</si>
  <si>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</si>
  <si>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</si>
  <si>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</si>
  <si>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</si>
  <si>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</si>
  <si>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</si>
  <si>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</si>
  <si>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Total payments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</si>
  <si>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</si>
  <si>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</si>
  <si>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</si>
  <si>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</si>
  <si>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</si>
  <si>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</si>
  <si>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</si>
  <si>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</si>
  <si>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</si>
  <si>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</si>
  <si>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</si>
  <si>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</si>
  <si>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</si>
  <si>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</si>
  <si>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</si>
  <si>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</si>
  <si>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</si>
  <si>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</si>
  <si>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</si>
  <si>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</si>
  <si>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</si>
  <si>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</si>
  <si>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</si>
  <si>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</si>
  <si>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</si>
  <si>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</si>
  <si>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</si>
  <si>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</si>
  <si>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</si>
  <si>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</si>
  <si>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</si>
  <si>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</si>
  <si>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</si>
  <si>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</si>
  <si>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</si>
  <si>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</si>
  <si>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</si>
  <si>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</si>
  <si>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Transportation</t>
  </si>
  <si>
    <t>Other Land</t>
  </si>
  <si>
    <t>Other Buildings</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</si>
  <si>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</si>
  <si>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</si>
  <si>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</si>
  <si>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</si>
  <si>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</si>
  <si>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</si>
  <si>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</si>
  <si>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</si>
  <si>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</si>
  <si>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</si>
  <si>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</si>
  <si>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Human Resources</t>
  </si>
  <si>
    <t>Information Technology</t>
  </si>
  <si>
    <t>% of Creditors Paid Within Terms (within`MFMA' s 65(e))</t>
  </si>
  <si>
    <t>Libraries</t>
  </si>
  <si>
    <t>Description of financial indicator</t>
  </si>
  <si>
    <t>Electricity Distribution Losses (2)</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</si>
  <si>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</si>
  <si>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</si>
  <si>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</si>
  <si>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</si>
  <si>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</si>
  <si>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</si>
  <si>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</si>
  <si>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</si>
  <si>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</si>
  <si>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</si>
  <si>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</si>
  <si>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</si>
  <si>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</si>
  <si>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</si>
  <si>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</si>
  <si>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</si>
  <si>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</si>
  <si>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</si>
  <si>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</si>
  <si>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</si>
  <si>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</si>
  <si>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</si>
  <si>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</si>
  <si>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</si>
  <si>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</si>
  <si>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</si>
  <si>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</si>
  <si>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</si>
  <si>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</si>
  <si>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</si>
  <si>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Less: Provision for debt impairment</t>
  </si>
  <si>
    <t>Other Revenue by source</t>
  </si>
  <si>
    <t>Minimum Service Level and Above sub-total</t>
  </si>
  <si>
    <t>Sanitation (free minimum level service)</t>
  </si>
  <si>
    <t>Refuse (removed at least once a week)</t>
  </si>
  <si>
    <t>Electricity (kwh per household per month)</t>
  </si>
  <si>
    <t>Municipal Housing - rental rebates</t>
  </si>
  <si>
    <t>Housing - top structure subsidies</t>
  </si>
  <si>
    <t>Increase (decrease) in consumer deposits</t>
  </si>
  <si>
    <t>Multi-year expenditure appropriation</t>
  </si>
  <si>
    <t>Repairs and Maintenance by Asset Class</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</si>
  <si>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</si>
  <si>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</si>
  <si>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</si>
  <si>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</si>
  <si>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</si>
  <si>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</si>
  <si>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</si>
  <si>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</si>
  <si>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</si>
  <si>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</si>
  <si>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</si>
  <si>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</si>
  <si>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</si>
  <si>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</si>
  <si>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</si>
  <si>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</si>
  <si>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</si>
  <si>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</si>
  <si>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</si>
  <si>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</si>
  <si>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</si>
  <si>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</si>
  <si>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</si>
  <si>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</si>
  <si>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</si>
  <si>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</si>
  <si>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</si>
  <si>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</si>
  <si>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</si>
  <si>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</si>
  <si>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</si>
  <si>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</si>
  <si>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</si>
  <si>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</si>
  <si>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</si>
  <si>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</si>
  <si>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</si>
  <si>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</si>
  <si>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</si>
  <si>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</si>
  <si>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</si>
  <si>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</si>
  <si>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</si>
  <si>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</si>
  <si>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</si>
  <si>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Total Renewal of Existing Assets</t>
  </si>
  <si>
    <t>Total Property Rates</t>
  </si>
  <si>
    <t>Net Property Rates</t>
  </si>
  <si>
    <t>Repairs and Maintenance</t>
  </si>
  <si>
    <t>Positions</t>
  </si>
  <si>
    <t>Contract employees</t>
  </si>
  <si>
    <t>Municipal Council and Boards of Municipal Entities</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</si>
  <si>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</si>
  <si>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</si>
  <si>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</si>
  <si>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</si>
  <si>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</si>
  <si>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</si>
  <si>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</si>
  <si>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</si>
  <si>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</si>
  <si>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</si>
  <si>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</si>
  <si>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</si>
  <si>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</si>
  <si>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</si>
  <si>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</si>
  <si>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</si>
  <si>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</si>
  <si>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</si>
  <si>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</si>
  <si>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</si>
  <si>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</si>
  <si>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</si>
  <si>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</si>
  <si>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</si>
  <si>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</si>
  <si>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</si>
  <si>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</si>
  <si>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</si>
  <si>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</si>
  <si>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</si>
  <si>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</si>
  <si>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</si>
  <si>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</si>
  <si>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</si>
  <si>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</si>
  <si>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</si>
  <si>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</si>
  <si>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</si>
  <si>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</si>
  <si>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</si>
  <si>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</si>
  <si>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</si>
  <si>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</si>
  <si>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</si>
  <si>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</si>
  <si>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</si>
  <si>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</si>
  <si>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</si>
  <si>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</si>
  <si>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</si>
  <si>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</si>
  <si>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</si>
  <si>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</si>
  <si>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</si>
  <si>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</si>
  <si>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</si>
  <si>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</si>
  <si>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</si>
  <si>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</si>
  <si>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</si>
  <si>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</si>
  <si>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</si>
  <si>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</si>
  <si>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</si>
  <si>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</si>
  <si>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</si>
  <si>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</si>
  <si>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</si>
  <si>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</si>
  <si>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</si>
  <si>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</si>
  <si>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</si>
  <si>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</si>
  <si>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</si>
  <si>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</si>
  <si>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</si>
  <si>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</si>
  <si>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</si>
  <si>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</si>
  <si>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</si>
  <si>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</si>
  <si>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Roads, Pavements &amp; Bridges</t>
  </si>
  <si>
    <t>Storm water</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</si>
  <si>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</si>
  <si>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</si>
  <si>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</si>
  <si>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</si>
  <si>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</si>
  <si>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</si>
  <si>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</si>
  <si>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</si>
  <si>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</si>
  <si>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</si>
  <si>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</si>
  <si>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</si>
  <si>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</si>
  <si>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</si>
  <si>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</si>
  <si>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</si>
  <si>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</si>
  <si>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</si>
  <si>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</si>
  <si>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</si>
  <si>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</si>
  <si>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</si>
  <si>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</si>
  <si>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</si>
  <si>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</si>
  <si>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</si>
  <si>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</si>
  <si>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</si>
  <si>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</si>
  <si>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</si>
  <si>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</si>
  <si>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</si>
  <si>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</si>
  <si>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</si>
  <si>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</si>
  <si>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</si>
  <si>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</si>
  <si>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</si>
  <si>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</si>
  <si>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</si>
  <si>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</si>
  <si>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</si>
  <si>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</si>
  <si>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</si>
  <si>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</si>
  <si>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</si>
  <si>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</si>
  <si>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</si>
  <si>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</si>
  <si>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</si>
  <si>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</si>
  <si>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</si>
  <si>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</si>
  <si>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</si>
  <si>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</si>
  <si>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</si>
  <si>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</si>
  <si>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</si>
  <si>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</si>
  <si>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</si>
  <si>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</si>
  <si>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Dividends</t>
  </si>
  <si>
    <t>Equity</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</si>
  <si>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</si>
  <si>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</si>
  <si>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</si>
  <si>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</si>
  <si>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</si>
  <si>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</si>
  <si>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</si>
  <si>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Tourism</t>
  </si>
  <si>
    <t>Ambulance</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</si>
  <si>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</si>
  <si>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</si>
  <si>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</si>
  <si>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</si>
  <si>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</si>
  <si>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</si>
  <si>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</si>
  <si>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</si>
  <si>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</si>
  <si>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</si>
  <si>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</si>
  <si>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</si>
  <si>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</si>
  <si>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</si>
  <si>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</si>
  <si>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</si>
  <si>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</si>
  <si>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</si>
  <si>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Demographics</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</si>
  <si>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</si>
  <si>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</si>
  <si>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</si>
  <si>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</si>
  <si>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</si>
  <si>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</si>
  <si>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</si>
  <si>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</si>
  <si>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</si>
  <si>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</si>
  <si>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</si>
  <si>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</si>
  <si>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</si>
  <si>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</si>
  <si>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</si>
  <si>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</si>
  <si>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</si>
  <si>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</si>
  <si>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</si>
  <si>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</si>
  <si>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</si>
  <si>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</si>
  <si>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</si>
  <si>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</si>
  <si>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</si>
  <si>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</si>
  <si>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</si>
  <si>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</si>
  <si>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</si>
  <si>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</si>
  <si>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</si>
  <si>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</si>
  <si>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</si>
  <si>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</si>
  <si>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</si>
  <si>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</si>
  <si>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</si>
  <si>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</si>
  <si>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</si>
  <si>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</si>
  <si>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</si>
  <si>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</si>
  <si>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</si>
  <si>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</si>
  <si>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</si>
  <si>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</si>
  <si>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</si>
  <si>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</si>
  <si>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</si>
  <si>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</si>
  <si>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</si>
  <si>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</si>
  <si>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</si>
  <si>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</si>
  <si>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</si>
  <si>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</si>
  <si>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</si>
  <si>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</si>
  <si>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</si>
  <si>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</si>
  <si>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</si>
  <si>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</si>
  <si>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</si>
  <si>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</si>
  <si>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</si>
  <si>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</si>
  <si>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</si>
  <si>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</si>
  <si>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</si>
  <si>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</si>
  <si>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</si>
  <si>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</si>
  <si>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</si>
  <si>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</si>
  <si>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</si>
  <si>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</si>
  <si>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Sewerage</t>
  </si>
  <si>
    <t>Storm Water Management</t>
  </si>
  <si>
    <t>Public Toilets</t>
  </si>
  <si>
    <t>Roads</t>
  </si>
  <si>
    <t>Water Distribution</t>
  </si>
  <si>
    <t>Water Storage</t>
  </si>
  <si>
    <t>Set name on 'Instructions' sheet</t>
  </si>
  <si>
    <t>Removed at least once a week</t>
  </si>
  <si>
    <t>Total outstanding service debtors/annual revenue received for services</t>
  </si>
  <si>
    <t>No. of successful objections &gt; 10%</t>
  </si>
  <si>
    <t>No. of supplementary valuations</t>
  </si>
  <si>
    <t>No. of valuation roll amendments</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</si>
  <si>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</si>
  <si>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</si>
  <si>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</si>
  <si>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</si>
  <si>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</si>
  <si>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</si>
  <si>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</si>
  <si>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</si>
  <si>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</si>
  <si>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</si>
  <si>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</si>
  <si>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</si>
  <si>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</si>
  <si>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</si>
  <si>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</si>
  <si>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</si>
  <si>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</si>
  <si>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</si>
  <si>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</si>
  <si>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</si>
  <si>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</si>
  <si>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</si>
  <si>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</si>
  <si>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</si>
  <si>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</si>
  <si>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</si>
  <si>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</si>
  <si>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</si>
  <si>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</si>
  <si>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</si>
  <si>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</si>
  <si>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</si>
  <si>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</si>
  <si>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</si>
  <si>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</si>
  <si>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</si>
  <si>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</si>
  <si>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</si>
  <si>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</si>
  <si>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</si>
  <si>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</si>
  <si>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</si>
  <si>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</si>
  <si>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</si>
  <si>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</si>
  <si>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</si>
  <si>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</si>
  <si>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</si>
  <si>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</si>
  <si>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</si>
  <si>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</si>
  <si>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</si>
  <si>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</si>
  <si>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</si>
  <si>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</si>
  <si>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</si>
  <si>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</si>
  <si>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</si>
  <si>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</si>
  <si>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</si>
  <si>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</si>
  <si>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</si>
  <si>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Contributions recognised - capital</t>
  </si>
  <si>
    <t>List contributions by contract</t>
  </si>
  <si>
    <t>Less: Accumulated depreciation</t>
  </si>
  <si>
    <t>8. Must reflect the cost to the municipality of providing the Free Basic Service</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</si>
  <si>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</si>
  <si>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</si>
  <si>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</si>
  <si>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</si>
  <si>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</si>
  <si>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</si>
  <si>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</si>
  <si>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</si>
  <si>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</si>
  <si>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</si>
  <si>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</si>
  <si>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</si>
  <si>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MP301 Albert Luthuli</t>
  </si>
  <si>
    <t>MP302 Msukaligwa</t>
  </si>
  <si>
    <t>MP303 Mkhondo</t>
  </si>
  <si>
    <t>MP305 Lekwa</t>
  </si>
  <si>
    <t>MP306 Dipaleseng</t>
  </si>
  <si>
    <t>MP307 Govan Mbeki</t>
  </si>
  <si>
    <t>MP313 Steve Tshwete</t>
  </si>
  <si>
    <t>MP314 Emakhazeni</t>
  </si>
  <si>
    <t>MP321 Thaba Chweu</t>
  </si>
  <si>
    <t>MP324 Nkomazi</t>
  </si>
  <si>
    <t>MP325 Bushbuckridge</t>
  </si>
  <si>
    <t>NC061 Richtersveld</t>
  </si>
  <si>
    <t>NC062 Nama Khoi</t>
  </si>
  <si>
    <t>NC064 Kamiesberg</t>
  </si>
  <si>
    <t>NC065 Hantam</t>
  </si>
  <si>
    <t>NC066 Karoo Hoogland</t>
  </si>
  <si>
    <t>NC067 Khai-Ma</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</si>
  <si>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</si>
  <si>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</si>
  <si>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</si>
  <si>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</si>
  <si>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</si>
  <si>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</si>
  <si>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</si>
  <si>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</si>
  <si>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</si>
  <si>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</si>
  <si>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</si>
  <si>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</si>
  <si>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</si>
  <si>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</si>
  <si>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</si>
  <si>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</si>
  <si>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</si>
  <si>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</si>
  <si>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</si>
  <si>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Present value</t>
  </si>
  <si>
    <t>Forecasts</t>
  </si>
  <si>
    <t>Future operational costs by vote</t>
  </si>
  <si>
    <t>Future revenue by source</t>
  </si>
  <si>
    <t>Net Financial Implications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</si>
  <si>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</si>
  <si>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</si>
  <si>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</si>
  <si>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</si>
  <si>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</si>
  <si>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</si>
  <si>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</si>
  <si>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</si>
  <si>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</si>
  <si>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</si>
  <si>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</si>
  <si>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</si>
  <si>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</si>
  <si>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</si>
  <si>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</si>
  <si>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</si>
  <si>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</si>
  <si>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</si>
  <si>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</si>
  <si>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</si>
  <si>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</si>
  <si>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</si>
  <si>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</si>
  <si>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</si>
  <si>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</si>
  <si>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</si>
  <si>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</si>
  <si>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</si>
  <si>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</si>
  <si>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</si>
  <si>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</si>
  <si>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</si>
  <si>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</si>
  <si>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</si>
  <si>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</si>
  <si>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</si>
  <si>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</si>
  <si>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</si>
  <si>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</si>
  <si>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</si>
  <si>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</si>
  <si>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</si>
  <si>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</si>
  <si>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</si>
  <si>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</si>
  <si>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</si>
  <si>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</si>
  <si>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</si>
  <si>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</si>
  <si>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</si>
  <si>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</si>
  <si>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</si>
  <si>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</si>
  <si>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</si>
  <si>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</si>
  <si>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</si>
  <si>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</si>
  <si>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</si>
  <si>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</si>
  <si>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</si>
  <si>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</si>
  <si>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</si>
  <si>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</si>
  <si>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</si>
  <si>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</si>
  <si>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</si>
  <si>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</si>
  <si>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</si>
  <si>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</si>
  <si>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</si>
  <si>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</si>
  <si>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</si>
  <si>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</si>
  <si>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Asset register summary (WDV)</t>
  </si>
  <si>
    <t>Security and policing</t>
  </si>
  <si>
    <t>Cash/cash equivalents at the month/year end:</t>
  </si>
  <si>
    <t>Cash/cash equivalents at the month/year begin:</t>
  </si>
  <si>
    <t>Heritage assets</t>
  </si>
  <si>
    <t>Investment properties</t>
  </si>
  <si>
    <t>Other assets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</si>
  <si>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</si>
  <si>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</si>
  <si>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</si>
  <si>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</si>
  <si>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</si>
  <si>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</si>
  <si>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</si>
  <si>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</si>
  <si>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</si>
  <si>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</si>
  <si>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</si>
  <si>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</si>
  <si>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</si>
  <si>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</si>
  <si>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</si>
  <si>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</si>
  <si>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</si>
  <si>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</si>
  <si>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</si>
  <si>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</si>
  <si>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</si>
  <si>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</si>
  <si>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</si>
  <si>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Supporting Table SA10</t>
  </si>
  <si>
    <t>Supporting Table SA11</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</si>
  <si>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</si>
  <si>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</si>
  <si>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</si>
  <si>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</si>
  <si>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</si>
  <si>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</si>
  <si>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</si>
  <si>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</si>
  <si>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</si>
  <si>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</si>
  <si>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</si>
  <si>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</si>
  <si>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</si>
  <si>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</si>
  <si>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</si>
  <si>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</si>
  <si>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</si>
  <si>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</si>
  <si>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</si>
  <si>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</si>
  <si>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</si>
  <si>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</si>
  <si>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</si>
  <si>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</si>
  <si>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</si>
  <si>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</si>
  <si>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</si>
  <si>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</si>
  <si>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</si>
  <si>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</si>
  <si>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</si>
  <si>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</si>
  <si>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</si>
  <si>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</si>
  <si>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</si>
  <si>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</si>
  <si>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</si>
  <si>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</si>
  <si>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</si>
  <si>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</si>
  <si>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</si>
  <si>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</si>
  <si>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</si>
  <si>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</si>
  <si>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</si>
  <si>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</si>
  <si>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</si>
  <si>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</si>
  <si>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</si>
  <si>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</si>
  <si>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</si>
  <si>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</si>
  <si>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</si>
  <si>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</si>
  <si>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</si>
  <si>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</si>
  <si>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</si>
  <si>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</si>
  <si>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</si>
  <si>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</si>
  <si>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</si>
  <si>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</si>
  <si>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</si>
  <si>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</si>
  <si>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</si>
  <si>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</si>
  <si>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</si>
  <si>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</si>
  <si>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</si>
  <si>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</si>
  <si>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</si>
  <si>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</si>
  <si>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</si>
  <si>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</si>
  <si>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</si>
  <si>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</si>
  <si>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</si>
  <si>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</si>
  <si>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</si>
  <si>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</si>
  <si>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</si>
  <si>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</si>
  <si>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</si>
  <si>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</si>
  <si>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</si>
  <si>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</si>
  <si>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</si>
  <si>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</si>
  <si>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</si>
  <si>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</si>
  <si>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</si>
  <si>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</si>
  <si>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</si>
  <si>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</si>
  <si>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</si>
  <si>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</si>
  <si>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</si>
  <si>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</si>
  <si>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</si>
  <si>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</si>
  <si>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</si>
  <si>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</si>
  <si>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</si>
  <si>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</si>
  <si>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</si>
  <si>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</si>
  <si>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</si>
  <si>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</si>
  <si>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</si>
  <si>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</si>
  <si>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</si>
  <si>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</si>
  <si>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</si>
  <si>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</si>
  <si>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</si>
  <si>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</si>
  <si>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</si>
  <si>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</si>
  <si>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</si>
  <si>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</si>
  <si>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</si>
  <si>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</si>
  <si>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</si>
  <si>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</si>
  <si>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</si>
  <si>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</si>
  <si>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</si>
  <si>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</si>
  <si>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</si>
  <si>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</si>
  <si>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</si>
  <si>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</si>
  <si>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</si>
  <si>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</si>
  <si>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</si>
  <si>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</si>
  <si>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</si>
  <si>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</si>
  <si>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</si>
  <si>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</si>
  <si>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</si>
  <si>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</si>
  <si>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</si>
  <si>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</si>
  <si>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</si>
  <si>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</si>
  <si>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</si>
  <si>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</si>
  <si>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</si>
  <si>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</si>
  <si>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</si>
  <si>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</si>
  <si>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</si>
  <si>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</si>
  <si>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</si>
  <si>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</si>
  <si>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</si>
  <si>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</si>
  <si>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</si>
  <si>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</si>
  <si>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</si>
  <si>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</si>
  <si>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</si>
  <si>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</si>
  <si>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</si>
  <si>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</si>
  <si>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</si>
  <si>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</si>
  <si>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</si>
  <si>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</si>
  <si>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</si>
  <si>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</si>
  <si>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</si>
  <si>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</si>
  <si>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</si>
  <si>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</si>
  <si>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DC48 West Rand</t>
  </si>
  <si>
    <t>DC5 Central Karoo</t>
  </si>
  <si>
    <t>DC6 Namakwa</t>
  </si>
  <si>
    <t>NC NORTHERN CAPE</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</si>
  <si>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</si>
  <si>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</si>
  <si>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</si>
  <si>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</si>
  <si>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</si>
  <si>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</si>
  <si>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</si>
  <si>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</si>
  <si>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</si>
  <si>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</si>
  <si>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</si>
  <si>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</si>
  <si>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</si>
  <si>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</si>
  <si>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</si>
  <si>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</si>
  <si>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</si>
  <si>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</si>
  <si>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</si>
  <si>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</si>
  <si>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</si>
  <si>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</si>
  <si>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</si>
  <si>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</si>
  <si>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</si>
  <si>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</si>
  <si>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</si>
  <si>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</si>
  <si>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</si>
  <si>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</si>
  <si>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</si>
  <si>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</si>
  <si>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</si>
  <si>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</si>
  <si>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</si>
  <si>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Capital expenditure on new assets by Asset Class/Sub-class</t>
  </si>
  <si>
    <t>Other toilet provisions (&lt; min.service level)</t>
  </si>
  <si>
    <t>Electricity (at least min.service level)</t>
  </si>
  <si>
    <t>Provincial - capex</t>
  </si>
  <si>
    <t xml:space="preserve">  Other transfers/grants [insert description]</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</si>
  <si>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</si>
  <si>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</si>
  <si>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</si>
  <si>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</si>
  <si>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</si>
  <si>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</si>
  <si>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</si>
  <si>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</si>
  <si>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</si>
  <si>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</si>
  <si>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</si>
  <si>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</si>
  <si>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</si>
  <si>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</si>
  <si>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</si>
  <si>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</si>
  <si>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</si>
  <si>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DoRA operating</t>
  </si>
  <si>
    <t>5. Repairs &amp; maintenance detailed in Table A9 and Table SA34c</t>
  </si>
  <si>
    <t>Forecast Cash Flow</t>
  </si>
  <si>
    <t>Entity 2</t>
  </si>
  <si>
    <t>Entity 3</t>
  </si>
  <si>
    <t>Ent2</t>
  </si>
  <si>
    <t>Ent3</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</si>
  <si>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</si>
  <si>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</si>
  <si>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</si>
  <si>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</si>
  <si>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</si>
  <si>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</si>
  <si>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</si>
  <si>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</si>
  <si>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</si>
  <si>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</si>
  <si>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</si>
  <si>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</si>
  <si>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</si>
  <si>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</si>
  <si>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</si>
  <si>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</si>
  <si>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</si>
  <si>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</si>
  <si>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</si>
  <si>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</si>
  <si>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</si>
  <si>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</si>
  <si>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</si>
  <si>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</si>
  <si>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</si>
  <si>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</si>
  <si>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</si>
  <si>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</si>
  <si>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</si>
  <si>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</si>
  <si>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</si>
  <si>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</si>
  <si>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</si>
  <si>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</si>
  <si>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</si>
  <si>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</si>
  <si>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</si>
  <si>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</si>
  <si>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</si>
  <si>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</si>
  <si>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</si>
  <si>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</si>
  <si>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</si>
  <si>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</si>
  <si>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</si>
  <si>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</si>
  <si>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</si>
  <si>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</si>
  <si>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Electricity/other energy (50kwh per household per month)</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</si>
  <si>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</si>
  <si>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</si>
  <si>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</si>
  <si>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</si>
  <si>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</si>
  <si>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</si>
  <si>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</si>
  <si>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</si>
  <si>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</si>
  <si>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</si>
  <si>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</si>
  <si>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</si>
  <si>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</si>
  <si>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</si>
  <si>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</si>
  <si>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</si>
  <si>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</si>
  <si>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1. Insert description listed by municipal name and demarcation code of recipient</t>
  </si>
  <si>
    <t>Depreciation offsets</t>
  </si>
  <si>
    <t>B</t>
  </si>
  <si>
    <t>Chart 11</t>
  </si>
  <si>
    <t>Chart 12</t>
  </si>
  <si>
    <t>Chart 13</t>
  </si>
  <si>
    <t>Chart 14</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</si>
  <si>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</si>
  <si>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</si>
  <si>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</si>
  <si>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</si>
  <si>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</si>
  <si>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</si>
  <si>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</si>
  <si>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</si>
  <si>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</si>
  <si>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</si>
  <si>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</si>
  <si>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</si>
  <si>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</si>
  <si>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</si>
  <si>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</si>
  <si>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</si>
  <si>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</si>
  <si>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</si>
  <si>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</si>
  <si>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</si>
  <si>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</si>
  <si>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</si>
  <si>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</si>
  <si>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</si>
  <si>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</si>
  <si>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</si>
  <si>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</si>
  <si>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</si>
  <si>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</si>
  <si>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</si>
  <si>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</si>
  <si>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</si>
  <si>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</si>
  <si>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</si>
  <si>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</si>
  <si>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Vote 1 - vote name</t>
  </si>
  <si>
    <t>Function 1 - (name)</t>
  </si>
  <si>
    <t>Sub-function 1 - (name)</t>
  </si>
  <si>
    <t>Function 2 - (name)</t>
  </si>
  <si>
    <t>Sub-function 2 - (name)</t>
  </si>
  <si>
    <t>Sub-function 3 - (name)</t>
  </si>
  <si>
    <t>Vote 2 - vote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</si>
  <si>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</si>
  <si>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</si>
  <si>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</si>
  <si>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</si>
  <si>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</si>
  <si>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</si>
  <si>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</si>
  <si>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</si>
  <si>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</si>
  <si>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</si>
  <si>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</si>
  <si>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</si>
  <si>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</si>
  <si>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</si>
  <si>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</si>
  <si>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</si>
  <si>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</si>
  <si>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</si>
  <si>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</si>
  <si>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</si>
  <si>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</si>
  <si>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</si>
  <si>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</si>
  <si>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</si>
  <si>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</si>
  <si>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</si>
  <si>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</si>
  <si>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</si>
  <si>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</si>
  <si>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</si>
  <si>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</si>
  <si>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</si>
  <si>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</si>
  <si>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</si>
  <si>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</si>
  <si>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</si>
  <si>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</si>
  <si>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</si>
  <si>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</si>
  <si>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</si>
  <si>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</si>
  <si>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</si>
  <si>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</si>
  <si>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</si>
  <si>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</si>
  <si>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</si>
  <si>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</si>
  <si>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</si>
  <si>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</si>
  <si>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</si>
  <si>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</si>
  <si>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</si>
  <si>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</si>
  <si>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</si>
  <si>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</si>
  <si>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</si>
  <si>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</si>
  <si>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</si>
  <si>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</si>
  <si>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</si>
  <si>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</si>
  <si>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</si>
  <si>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</si>
  <si>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</si>
  <si>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</si>
  <si>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</si>
  <si>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</si>
  <si>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</si>
  <si>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</si>
  <si>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</si>
  <si>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</si>
  <si>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</si>
  <si>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</si>
  <si>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</si>
  <si>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</si>
  <si>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</si>
  <si>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</si>
  <si>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</si>
  <si>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</si>
  <si>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</si>
  <si>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</si>
  <si>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</si>
  <si>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</si>
  <si>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</si>
  <si>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</si>
  <si>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</si>
  <si>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</si>
  <si>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</si>
  <si>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</si>
  <si>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</si>
  <si>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</si>
  <si>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</si>
  <si>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</si>
  <si>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</si>
  <si>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</si>
  <si>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</si>
  <si>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</si>
  <si>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</si>
  <si>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</si>
  <si>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</si>
  <si>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</si>
  <si>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</si>
  <si>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</si>
  <si>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</si>
  <si>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</si>
  <si>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</si>
  <si>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</si>
  <si>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</si>
  <si>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</si>
  <si>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</si>
  <si>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</si>
  <si>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</si>
  <si>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</si>
  <si>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</si>
  <si>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</si>
  <si>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</si>
  <si>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</si>
  <si>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</si>
  <si>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</si>
  <si>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</si>
  <si>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</si>
  <si>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</si>
  <si>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</si>
  <si>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</si>
  <si>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</si>
  <si>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</si>
  <si>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Buses</t>
  </si>
  <si>
    <t>Ent1</t>
  </si>
  <si>
    <t>Other materials</t>
  </si>
  <si>
    <t>Dividends received</t>
  </si>
  <si>
    <t>Proceeds on disposal of PPE</t>
  </si>
  <si>
    <t>1, 2</t>
  </si>
  <si>
    <t>Head46</t>
  </si>
  <si>
    <t xml:space="preserve"> - Adjustments Budget - January 2007</t>
  </si>
  <si>
    <t>Other benefits and allowances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</si>
  <si>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</si>
  <si>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</si>
  <si>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</si>
  <si>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</si>
  <si>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</si>
  <si>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</si>
  <si>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</si>
  <si>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</si>
  <si>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</si>
  <si>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</si>
  <si>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</si>
  <si>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</si>
  <si>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</si>
  <si>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</si>
  <si>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</si>
  <si>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</si>
  <si>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</si>
  <si>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</si>
  <si>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</si>
  <si>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</si>
  <si>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</si>
  <si>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</si>
  <si>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</si>
  <si>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</si>
  <si>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Total refuse removal revenue</t>
  </si>
  <si>
    <t>Total landfill revenue</t>
  </si>
  <si>
    <t>NET INCREASE/ (DECREASE) IN CASH HELD</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</si>
  <si>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</si>
  <si>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</si>
  <si>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</si>
  <si>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</si>
  <si>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</si>
  <si>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</si>
  <si>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</si>
  <si>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</si>
  <si>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</si>
  <si>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</si>
  <si>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</si>
  <si>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</si>
  <si>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</si>
  <si>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</si>
  <si>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</si>
  <si>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</si>
  <si>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</si>
  <si>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</si>
  <si>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</si>
  <si>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</si>
  <si>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</si>
  <si>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</si>
  <si>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</si>
  <si>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</si>
  <si>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</si>
  <si>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6. Insert actual or estimated % increases assumed as a basis for budget calculations</t>
  </si>
  <si>
    <t>7. Insert actual or estimated % collection rate assumed as a basis for budget calculations for each revenue group</t>
  </si>
  <si>
    <t>List operating grants</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</si>
  <si>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</si>
  <si>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</si>
  <si>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</si>
  <si>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</si>
  <si>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</si>
  <si>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</si>
  <si>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</si>
  <si>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</si>
  <si>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</si>
  <si>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</si>
  <si>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</si>
  <si>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</si>
  <si>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</si>
  <si>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</si>
  <si>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</si>
  <si>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</si>
  <si>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</si>
  <si>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</si>
  <si>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</si>
  <si>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</si>
  <si>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</si>
  <si>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</si>
  <si>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</si>
  <si>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</si>
  <si>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</si>
  <si>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</si>
  <si>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</si>
  <si>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</si>
  <si>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</si>
  <si>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</si>
  <si>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</si>
  <si>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</si>
  <si>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</si>
  <si>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</si>
  <si>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</si>
  <si>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</si>
  <si>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</si>
  <si>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</si>
  <si>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</si>
  <si>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</si>
  <si>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</si>
  <si>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</si>
  <si>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</si>
  <si>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</si>
  <si>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</si>
  <si>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</si>
  <si>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</si>
  <si>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</si>
  <si>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Libraries and Archives</t>
  </si>
  <si>
    <t>Aged Care</t>
  </si>
  <si>
    <t>Police</t>
  </si>
  <si>
    <t>1. Include 'Loans and advances' where applicable if any reportable amounts until phased compliance with s164 of MFMA achieved</t>
  </si>
  <si>
    <t>4. B/A, C/B, D/C, E/C, F/C, G/D, H/D, I/D</t>
  </si>
  <si>
    <t>Employee costs/(Total Revenue - capital revenue)</t>
  </si>
  <si>
    <t>Supporting Table SA34a</t>
  </si>
  <si>
    <t>Supporting Table SA34b</t>
  </si>
  <si>
    <t>Supporting Table SA34c</t>
  </si>
  <si>
    <t>Payments in lieu of leave</t>
  </si>
  <si>
    <t>Post-retirement benefit obligations</t>
  </si>
  <si>
    <t>PPE at cost/valuation (excl. finance leases)</t>
  </si>
  <si>
    <t>Entity 1</t>
  </si>
  <si>
    <t>Head56</t>
  </si>
  <si>
    <t>Total Adjusts.</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</si>
  <si>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</si>
  <si>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</si>
  <si>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</si>
  <si>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</si>
  <si>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</si>
  <si>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</si>
  <si>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</si>
  <si>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</si>
  <si>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</si>
  <si>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</si>
  <si>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</si>
  <si>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</si>
  <si>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</si>
  <si>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</si>
  <si>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</si>
  <si>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</si>
  <si>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</si>
  <si>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</si>
  <si>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</si>
  <si>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</si>
  <si>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</si>
  <si>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</si>
  <si>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</si>
  <si>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</si>
  <si>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</si>
  <si>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</si>
  <si>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</si>
  <si>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</si>
  <si>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</si>
  <si>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</si>
  <si>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</si>
  <si>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Surplus/(Deficit)</t>
  </si>
  <si>
    <t>Longstanding Debtors Recovered</t>
  </si>
  <si>
    <t>(Total Operating Revenue - Operating Grants)/Debt service payments due within financial year)</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</si>
  <si>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</si>
  <si>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</si>
  <si>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</si>
  <si>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</si>
  <si>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</si>
  <si>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</si>
  <si>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</si>
  <si>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</si>
  <si>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</si>
  <si>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</si>
  <si>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</si>
  <si>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</si>
  <si>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</si>
  <si>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</si>
  <si>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</si>
  <si>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</si>
  <si>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</si>
  <si>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</si>
  <si>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</si>
  <si>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</si>
  <si>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</si>
  <si>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</si>
  <si>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</si>
  <si>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</si>
  <si>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</si>
  <si>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</si>
  <si>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</si>
  <si>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</si>
  <si>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</si>
  <si>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</si>
  <si>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</si>
  <si>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</si>
  <si>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</si>
  <si>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</si>
  <si>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</si>
  <si>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</si>
  <si>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</si>
  <si>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</si>
  <si>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</si>
  <si>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</si>
  <si>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</si>
  <si>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</si>
  <si>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</si>
  <si>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</si>
  <si>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</si>
  <si>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</si>
  <si>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</si>
  <si>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</si>
  <si>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</si>
  <si>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</si>
  <si>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</si>
  <si>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</si>
  <si>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</si>
  <si>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</si>
  <si>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</si>
  <si>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</si>
  <si>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</si>
  <si>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</si>
  <si>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</si>
  <si>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</si>
  <si>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</si>
  <si>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</si>
  <si>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</si>
  <si>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</si>
  <si>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</si>
  <si>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</si>
  <si>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</si>
  <si>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</si>
  <si>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</si>
  <si>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</si>
  <si>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</si>
  <si>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</si>
  <si>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Sub Total - Other Municipal Staff</t>
  </si>
  <si>
    <t>Capital expenditure - Municipal Vote</t>
  </si>
  <si>
    <t xml:space="preserve">Department 14 - </t>
  </si>
  <si>
    <t>Capital payments % of capital expenditure</t>
  </si>
  <si>
    <t>2.</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</si>
  <si>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</si>
  <si>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</si>
  <si>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</si>
  <si>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</si>
  <si>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</si>
  <si>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</si>
  <si>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</si>
  <si>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</si>
  <si>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</si>
  <si>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</si>
  <si>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</si>
  <si>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</si>
  <si>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</si>
  <si>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</si>
  <si>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</si>
  <si>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</si>
  <si>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</si>
  <si>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</si>
  <si>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</si>
  <si>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</si>
  <si>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</si>
  <si>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</si>
  <si>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</si>
  <si>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</si>
  <si>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</si>
  <si>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</si>
  <si>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</si>
  <si>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</si>
  <si>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</si>
  <si>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</si>
  <si>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</si>
  <si>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</si>
  <si>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</si>
  <si>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</si>
  <si>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</si>
  <si>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</si>
  <si>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</si>
  <si>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</si>
  <si>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</si>
  <si>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</si>
  <si>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</si>
  <si>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</si>
  <si>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</si>
  <si>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</si>
  <si>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</si>
  <si>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</si>
  <si>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</si>
  <si>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</si>
  <si>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</si>
  <si>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</si>
  <si>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</si>
  <si>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</si>
  <si>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</si>
  <si>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</si>
  <si>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</si>
  <si>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</si>
  <si>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</si>
  <si>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</si>
  <si>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</si>
  <si>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</si>
  <si>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</si>
  <si>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</si>
  <si>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</si>
  <si>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</si>
  <si>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</si>
  <si>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</si>
  <si>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</si>
  <si>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</si>
  <si>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</si>
  <si>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</si>
  <si>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</si>
  <si>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</si>
  <si>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</si>
  <si>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</si>
  <si>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</si>
  <si>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</si>
  <si>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</si>
  <si>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</si>
  <si>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</si>
  <si>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</si>
  <si>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</si>
  <si>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</si>
  <si>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</si>
  <si>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</si>
  <si>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</si>
  <si>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</si>
  <si>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</si>
  <si>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</si>
  <si>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</si>
  <si>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</si>
  <si>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</si>
  <si>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</si>
  <si>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</si>
  <si>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</si>
  <si>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</si>
  <si>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</si>
  <si>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</si>
  <si>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</si>
  <si>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</si>
  <si>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</si>
  <si>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</si>
  <si>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</si>
  <si>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</si>
  <si>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</si>
  <si>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</si>
  <si>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</si>
  <si>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</si>
  <si>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</si>
  <si>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</si>
  <si>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</si>
  <si>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</si>
  <si>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</si>
  <si>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</si>
  <si>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</si>
  <si>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</si>
  <si>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</si>
  <si>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</si>
  <si>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</si>
  <si>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</si>
  <si>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</si>
  <si>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</si>
  <si>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</si>
  <si>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</si>
  <si>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</si>
  <si>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</si>
  <si>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</si>
  <si>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</si>
  <si>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</si>
  <si>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</si>
  <si>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</si>
  <si>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</si>
  <si>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</si>
  <si>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</si>
  <si>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</si>
  <si>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</si>
  <si>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</si>
  <si>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</si>
  <si>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</si>
  <si>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</si>
  <si>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</si>
  <si>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</si>
  <si>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EC443 Mbizana</t>
  </si>
  <si>
    <t>EC444 Ntabankulu</t>
  </si>
  <si>
    <t>FS196 Mantsopa</t>
  </si>
  <si>
    <t>MP312 Emalahleni (Mp)</t>
  </si>
  <si>
    <t>MP315 Thembisile Hani</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</si>
  <si>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</si>
  <si>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</si>
  <si>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</si>
  <si>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</si>
  <si>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</si>
  <si>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</si>
  <si>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</si>
  <si>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</si>
  <si>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</si>
  <si>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</si>
  <si>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</si>
  <si>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</si>
  <si>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</si>
  <si>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</si>
  <si>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</si>
  <si>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</si>
  <si>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</si>
  <si>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</si>
  <si>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</si>
  <si>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Specialised vehicles - Refuse</t>
  </si>
  <si>
    <t>Specialised vehicles - Fire</t>
  </si>
  <si>
    <t>Specialised vehicles - Conservancy</t>
  </si>
  <si>
    <t>Specialised vehicles - Ambulances</t>
  </si>
  <si>
    <t>Other Assets</t>
  </si>
  <si>
    <t>Ref.</t>
  </si>
  <si>
    <t>Entity Capital expenditure</t>
  </si>
  <si>
    <t>Parent Capital expenditure</t>
  </si>
  <si>
    <t>[Name of sub-vote]</t>
  </si>
  <si>
    <t>1.10</t>
  </si>
  <si>
    <t>2.10</t>
  </si>
  <si>
    <t>3.10</t>
  </si>
  <si>
    <t>4.10</t>
  </si>
  <si>
    <t>5.10</t>
  </si>
  <si>
    <t>7.10</t>
  </si>
  <si>
    <t>8.10</t>
  </si>
  <si>
    <t>9.10</t>
  </si>
  <si>
    <t>10.10</t>
  </si>
  <si>
    <t>11.10</t>
  </si>
  <si>
    <t>12.10</t>
  </si>
  <si>
    <t>13.10</t>
  </si>
  <si>
    <t>14.10</t>
  </si>
  <si>
    <t>15.10</t>
  </si>
  <si>
    <t>Organisational Structure Sub-Votes</t>
  </si>
  <si>
    <t>Organisational Structure Votes</t>
  </si>
  <si>
    <t>[NAME OF VOTE 7]</t>
  </si>
  <si>
    <t>[NAME OF VOTE 8]</t>
  </si>
  <si>
    <t>[NAME OF VOTE 9]</t>
  </si>
  <si>
    <t>[NAME OF VOTE 10]</t>
  </si>
  <si>
    <t>[NAME OF VOTE 11]</t>
  </si>
  <si>
    <t>[NAME OF VOTE 12]</t>
  </si>
  <si>
    <t>[NAME OF VOTE 13]</t>
  </si>
  <si>
    <t>[NAME OF VOTE 14]</t>
  </si>
  <si>
    <t>[NAME OF VOTE 15]</t>
  </si>
  <si>
    <t>7.1 - [Name of sub-vote]</t>
  </si>
  <si>
    <t>8.1 - [Name of sub-vote]</t>
  </si>
  <si>
    <t>9.1 - [Name of sub-vote]</t>
  </si>
  <si>
    <t>10.1 - [Name of sub-vote]</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</si>
  <si>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</si>
  <si>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</si>
  <si>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</si>
  <si>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</si>
  <si>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</si>
  <si>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</si>
  <si>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</si>
  <si>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</si>
  <si>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</si>
  <si>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</si>
  <si>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</si>
  <si>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</si>
  <si>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</si>
  <si>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</si>
  <si>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</si>
  <si>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</si>
  <si>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</si>
  <si>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</si>
  <si>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</si>
  <si>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</si>
  <si>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</si>
  <si>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</si>
  <si>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</si>
  <si>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</si>
  <si>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</si>
  <si>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</si>
  <si>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</si>
  <si>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</si>
  <si>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</si>
  <si>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</si>
  <si>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</si>
  <si>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</si>
  <si>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</si>
  <si>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</si>
  <si>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</si>
  <si>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</si>
  <si>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</si>
  <si>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</si>
  <si>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</si>
  <si>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</si>
  <si>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</si>
  <si>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</si>
  <si>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</si>
  <si>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</si>
  <si>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</si>
  <si>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</si>
  <si>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</si>
  <si>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</si>
  <si>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</si>
  <si>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</si>
  <si>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</si>
  <si>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</si>
  <si>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</si>
  <si>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</si>
  <si>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</si>
  <si>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</si>
  <si>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</si>
  <si>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</si>
  <si>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</si>
  <si>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</si>
  <si>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</si>
  <si>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</si>
  <si>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</si>
  <si>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</si>
  <si>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</si>
  <si>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</si>
  <si>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</si>
  <si>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</si>
  <si>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</si>
  <si>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</si>
  <si>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</si>
  <si>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</si>
  <si>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</si>
  <si>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</si>
  <si>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</si>
  <si>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</si>
  <si>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</si>
  <si>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</si>
  <si>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</si>
  <si>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</si>
  <si>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</si>
  <si>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</si>
  <si>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</si>
  <si>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</si>
  <si>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</si>
  <si>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</si>
  <si>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</si>
  <si>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</si>
  <si>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</si>
  <si>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</si>
  <si>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</si>
  <si>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</si>
  <si>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</si>
  <si>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</si>
  <si>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</si>
  <si>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</si>
  <si>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</si>
  <si>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</si>
  <si>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</si>
  <si>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</si>
  <si>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</si>
  <si>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</si>
  <si>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</si>
  <si>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</si>
  <si>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</si>
  <si>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</si>
  <si>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</si>
  <si>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</si>
  <si>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</si>
  <si>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</si>
  <si>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</si>
  <si>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</si>
  <si>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</si>
  <si>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</si>
  <si>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</si>
  <si>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</si>
  <si>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</si>
  <si>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</si>
  <si>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</si>
  <si>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</si>
  <si>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</si>
  <si>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</si>
  <si>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</si>
  <si>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</si>
  <si>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</si>
  <si>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</si>
  <si>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</si>
  <si>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</si>
  <si>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</si>
  <si>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</si>
  <si>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</si>
  <si>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</si>
  <si>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</si>
  <si>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</si>
  <si>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</si>
  <si>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</si>
  <si>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</si>
  <si>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</si>
  <si>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</si>
  <si>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</si>
  <si>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</si>
  <si>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</si>
  <si>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</si>
  <si>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</si>
  <si>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</si>
  <si>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</si>
  <si>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</si>
  <si>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</si>
  <si>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</si>
  <si>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</si>
  <si>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</si>
  <si>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</si>
  <si>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</si>
  <si>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</si>
  <si>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</si>
  <si>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</si>
  <si>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</si>
  <si>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</si>
  <si>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</si>
  <si>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</si>
  <si>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</si>
  <si>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</si>
  <si>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</si>
  <si>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</si>
  <si>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</si>
  <si>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</si>
  <si>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</si>
  <si>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</si>
  <si>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</si>
  <si>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</si>
  <si>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</si>
  <si>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</si>
  <si>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</si>
  <si>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</si>
  <si>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</si>
  <si>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</si>
  <si>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</si>
  <si>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</si>
  <si>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</si>
  <si>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</si>
  <si>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</si>
  <si>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</si>
  <si>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 xml:space="preserve">New multi-year appropriations 
(funds for new and existing projects) </t>
  </si>
  <si>
    <t>Appropriation carried forward</t>
  </si>
  <si>
    <t>Debtors collection assumptions</t>
  </si>
  <si>
    <t>1. Depreciation based on write down values. Not including Depreciation resulting from revaluation.</t>
  </si>
  <si>
    <t>`</t>
  </si>
  <si>
    <t>Balance outstanding - debtors</t>
  </si>
  <si>
    <t>Estimate of debtors collection rate</t>
  </si>
  <si>
    <t>Creditors due</t>
  </si>
  <si>
    <t>Household service targets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</si>
  <si>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</si>
  <si>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</si>
  <si>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</si>
  <si>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</si>
  <si>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</si>
  <si>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</si>
  <si>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</si>
  <si>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</si>
  <si>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</si>
  <si>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</si>
  <si>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</si>
  <si>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</si>
  <si>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</si>
  <si>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</si>
  <si>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</si>
  <si>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</si>
  <si>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</si>
  <si>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SA16 - Investments</t>
  </si>
  <si>
    <t>SA36, SA37 - Capital projects</t>
  </si>
  <si>
    <t>BUF Buffalo City</t>
  </si>
  <si>
    <t>NMA Nelson Mandela Bay</t>
  </si>
  <si>
    <t>MAN Mangaung</t>
  </si>
  <si>
    <t>JHB City Of Johannesburg</t>
  </si>
  <si>
    <t>TSH City Of Tshwane</t>
  </si>
  <si>
    <t>ETH eThekwini</t>
  </si>
  <si>
    <t>LIM LIMPOPO</t>
  </si>
  <si>
    <t>CPT Cape Town</t>
  </si>
  <si>
    <t>7. Correct as at 30 June</t>
  </si>
  <si>
    <t>5,7</t>
  </si>
  <si>
    <t>10. Correct as at 30 June</t>
  </si>
  <si>
    <t>8,10</t>
  </si>
  <si>
    <t>9. Correct as at 30 June</t>
  </si>
  <si>
    <t>1. If properties are not rated or zero rated this must be indicated as such</t>
  </si>
  <si>
    <t>Other rebates or exemptions</t>
  </si>
  <si>
    <t>[Insert blocks as applicable]</t>
  </si>
  <si>
    <t>Total Cost of Losses (Rand '000)</t>
  </si>
  <si>
    <r>
      <t>Total Volume Losses (kW</t>
    </r>
    <r>
      <rPr>
        <sz val="8"/>
        <rFont val="Arial Narrow"/>
        <family val="2"/>
      </rPr>
      <t>)</t>
    </r>
  </si>
  <si>
    <t>Total Volume Losses (kℓ)</t>
  </si>
  <si>
    <t>2.Please provide detailed descriptions on Sheet SA13b</t>
  </si>
  <si>
    <t>Supporting Table SA13a</t>
  </si>
  <si>
    <t>Supporting Table SA13b</t>
  </si>
  <si>
    <t>[Insert lines as applicable]</t>
  </si>
  <si>
    <t>10. Must account for all budgeted positions, as per the municipal organogram</t>
  </si>
  <si>
    <t>6, 10</t>
  </si>
  <si>
    <t>8, 10</t>
  </si>
  <si>
    <t>% Volume (units purchased and generated less units sold)/units purchased and generated</t>
  </si>
  <si>
    <t>2011 Census</t>
  </si>
  <si>
    <t>Opening balance</t>
  </si>
  <si>
    <t>Investment Top Up</t>
  </si>
  <si>
    <t>Closing Balance</t>
  </si>
  <si>
    <t>4. Withdrawals to be entered as negative</t>
  </si>
  <si>
    <t>Partial / Premature Withdrawal (4)</t>
  </si>
  <si>
    <t>DC43 Harry Gwala</t>
  </si>
  <si>
    <t>Test</t>
  </si>
  <si>
    <t>1. Note that this section of Table SA 30 is deliberately not linked to Table A4 because timing differences between the invoicing of clients and receiving the cash means that the cashflow will differ from budgeted revenue, and similarly for budgeted expenditure. However for the MTREF it is now directly linked to A7.</t>
  </si>
  <si>
    <t>3. The MTREF is populated directly from SA30.</t>
  </si>
  <si>
    <t>4. Note this is for a SINGLE household.</t>
  </si>
  <si>
    <r>
      <t xml:space="preserve">3. Average rate - cents in  the Rand. Eg 10.26 cents in the Rand is 0.1026, expressed to </t>
    </r>
    <r>
      <rPr>
        <i/>
        <sz val="8"/>
        <color indexed="10"/>
        <rFont val="Arial Narrow"/>
        <family val="2"/>
      </rPr>
      <t>6 decimal places maximum</t>
    </r>
  </si>
  <si>
    <t>7. Show number of households receiving at least these levels of services completely free (informal settlements must be included)</t>
  </si>
  <si>
    <t>5. Must agree to total number of households in municipal area (informal settlements receiving services must be included)</t>
  </si>
  <si>
    <t>DC10 Sarah Baartman</t>
  </si>
  <si>
    <t>Fuel Levy</t>
  </si>
  <si>
    <t>Other Revenue</t>
  </si>
  <si>
    <t>Detail of Free Basic Services (FBS) provided</t>
  </si>
  <si>
    <t>Location of households for each type of FBS</t>
  </si>
  <si>
    <t>Number of HH receiving this type of FBS</t>
  </si>
  <si>
    <t>List type of FBS service</t>
  </si>
  <si>
    <t>Cost of Free Basic Services provided - Informal Formal Settlements (R'000)</t>
  </si>
  <si>
    <t>less Cost of Free Basis Services (6 kilolitres per indigent household per month)</t>
  </si>
  <si>
    <t>less Cost of Free Basis Services (50 kwh per indigent household per month)</t>
  </si>
  <si>
    <t>less Cost of Free Basis Services (free sanitation service to indigent households)</t>
  </si>
  <si>
    <t>less Cost of Free Basis Services  (removed once a week to indigent households)</t>
  </si>
  <si>
    <t>Formal settlements -  (free sanitation service to indigent households)</t>
  </si>
  <si>
    <t>Formal settlements -  (removed once a week to indigent households)</t>
  </si>
  <si>
    <t>Total cost of FBS - Water  for informal settlements</t>
  </si>
  <si>
    <t>Total cost of FBS - Sanitation for informal settlements</t>
  </si>
  <si>
    <t>Refuse Removal</t>
  </si>
  <si>
    <t>Total cost of FBS - Refuse Removal for informal settlements</t>
  </si>
  <si>
    <t>Total cost of FBS - Electricity for informal settlements</t>
  </si>
  <si>
    <t>Highest level of free service provided per household</t>
  </si>
  <si>
    <t>Cost of Free Basic Services provided - Formal Settlements (R'000)</t>
  </si>
  <si>
    <r>
      <t>Water (6 kilolitres per</t>
    </r>
    <r>
      <rPr>
        <b/>
        <sz val="8"/>
        <rFont val="Arial Narrow"/>
        <family val="2"/>
      </rPr>
      <t xml:space="preserve"> indigent</t>
    </r>
    <r>
      <rPr>
        <sz val="8"/>
        <rFont val="Arial Narrow"/>
        <family val="2"/>
      </rPr>
      <t xml:space="preserve"> household per month)</t>
    </r>
  </si>
  <si>
    <r>
      <t>Sanitation (free sanitation service to</t>
    </r>
    <r>
      <rPr>
        <b/>
        <sz val="8"/>
        <rFont val="Arial Narrow"/>
        <family val="2"/>
      </rPr>
      <t xml:space="preserve"> indigent households</t>
    </r>
    <r>
      <rPr>
        <sz val="8"/>
        <rFont val="Arial Narrow"/>
        <family val="2"/>
      </rPr>
      <t>)</t>
    </r>
  </si>
  <si>
    <r>
      <t>Electricity/other energy (50kwh per</t>
    </r>
    <r>
      <rPr>
        <b/>
        <sz val="8"/>
        <rFont val="Arial Narrow"/>
        <family val="2"/>
      </rPr>
      <t xml:space="preserve"> indigent</t>
    </r>
    <r>
      <rPr>
        <sz val="8"/>
        <rFont val="Arial Narrow"/>
        <family val="2"/>
      </rPr>
      <t xml:space="preserve"> household per month)</t>
    </r>
  </si>
  <si>
    <r>
      <t>Refuse (removed once a week</t>
    </r>
    <r>
      <rPr>
        <b/>
        <sz val="8"/>
        <rFont val="Arial Narrow"/>
        <family val="2"/>
      </rPr>
      <t xml:space="preserve"> for indigent households</t>
    </r>
    <r>
      <rPr>
        <sz val="8"/>
        <rFont val="Arial Narrow"/>
        <family val="2"/>
      </rPr>
      <t>)</t>
    </r>
  </si>
  <si>
    <r>
      <t xml:space="preserve">Total cost of FBS provided </t>
    </r>
    <r>
      <rPr>
        <b/>
        <strike/>
        <sz val="8"/>
        <color indexed="10"/>
        <rFont val="Arial Narrow"/>
        <family val="2"/>
      </rPr>
      <t xml:space="preserve"> </t>
    </r>
  </si>
  <si>
    <t>Revenue  cost of subsidised services provided (R'000)</t>
  </si>
  <si>
    <r>
      <t xml:space="preserve">Water </t>
    </r>
    <r>
      <rPr>
        <b/>
        <sz val="8"/>
        <rFont val="Arial Narrow"/>
        <family val="2"/>
      </rPr>
      <t>(in excess of 6 kilolitres per indigent household per month)</t>
    </r>
  </si>
  <si>
    <r>
      <t xml:space="preserve">Sanitation </t>
    </r>
    <r>
      <rPr>
        <b/>
        <sz val="8"/>
        <rFont val="Arial Narrow"/>
        <family val="2"/>
      </rPr>
      <t>(in excess of free sanitation service to indigent households)</t>
    </r>
  </si>
  <si>
    <r>
      <t xml:space="preserve">Electricity/other energy </t>
    </r>
    <r>
      <rPr>
        <b/>
        <sz val="8"/>
        <rFont val="Arial Narrow"/>
        <family val="2"/>
      </rPr>
      <t>(in excess of 50 kwh per indigent household per month)</t>
    </r>
  </si>
  <si>
    <r>
      <t xml:space="preserve">Refuse </t>
    </r>
    <r>
      <rPr>
        <b/>
        <sz val="8"/>
        <rFont val="Arial Narrow"/>
        <family val="2"/>
      </rPr>
      <t>(in excess of one removal a week for indigent households)</t>
    </r>
  </si>
  <si>
    <r>
      <t>Property rates</t>
    </r>
    <r>
      <rPr>
        <b/>
        <sz val="8"/>
        <rFont val="Arial Narrow"/>
        <family val="2"/>
      </rPr>
      <t xml:space="preserve"> (tariff adjustment) </t>
    </r>
    <r>
      <rPr>
        <sz val="8"/>
        <rFont val="Arial Narrow"/>
        <family val="2"/>
      </rPr>
      <t>(</t>
    </r>
    <r>
      <rPr>
        <b/>
        <sz val="8"/>
        <rFont val="Arial Narrow"/>
        <family val="2"/>
      </rPr>
      <t xml:space="preserve"> impermissable values per section 17 of MPRA</t>
    </r>
    <r>
      <rPr>
        <sz val="8"/>
        <rFont val="Arial Narrow"/>
        <family val="2"/>
      </rPr>
      <t>)</t>
    </r>
  </si>
  <si>
    <r>
      <t xml:space="preserve">Property rates </t>
    </r>
    <r>
      <rPr>
        <sz val="8"/>
        <rFont val="Arial Narrow"/>
        <family val="2"/>
      </rPr>
      <t xml:space="preserve"> exemptions, reductions and rebates </t>
    </r>
    <r>
      <rPr>
        <b/>
        <sz val="8"/>
        <rFont val="Arial Narrow"/>
        <family val="2"/>
      </rPr>
      <t>and impermissable values in excess of section 17 of MPRA)</t>
    </r>
  </si>
  <si>
    <t xml:space="preserve">Total revenue cost of subsidised services provided </t>
  </si>
  <si>
    <r>
      <t xml:space="preserve">less Revenue Foregone </t>
    </r>
    <r>
      <rPr>
        <b/>
        <i/>
        <sz val="8"/>
        <rFont val="Arial Narrow"/>
        <family val="2"/>
      </rPr>
      <t>(exemptions, reductions and rebates and impermissable values in excess of section 17 of MPRA)</t>
    </r>
  </si>
  <si>
    <r>
      <t>less Revenue Foregone</t>
    </r>
    <r>
      <rPr>
        <b/>
        <i/>
        <sz val="8"/>
        <rFont val="Arial Narrow"/>
        <family val="2"/>
      </rPr>
      <t xml:space="preserve"> (in excess of 50 kwh per indigent household per month)</t>
    </r>
  </si>
  <si>
    <r>
      <t xml:space="preserve">less Revenue Foregone </t>
    </r>
    <r>
      <rPr>
        <b/>
        <i/>
        <sz val="8"/>
        <rFont val="Arial Narrow"/>
        <family val="2"/>
      </rPr>
      <t>(in excess of 6 kilolitres per indigent household per month)</t>
    </r>
  </si>
  <si>
    <r>
      <t xml:space="preserve">less Revenue Foregone </t>
    </r>
    <r>
      <rPr>
        <b/>
        <i/>
        <sz val="8"/>
        <rFont val="Arial Narrow"/>
        <family val="2"/>
      </rPr>
      <t>(in excess of free sanitation service to indigent households)</t>
    </r>
  </si>
  <si>
    <r>
      <t xml:space="preserve">less Revenue Foregone </t>
    </r>
    <r>
      <rPr>
        <b/>
        <i/>
        <sz val="8"/>
        <rFont val="Arial Narrow"/>
        <family val="2"/>
      </rPr>
      <t>(in excess of one removal a week to indigent households)</t>
    </r>
  </si>
  <si>
    <t>BSD</t>
  </si>
  <si>
    <t>1000</t>
  </si>
  <si>
    <t>~</t>
  </si>
  <si>
    <t>1100</t>
  </si>
  <si>
    <t>1101</t>
  </si>
  <si>
    <t>1102</t>
  </si>
  <si>
    <t>1103</t>
  </si>
  <si>
    <t>1104</t>
  </si>
  <si>
    <t>1105</t>
  </si>
  <si>
    <t>1106</t>
  </si>
  <si>
    <t>1107</t>
  </si>
  <si>
    <t>1108</t>
  </si>
  <si>
    <t>1109</t>
  </si>
  <si>
    <t>1110</t>
  </si>
  <si>
    <t>1200</t>
  </si>
  <si>
    <t>1201</t>
  </si>
  <si>
    <t>1202</t>
  </si>
  <si>
    <t>1203</t>
  </si>
  <si>
    <t>1204</t>
  </si>
  <si>
    <t>1205</t>
  </si>
  <si>
    <t>1206</t>
  </si>
  <si>
    <t>1207</t>
  </si>
  <si>
    <t>1208</t>
  </si>
  <si>
    <t>1209</t>
  </si>
  <si>
    <t>1210</t>
  </si>
  <si>
    <t>1211</t>
  </si>
  <si>
    <t>1300</t>
  </si>
  <si>
    <t>1301</t>
  </si>
  <si>
    <t>1302</t>
  </si>
  <si>
    <t>1303</t>
  </si>
  <si>
    <t>1304</t>
  </si>
  <si>
    <t>1305</t>
  </si>
  <si>
    <t>1306</t>
  </si>
  <si>
    <t>1307</t>
  </si>
  <si>
    <t>1308</t>
  </si>
  <si>
    <t>1400</t>
  </si>
  <si>
    <t>1401</t>
  </si>
  <si>
    <t>1402</t>
  </si>
  <si>
    <t>1403</t>
  </si>
  <si>
    <t>1404</t>
  </si>
  <si>
    <t>1405</t>
  </si>
  <si>
    <t>1406</t>
  </si>
  <si>
    <t>1407</t>
  </si>
  <si>
    <t>1408</t>
  </si>
  <si>
    <t>1409</t>
  </si>
  <si>
    <t>1500</t>
  </si>
  <si>
    <t>1501</t>
  </si>
  <si>
    <t>1502</t>
  </si>
  <si>
    <t>1503</t>
  </si>
  <si>
    <t>1504</t>
  </si>
  <si>
    <t>1600</t>
  </si>
  <si>
    <t>1601</t>
  </si>
  <si>
    <t>Water (6 kilolitres per indigent household per month)</t>
  </si>
  <si>
    <t>1602</t>
  </si>
  <si>
    <t>Sanitation (free sanitation service to indigent households)</t>
  </si>
  <si>
    <t>1603</t>
  </si>
  <si>
    <t>Electricity/other energy (50kwh per indigent household per month)</t>
  </si>
  <si>
    <t>1604</t>
  </si>
  <si>
    <t>Refuse (removed once a week for indigent households)</t>
  </si>
  <si>
    <t xml:space="preserve">Total cost of FBS provided  </t>
  </si>
  <si>
    <t>1700</t>
  </si>
  <si>
    <t>1701</t>
  </si>
  <si>
    <t>1702</t>
  </si>
  <si>
    <t>1703</t>
  </si>
  <si>
    <t>1704</t>
  </si>
  <si>
    <t>1705</t>
  </si>
  <si>
    <t>1706</t>
  </si>
  <si>
    <t>1707</t>
  </si>
  <si>
    <t>1708</t>
  </si>
  <si>
    <t>Property rates (tariff adjustment) ( impermissable values per section 17 of MPRA)</t>
  </si>
  <si>
    <t>1709</t>
  </si>
  <si>
    <t>Property rates  exemptions, reductions and rebates and impermissable values in excess of section 17 of MPRA)</t>
  </si>
  <si>
    <t>1710</t>
  </si>
  <si>
    <t>Water (in excess of 6 kilolitres per indigent household per month)</t>
  </si>
  <si>
    <t>1711</t>
  </si>
  <si>
    <t>Sanitation (in excess of free sanitation service to indigent households)</t>
  </si>
  <si>
    <t>1712</t>
  </si>
  <si>
    <t>Electricity/other energy (in excess of 50 kwh per indigent household per month)</t>
  </si>
  <si>
    <t>1713</t>
  </si>
  <si>
    <t>Refuse (in excess of one removal a week for indigent households)</t>
  </si>
  <si>
    <t>1714</t>
  </si>
  <si>
    <t>1715</t>
  </si>
  <si>
    <t>1716</t>
  </si>
  <si>
    <t>1717</t>
  </si>
  <si>
    <t>SA11</t>
  </si>
  <si>
    <t>T</t>
  </si>
  <si>
    <t>V</t>
  </si>
  <si>
    <t xml:space="preserve">Public service infrastructure value </t>
  </si>
  <si>
    <t xml:space="preserve">Municipality owned property value </t>
  </si>
  <si>
    <t>Valuation reductions-public infrastructure</t>
  </si>
  <si>
    <t>Valuation reductions-nature reserves/park</t>
  </si>
  <si>
    <t>Valuation reductions-mineral rights</t>
  </si>
  <si>
    <t>Valuation reductions-R15,000 threshold</t>
  </si>
  <si>
    <t xml:space="preserve">Valuation reductions-public worship </t>
  </si>
  <si>
    <t>Valuation reductions-other</t>
  </si>
  <si>
    <t>Total value used for rating</t>
  </si>
  <si>
    <t xml:space="preserve">Total land value </t>
  </si>
  <si>
    <t>Total value of improvements</t>
  </si>
  <si>
    <t>Total market value</t>
  </si>
  <si>
    <t>Fixed amount minimum value</t>
  </si>
  <si>
    <t xml:space="preserve">Rate revenue budget </t>
  </si>
  <si>
    <t>Rate revenue expected to collect</t>
  </si>
  <si>
    <t>Special rating areas</t>
  </si>
  <si>
    <t>Rebates, exemptions - indigent</t>
  </si>
  <si>
    <t>Rebates, exemptions - pensioners</t>
  </si>
  <si>
    <t>Rebates, exemptions - bona fide farm</t>
  </si>
  <si>
    <t>Rebates, exemptions - other</t>
  </si>
  <si>
    <t>Phase-in reductions/discounts</t>
  </si>
  <si>
    <t>Total rebates,exemptns,reductns,discs</t>
  </si>
  <si>
    <t>SA12</t>
  </si>
  <si>
    <t xml:space="preserve">Supplementary valuation </t>
  </si>
  <si>
    <t>Years since last valuation</t>
  </si>
  <si>
    <t xml:space="preserve">Frequency of valuation </t>
  </si>
  <si>
    <t>Method of valuation used</t>
  </si>
  <si>
    <t>Base of valuation</t>
  </si>
  <si>
    <t xml:space="preserve">Valuation reductions-R15,000 threshold </t>
  </si>
  <si>
    <t>Valuation reductions-public worship</t>
  </si>
  <si>
    <t xml:space="preserve">Total market value </t>
  </si>
  <si>
    <t xml:space="preserve">Rebates, exemptions - bona fide farm. </t>
  </si>
  <si>
    <t xml:space="preserve">Rebates, exemptions - other </t>
  </si>
  <si>
    <t xml:space="preserve">Phase-in reductions/discounts </t>
  </si>
  <si>
    <t>SA13</t>
  </si>
  <si>
    <t>Property rates (rate in the Rand)</t>
  </si>
  <si>
    <t>Exemptions, reductions and rebates (Rands)</t>
  </si>
  <si>
    <t>Basic charge/fixed fee (Rands/month)</t>
  </si>
  <si>
    <t>Service point - vacant land (Rands/month)</t>
  </si>
  <si>
    <t>Water usage - flat rate tariff (c/kl)</t>
  </si>
  <si>
    <t>Waste water - flat rate tariff (c/kl)</t>
  </si>
  <si>
    <t>Flat rate tariff - meter (c/kwh)</t>
  </si>
  <si>
    <t>Flat rate tariff - prepaid(c/kwh)</t>
  </si>
  <si>
    <t>SA14</t>
  </si>
  <si>
    <t>Monthly Account for Household - 'Indigent' HH receiving FBS</t>
  </si>
  <si>
    <t>SA22</t>
  </si>
  <si>
    <t>SA23</t>
  </si>
  <si>
    <t>SA24</t>
  </si>
  <si>
    <t>Councillors (Political Office Bearers and Other Councillors)</t>
  </si>
  <si>
    <t>OTHER</t>
  </si>
  <si>
    <t>1001</t>
  </si>
  <si>
    <t>1002</t>
  </si>
  <si>
    <t>1003</t>
  </si>
  <si>
    <t>1005</t>
  </si>
  <si>
    <t>1006</t>
  </si>
  <si>
    <t>1007</t>
  </si>
  <si>
    <t>1008</t>
  </si>
  <si>
    <t>Estimate of other debtors &gt; 90 days</t>
  </si>
  <si>
    <t>3001</t>
  </si>
  <si>
    <t>4001</t>
  </si>
  <si>
    <t>Repairs and Maintenance by Expenditure Item</t>
  </si>
  <si>
    <t>Volume Electricity Distribution Losses</t>
  </si>
  <si>
    <t>Cost Electiricty Distribution Losses</t>
  </si>
  <si>
    <t>Volume Water Distribution Losses</t>
  </si>
  <si>
    <t>Cost Water Distribution Losses</t>
  </si>
  <si>
    <t>Consultant Fees</t>
  </si>
  <si>
    <t>Audit Fees</t>
  </si>
  <si>
    <t>SA36</t>
  </si>
  <si>
    <t>SA37</t>
  </si>
  <si>
    <t>CONTACT</t>
  </si>
  <si>
    <t>SA25</t>
  </si>
  <si>
    <t>SA27</t>
  </si>
  <si>
    <t>Total Revenue - Standard</t>
  </si>
  <si>
    <t>Total Expenditure - Standard</t>
  </si>
  <si>
    <t>SA29</t>
  </si>
  <si>
    <t>FORM</t>
  </si>
  <si>
    <t>YEAR END</t>
  </si>
  <si>
    <t>MUNCDE</t>
  </si>
  <si>
    <t>ITEMCODE</t>
  </si>
  <si>
    <t>SEQ</t>
  </si>
  <si>
    <t>DESCRIPTION</t>
  </si>
  <si>
    <t>Title</t>
  </si>
  <si>
    <t>EC129 Raymond Mhlaba</t>
  </si>
  <si>
    <t>EC136 Emalahleni (Ec)</t>
  </si>
  <si>
    <t>EC139 Enoch Mgijima</t>
  </si>
  <si>
    <t>EC145 Walter Sisulu</t>
  </si>
  <si>
    <t>GT485 Rand West City</t>
  </si>
  <si>
    <t>KZN216 Ray Nkonyeni</t>
  </si>
  <si>
    <t>KZN237 Inkosi Langalibalele</t>
  </si>
  <si>
    <t>KZN238 Alfred Duma</t>
  </si>
  <si>
    <t>DC28 King Cetshwayo</t>
  </si>
  <si>
    <t>KZN436 Dr Nkosazana Dlamini Zuma</t>
  </si>
  <si>
    <t>LIM368 Modimolle-Mookgopong</t>
  </si>
  <si>
    <t>MP326 City of Mbombela</t>
  </si>
  <si>
    <t>NC087 Dawid Kruiper</t>
  </si>
  <si>
    <t>DC8 Z F Mgcawu</t>
  </si>
  <si>
    <t>NW397 Kagisano-Molopo</t>
  </si>
  <si>
    <t>ID Number</t>
  </si>
  <si>
    <t>Roads Infrastructure</t>
  </si>
  <si>
    <t>Road Structures</t>
  </si>
  <si>
    <t>Road Furniture</t>
  </si>
  <si>
    <t>Capital Spares</t>
  </si>
  <si>
    <t>Storm water Infrastructure</t>
  </si>
  <si>
    <t>Drainage Collection</t>
  </si>
  <si>
    <t>Storm water Conveyance</t>
  </si>
  <si>
    <t>Attenuation</t>
  </si>
  <si>
    <t>Power Plants</t>
  </si>
  <si>
    <t>HV Substations</t>
  </si>
  <si>
    <t>HV Switching Station</t>
  </si>
  <si>
    <t>HV Transmission Conductors</t>
  </si>
  <si>
    <t>MV Substations</t>
  </si>
  <si>
    <t>MV Switching Stations</t>
  </si>
  <si>
    <t>MV Networks</t>
  </si>
  <si>
    <t>LV Networks</t>
  </si>
  <si>
    <t>Dams and Weirs</t>
  </si>
  <si>
    <t>Boreholes</t>
  </si>
  <si>
    <t>Reservoirs</t>
  </si>
  <si>
    <t>Pump Stations</t>
  </si>
  <si>
    <t>Water Treatment Works</t>
  </si>
  <si>
    <t>Bulk Mains</t>
  </si>
  <si>
    <t>Distribution</t>
  </si>
  <si>
    <t>Distribution Points</t>
  </si>
  <si>
    <t>PRV Stations</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</si>
  <si>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</si>
  <si>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</si>
  <si>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</si>
  <si>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</si>
  <si>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</si>
  <si>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</si>
  <si>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</si>
  <si>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</si>
  <si>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</si>
  <si>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</si>
  <si>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</si>
  <si>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Information and Communication Infrastructure</t>
  </si>
  <si>
    <t>Data Centres</t>
  </si>
  <si>
    <t>Core Layers</t>
  </si>
  <si>
    <t>Distribution Layers</t>
  </si>
  <si>
    <t>Coastal Infrastructure</t>
  </si>
  <si>
    <t>Sand Pumps</t>
  </si>
  <si>
    <t>Piers</t>
  </si>
  <si>
    <t>Revetments</t>
  </si>
  <si>
    <t>Promenades</t>
  </si>
  <si>
    <t>Rail Infrastructure</t>
  </si>
  <si>
    <t>Rail Lines</t>
  </si>
  <si>
    <t>Rail Structures</t>
  </si>
  <si>
    <t>Rail Furniture</t>
  </si>
  <si>
    <t>Electrical Infrastructure</t>
  </si>
  <si>
    <t>Water Supply Infrastructure</t>
  </si>
  <si>
    <t>Sanitation Infrastructure</t>
  </si>
  <si>
    <t>Community Assets</t>
  </si>
  <si>
    <t>Community Facilities</t>
  </si>
  <si>
    <t>Halls</t>
  </si>
  <si>
    <t>Centres</t>
  </si>
  <si>
    <t>Crèches</t>
  </si>
  <si>
    <t>Clinics/Care Centres</t>
  </si>
  <si>
    <t>Fire/Ambulance Stations</t>
  </si>
  <si>
    <t>Testing Stations</t>
  </si>
  <si>
    <t>Museums</t>
  </si>
  <si>
    <t>Galleries</t>
  </si>
  <si>
    <t>Theatres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</si>
  <si>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</si>
  <si>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</si>
  <si>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</si>
  <si>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</si>
  <si>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</si>
  <si>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</si>
  <si>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</si>
  <si>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</si>
  <si>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</si>
  <si>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</si>
  <si>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</si>
  <si>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</si>
  <si>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</si>
  <si>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</si>
  <si>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</si>
  <si>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</si>
  <si>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</si>
  <si>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</si>
  <si>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</si>
  <si>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</si>
  <si>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</si>
  <si>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</si>
  <si>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</si>
  <si>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</si>
  <si>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</si>
  <si>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</si>
  <si>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</si>
  <si>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</si>
  <si>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</si>
  <si>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</si>
  <si>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Servitudes</t>
  </si>
  <si>
    <t>Licences and Rights</t>
  </si>
  <si>
    <t>Intangible Assets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</si>
  <si>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</si>
  <si>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</si>
  <si>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</si>
  <si>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</si>
  <si>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</si>
  <si>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</si>
  <si>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</si>
  <si>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</si>
  <si>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</si>
  <si>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</si>
  <si>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</si>
  <si>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 xml:space="preserve">Total Capital Expenditure on new assets </t>
  </si>
  <si>
    <t>Revenue Generating</t>
  </si>
  <si>
    <t>Improved Property</t>
  </si>
  <si>
    <t>Unimproved Property</t>
  </si>
  <si>
    <t>Non-revenue Generating</t>
  </si>
  <si>
    <t>Transfers and subsidies</t>
  </si>
  <si>
    <t>Fines, penalties and forfeits</t>
  </si>
  <si>
    <t xml:space="preserve">Transfers and subsidies - capital (in-kind - all) </t>
  </si>
  <si>
    <t>Transfers and subsidies - capital (monetary allocations) (National / Provincial Departmental Agencies, Households, Non-profit Institutions, Private Enterprises, Public Corporatons, Higher Educational Institutions)</t>
  </si>
  <si>
    <t>Transfers and subsidies - capital (monetary allocations) (National / Provincial and District)</t>
  </si>
  <si>
    <t>7. Equity method ( Includes Joint Ventures)</t>
  </si>
  <si>
    <t>Capital expenditure on upgrading of existing assets by Asset Class/Sub-class</t>
  </si>
  <si>
    <t xml:space="preserve">Total Capital Expenditure on upgrading of existing assets </t>
  </si>
  <si>
    <t>Upgrading of Existing Assets as % of total capex</t>
  </si>
  <si>
    <t>Upgrading of Existing Assets as % of deprecn"</t>
  </si>
  <si>
    <t>1.  Total Capital Expenditure  on upgrading of existing assets (SA34e) plus Total Capital Expenditure on new assets (SA34a)  plus Total Capital Expenditure  on renewal of existing assets (SA34b) must reconcile to total capital expenditure in Budgeted Capital Expenditure</t>
  </si>
  <si>
    <t>1. Total Capital Expenditure on new assets (SA34a) plus Total Capital Expenditure on renewal of existing assets (SA34b) plus Total Capital Expenditure  on upgrading of existing assets (SA34e) must reconcile to total capital expenditure in Budgeted Capital Expenditure</t>
  </si>
  <si>
    <t>1. Total Capital Expenditure  on renewal of existing assets (SA34b) plus Total Capital Expenditure on new assets (SA34a) plus Total Capital Expenditure  on upgrading of existing assets (SA34e) must reconcile to total capital expenditure in Budgeted Capital Expenditure</t>
  </si>
  <si>
    <t>Supporting Table SA34e</t>
  </si>
  <si>
    <t>Total Upgrading of Existing Assets</t>
  </si>
  <si>
    <t>6. Detail of upgrading of existing assets provided in Table SA34e</t>
  </si>
  <si>
    <t>Renewal and upgrading and R&amp;M as a % of PPE</t>
  </si>
  <si>
    <t>Renewal and upgrading of Existing Assets as % of total capex</t>
  </si>
  <si>
    <t>Renewal and upgrading of Existing Assets as % of deprecn</t>
  </si>
  <si>
    <t>7. Detail of depreciation provided in Table SA34d</t>
  </si>
  <si>
    <t>Depreciation</t>
  </si>
  <si>
    <t>Annuity and Bullet Loans</t>
  </si>
  <si>
    <t>Call deposits</t>
  </si>
  <si>
    <t>Other current investments</t>
  </si>
  <si>
    <t>Internal audit</t>
  </si>
  <si>
    <t>Energy sources</t>
  </si>
  <si>
    <t>Water management</t>
  </si>
  <si>
    <t>Municipal Manager, Town Secretary and Chief Executive</t>
  </si>
  <si>
    <t>Finance and administration</t>
  </si>
  <si>
    <t>Governance Function</t>
  </si>
  <si>
    <t>Administrative and Corporate Support</t>
  </si>
  <si>
    <t>Asset Management</t>
  </si>
  <si>
    <t>Fleet Management</t>
  </si>
  <si>
    <t>Legal Services</t>
  </si>
  <si>
    <t>Marketing, Customer Relations, Publicity and Media Co-ordination</t>
  </si>
  <si>
    <t>Risk Management</t>
  </si>
  <si>
    <t>Security Services</t>
  </si>
  <si>
    <t xml:space="preserve">Supply Chain Management </t>
  </si>
  <si>
    <t>Valuation Service</t>
  </si>
  <si>
    <t>Health Services</t>
  </si>
  <si>
    <t>Laboratory Services</t>
  </si>
  <si>
    <t>Food Control</t>
  </si>
  <si>
    <t>Health Surveillance and Prevention of Communicable Diseases including immunizations</t>
  </si>
  <si>
    <t>Vector Control</t>
  </si>
  <si>
    <t>Chemical Safety</t>
  </si>
  <si>
    <t>Informal Settlements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</si>
  <si>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</si>
  <si>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</si>
  <si>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</si>
  <si>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</si>
  <si>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</si>
  <si>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</si>
  <si>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</si>
  <si>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</si>
  <si>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</si>
  <si>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</si>
  <si>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</si>
  <si>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</si>
  <si>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</si>
  <si>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</si>
  <si>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</si>
  <si>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</si>
  <si>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</si>
  <si>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</si>
  <si>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</si>
  <si>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</si>
  <si>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</si>
  <si>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</si>
  <si>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</si>
  <si>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</si>
  <si>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</si>
  <si>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Zoo's</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</si>
  <si>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</si>
  <si>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</si>
  <si>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</si>
  <si>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</si>
  <si>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</si>
  <si>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</si>
  <si>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</si>
  <si>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</si>
  <si>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</si>
  <si>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</si>
  <si>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</si>
  <si>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</si>
  <si>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</si>
  <si>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</si>
  <si>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</si>
  <si>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</si>
  <si>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</si>
  <si>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</si>
  <si>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</si>
  <si>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</si>
  <si>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</si>
  <si>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</si>
  <si>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</si>
  <si>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</si>
  <si>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</si>
  <si>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</si>
  <si>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</si>
  <si>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</si>
  <si>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</si>
  <si>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</si>
  <si>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</si>
  <si>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Capital Expenditure - Functional</t>
  </si>
  <si>
    <t>Total Capital Expenditure - Functional</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</si>
  <si>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</si>
  <si>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</si>
  <si>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</si>
  <si>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</si>
  <si>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Forestry, Licensing and Regulation, Markets and Tourism - and if used must be supported by footnotes. Nothing else may be placed under 'Other'. Assign associate share to relevant classification</t>
  </si>
  <si>
    <t>1. Insert 'Vote'; e.g. department, if different to functional classification structure</t>
  </si>
  <si>
    <t>3. Total Expenditure by Functional Classification must reconcile to Total Operating Expenditure shown in Budgeted Financial Performance (revenue and expenditure)</t>
  </si>
  <si>
    <t>4. All amounts must be classified under a functional classification . The GFS function 'Other' is only for Abbatoirs, Air Transport,  Forestry, Licensing and Regulation, Markets and Tourism - and if used must be supported by footnotes. Nothing else may be placed under 'Other'. Assign associate share to relevant classification.</t>
  </si>
  <si>
    <t>2. Total Revenue by functional classification must reconcile to Total Operating Revenue shown in Budgeted Financial Performance (revenue and expenditure)</t>
  </si>
  <si>
    <t>2. Must reconcile to Financial Performance ('Revenue and Expenditure by Functional Classification' and 'Revenue and Expenditure')</t>
  </si>
  <si>
    <t>1. Insert 'Vote'; e.g. Department, if different to Functional structure</t>
  </si>
  <si>
    <t>3. Capital expenditure by functional classification must reconcile to the appropriations by vote</t>
  </si>
  <si>
    <t>Supporting Table SA38</t>
  </si>
  <si>
    <t>Entity Operational expenditure</t>
  </si>
  <si>
    <t>Total Operational expenditure</t>
  </si>
  <si>
    <t>Asset sub-class old</t>
  </si>
  <si>
    <r>
      <t xml:space="preserve">Interest Rate </t>
    </r>
    <r>
      <rPr>
        <b/>
        <sz val="8"/>
        <rFont val="Calibri"/>
        <family val="2"/>
      </rPr>
      <t>ᶟ</t>
    </r>
  </si>
  <si>
    <t>Formal settlements -  (50 kwh per indigent household per month Rands)</t>
  </si>
  <si>
    <t>Informal settlements (Rands)</t>
  </si>
  <si>
    <t>Informal settlements targeted for upgrading (Rands)</t>
  </si>
  <si>
    <t>Living in informal backyard rental agreement (Rands)</t>
  </si>
  <si>
    <t>Other (Rands)</t>
  </si>
  <si>
    <t>Formal settlements -  (6 kilolitre per indigent household per month Rands)</t>
  </si>
  <si>
    <t>Parks</t>
  </si>
  <si>
    <t xml:space="preserve"> </t>
  </si>
  <si>
    <t>Land</t>
  </si>
  <si>
    <t>Function</t>
  </si>
  <si>
    <t>Project Description</t>
  </si>
  <si>
    <t>Project Number</t>
  </si>
  <si>
    <t>Type</t>
  </si>
  <si>
    <t>List all capital projects grouped by Function</t>
  </si>
  <si>
    <t>MTSF Service Outcome</t>
  </si>
  <si>
    <t>IUDF</t>
  </si>
  <si>
    <t>Own Strategic Objectives</t>
  </si>
  <si>
    <t>Ward Location</t>
  </si>
  <si>
    <t>GPS Longitude</t>
  </si>
  <si>
    <t>GPS Lattitude</t>
  </si>
  <si>
    <t>Asset Sub-Class</t>
  </si>
  <si>
    <t>Must reconcile with Budgeted Capital Expenditure</t>
  </si>
  <si>
    <t>Projects that fall above the threshold values applicable to the municipality as identified in regulation 13 of the Municipal Budget and Reporting Regulations must be listed individually. Other projects by Function</t>
  </si>
  <si>
    <t>GPS coordinates correct to seconds. Provide a logical starting point on networked infrastructure.</t>
  </si>
  <si>
    <t>Distinguish projects approved in terms of MFMA section 19(1)(b) and MRRR Regulation 13</t>
  </si>
  <si>
    <t>Spatial integration</t>
  </si>
  <si>
    <t>Inclusion and access</t>
  </si>
  <si>
    <t>Growth</t>
  </si>
  <si>
    <t>Governance</t>
  </si>
  <si>
    <t>MTSF</t>
  </si>
  <si>
    <t>Quality basic education</t>
  </si>
  <si>
    <t>A long and healthy life for all South Africans</t>
  </si>
  <si>
    <t>All people in South Africa are and feel safe</t>
  </si>
  <si>
    <t>Decent employment through inclusive growth</t>
  </si>
  <si>
    <t>A skilled and capable workforce to support an inclusive growth path</t>
  </si>
  <si>
    <t>An efficient, competitive and responsive economic infrastructure network</t>
  </si>
  <si>
    <t>Vibrant, equitable, sustainable rural communities contributing towards food security for all</t>
  </si>
  <si>
    <t>Sustainable human settlements and improved quality of household life</t>
  </si>
  <si>
    <t>Responsive, accountable, effective and efficient local government</t>
  </si>
  <si>
    <t>Protect and enhance our environmental assets and natural resources</t>
  </si>
  <si>
    <t>Create a better South Africa and contribute to a better Africa and a better world</t>
  </si>
  <si>
    <t>An efficient, effective and development-oriented public service</t>
  </si>
  <si>
    <t>A comprehensive, responsive and sustainable social protection system</t>
  </si>
  <si>
    <t>A diverse, socially cohesive society with a common national identity</t>
  </si>
  <si>
    <t>List all operational projects grouped by Function</t>
  </si>
  <si>
    <t>Parent Operational expenditure</t>
  </si>
  <si>
    <t>List all Operational projects grouped by Entity</t>
  </si>
  <si>
    <t>Asset class as per table A9 and asset sub-class as per table SA34</t>
  </si>
  <si>
    <t>List all projects with planned completion dates in current year that have been re-budgeted in the MTREF</t>
  </si>
  <si>
    <t>Project Number consists of MSCOA Project Longcode and seq No (sample PC001002006002_00002)</t>
  </si>
  <si>
    <t>Project Number consists of MSCOA Project Longcode and seq No (sample PO001001002001002001002_00066)</t>
  </si>
  <si>
    <t>Must reconcile with Budgeted Operating Expenditure</t>
  </si>
  <si>
    <t>EC101 Dr Beyers Naude</t>
  </si>
  <si>
    <t>EKU City of Ekurhuleni</t>
  </si>
  <si>
    <t>KZN253 Emadlangeni</t>
  </si>
  <si>
    <t>KZN276 Hlabisa Big Five</t>
  </si>
  <si>
    <t>LIM345 Collins Chabane</t>
  </si>
  <si>
    <t>LIM476 Tubatse Fetakgomo</t>
  </si>
  <si>
    <t>NW405 J B Marks</t>
  </si>
  <si>
    <t>Renewal and Upgrading of Existing Assets</t>
  </si>
  <si>
    <t xml:space="preserve"> Other creditors</t>
  </si>
  <si>
    <t>Trade Payables</t>
  </si>
  <si>
    <t>5. Trade Payable should only include Trade Payables from Exchance Transactions ("True Creditors")</t>
  </si>
  <si>
    <t>DC4 Garden Route</t>
  </si>
  <si>
    <t>COUNCIL</t>
  </si>
  <si>
    <t>Council General Expenses</t>
  </si>
  <si>
    <t>1.1 - Council General Expenses</t>
  </si>
  <si>
    <t>OFFICE OF THE MUNICIPAL MANAGER</t>
  </si>
  <si>
    <t>Internal Audit</t>
  </si>
  <si>
    <t>Institutional Performance Management</t>
  </si>
  <si>
    <t>IDP</t>
  </si>
  <si>
    <t>Economic Dev &amp; Tourism</t>
  </si>
  <si>
    <t>Communication &amp; IGR</t>
  </si>
  <si>
    <t>Executive support</t>
  </si>
  <si>
    <t>FINANCIAL SERVICES</t>
  </si>
  <si>
    <t>Budget &amp; Financial Reporting</t>
  </si>
  <si>
    <t>Asset &amp; Fleet Management</t>
  </si>
  <si>
    <t>Financial Management Information systems</t>
  </si>
  <si>
    <t>Cashier Receipting &amp; Debtors</t>
  </si>
  <si>
    <t>Credit control</t>
  </si>
  <si>
    <t>Supply Chain</t>
  </si>
  <si>
    <t>CORPORATE SERVICES</t>
  </si>
  <si>
    <t>Executive support; Secretariat; Registry &amp; Office Auxiliary</t>
  </si>
  <si>
    <t>ICT</t>
  </si>
  <si>
    <t>Office of Political office bearers</t>
  </si>
  <si>
    <t>Property Management</t>
  </si>
  <si>
    <t>Labour relations &amp; Occupational health</t>
  </si>
  <si>
    <t>Training &amp; Development</t>
  </si>
  <si>
    <t>HR Administration</t>
  </si>
  <si>
    <t>Community facilities &amp; halls</t>
  </si>
  <si>
    <t>Museums &amp; art galleries</t>
  </si>
  <si>
    <t>Special Projects Unit</t>
  </si>
  <si>
    <t>4.1 - Executive support; Secretariat; Registry &amp; Office Auxiliary</t>
  </si>
  <si>
    <t>4.2 - ICT</t>
  </si>
  <si>
    <t>4.3 - Office of Political office bearers</t>
  </si>
  <si>
    <t>4.4 - Property Management</t>
  </si>
  <si>
    <t>4.5 - Labour relations &amp; Occupational health</t>
  </si>
  <si>
    <t>4.6 - Training &amp; Development</t>
  </si>
  <si>
    <t>4.7 - HR Administration</t>
  </si>
  <si>
    <t>4.8 - Community facilities &amp; halls</t>
  </si>
  <si>
    <t>4.9 - Museums &amp; art galleries</t>
  </si>
  <si>
    <t>4.10 - Special Projects Unit</t>
  </si>
  <si>
    <t>2.1 - Internal Audit</t>
  </si>
  <si>
    <t>2.2 - Risk Management</t>
  </si>
  <si>
    <t>2.3 - Institutional Performance Management</t>
  </si>
  <si>
    <t>2.4 - IDP</t>
  </si>
  <si>
    <t>2.5 - Economic Dev &amp; Tourism</t>
  </si>
  <si>
    <t>2.6 - Communication &amp; IGR</t>
  </si>
  <si>
    <t>2.7 - Executive support</t>
  </si>
  <si>
    <t>2.8 - [Name of sub-vote]</t>
  </si>
  <si>
    <t>INFRASTRUCTURE SERVICES</t>
  </si>
  <si>
    <t xml:space="preserve">Water services </t>
  </si>
  <si>
    <t>Public works</t>
  </si>
  <si>
    <t>Waste Water services</t>
  </si>
  <si>
    <t>Electrical Services</t>
  </si>
  <si>
    <t>Mechanical workshop</t>
  </si>
  <si>
    <t>PMU Capital projects &amp; GIS</t>
  </si>
  <si>
    <t>Town Planning</t>
  </si>
  <si>
    <t>Building Control</t>
  </si>
  <si>
    <t>Workshop Carpenter</t>
  </si>
  <si>
    <t>COMMUNITY SERVICES</t>
  </si>
  <si>
    <t>Administrative support</t>
  </si>
  <si>
    <t>Parks, Cemetries &amp; public amenities</t>
  </si>
  <si>
    <t>Library services</t>
  </si>
  <si>
    <t>Human Settlements</t>
  </si>
  <si>
    <t>Environmental management</t>
  </si>
  <si>
    <t>Traffic &amp; law enforcement services</t>
  </si>
  <si>
    <t>Driving license testing station; Motor vehicle registration &amp; Vehicle testing station</t>
  </si>
  <si>
    <t>Disaster management &amp; Fire services</t>
  </si>
  <si>
    <t>Area Cleansing</t>
  </si>
  <si>
    <t>Refuse removal, Skips &amp; illegal dumping</t>
  </si>
  <si>
    <t>Landfill sites &amp; transfer stations</t>
  </si>
  <si>
    <t>Heleen Kok</t>
  </si>
  <si>
    <t>0498075700</t>
  </si>
  <si>
    <t>cfo@bnlm.gov.za</t>
  </si>
  <si>
    <t>3.1 - Executive support</t>
  </si>
  <si>
    <t>3.2 - Budget &amp; Financial Reporting</t>
  </si>
  <si>
    <t>3.3 - Asset &amp; Fleet Management</t>
  </si>
  <si>
    <t>3.4 - Financial Management Information systems</t>
  </si>
  <si>
    <t>3.5 - Cashier Receipting &amp; Debtors</t>
  </si>
  <si>
    <t>3.6 - Credit control</t>
  </si>
  <si>
    <t>3.7 - Expenditure</t>
  </si>
  <si>
    <t>3.8 - Supply Chain</t>
  </si>
  <si>
    <t xml:space="preserve">3.9 - </t>
  </si>
  <si>
    <t xml:space="preserve">3.10 - </t>
  </si>
  <si>
    <t>5.1 - Executive support</t>
  </si>
  <si>
    <t xml:space="preserve">5.2 - Water services </t>
  </si>
  <si>
    <t>5.3 - Public works</t>
  </si>
  <si>
    <t>5.4 - Waste Water services</t>
  </si>
  <si>
    <t>5.5 - Electrical Services</t>
  </si>
  <si>
    <t>5.6 - Mechanical workshop</t>
  </si>
  <si>
    <t>5.7 - PMU Capital projects &amp; GIS</t>
  </si>
  <si>
    <t>5.8 - Town Planning</t>
  </si>
  <si>
    <t>5.9 - Building Control</t>
  </si>
  <si>
    <t>5.10 - Workshop Carpenter</t>
  </si>
  <si>
    <t>6.2 - Parks, Cemetries &amp; public amenities</t>
  </si>
  <si>
    <t>6.3 - Library services</t>
  </si>
  <si>
    <t>6.4 - Human Settlements</t>
  </si>
  <si>
    <t>6.5 - Environmental management</t>
  </si>
  <si>
    <t>6.6 - Traffic &amp; law enforcement services</t>
  </si>
  <si>
    <t>6.7 - Driving license testing station; Motor vehicle registration &amp; Vehicle testing station</t>
  </si>
  <si>
    <t>6.8 - Disaster management &amp; Fire services</t>
  </si>
  <si>
    <t>6.9 - Area Cleansing</t>
  </si>
  <si>
    <t>6.10 - Refuse removal, Skips &amp; illegal dumping</t>
  </si>
  <si>
    <t>6.11 - Landfill sites &amp; transfer stations</t>
  </si>
  <si>
    <t>6.1 - Administrative support</t>
  </si>
  <si>
    <t>Library grant</t>
  </si>
  <si>
    <t>Dept of Public Service &amp; Administration</t>
  </si>
  <si>
    <t>Water conservation &amp; demand management</t>
  </si>
  <si>
    <t>Fire grant</t>
  </si>
  <si>
    <t>Environmental grant</t>
  </si>
  <si>
    <t>SETA</t>
  </si>
  <si>
    <t>SBDM Grant in aid of creditors</t>
  </si>
  <si>
    <t>INEP GRANT</t>
  </si>
  <si>
    <t>OTP</t>
  </si>
  <si>
    <t>EIA of Cemeteries - SBDM</t>
  </si>
  <si>
    <t>DROUGHT RELIEF GRANT</t>
  </si>
  <si>
    <t>WSIG</t>
  </si>
  <si>
    <t>Security services</t>
  </si>
  <si>
    <t>Postage</t>
  </si>
  <si>
    <t>Adverts,Printing &amp; Stationary</t>
  </si>
  <si>
    <t>Bank Charges</t>
  </si>
  <si>
    <t>Travelling and Subsistence</t>
  </si>
  <si>
    <t>Training Courses</t>
  </si>
  <si>
    <t>Telephones</t>
  </si>
  <si>
    <t>Running costs of vehicles</t>
  </si>
  <si>
    <t>Insurance</t>
  </si>
  <si>
    <t>Legal fees</t>
  </si>
  <si>
    <t>Ward Committee stipends</t>
  </si>
  <si>
    <t>Testing Water</t>
  </si>
  <si>
    <t>Copiers - Maintenance contracts</t>
  </si>
  <si>
    <t>Skills development levy</t>
  </si>
  <si>
    <t>Operating leases vehicles</t>
  </si>
  <si>
    <t>Chemicals</t>
  </si>
  <si>
    <t>Copiers  lease contracts</t>
  </si>
  <si>
    <t>Materials and supplies</t>
  </si>
  <si>
    <t>Software licences</t>
  </si>
  <si>
    <t>Uniforms and protective clothing</t>
  </si>
  <si>
    <t>Annual Bonus</t>
  </si>
  <si>
    <t>Actuarial loss</t>
  </si>
  <si>
    <t>Other types service charges</t>
  </si>
  <si>
    <t>actuarial gain</t>
  </si>
  <si>
    <t>Tender Document</t>
  </si>
  <si>
    <t>Tourism Fees Baviaans</t>
  </si>
  <si>
    <t>Work done for PVT Persons</t>
  </si>
  <si>
    <t>Public Contributions ( Donations)</t>
  </si>
  <si>
    <t>Admin charges</t>
  </si>
  <si>
    <t>Bulk contributions</t>
  </si>
  <si>
    <t>as per tariff list</t>
  </si>
  <si>
    <t>WILL BE COMPLETED WITH FINAL VALUATION 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</si>
</sst>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 #,##0.00_ ;_ * \-#,##0.00_ ;_ * &quot;-&quot;??_ ;_ @_ "/>
    <numFmt numFmtId="165" formatCode="_ * #,##0_ ;_ * \-#,##0_ ;_ * &quot;-&quot;??_ ;_ @_ "/>
    <numFmt numFmtId="166" formatCode="_ * #,##0.0_ ;_ * \-#,##0.0_ ;_ * &quot;-&quot;??_ ;_ @_ "/>
    <numFmt numFmtId="167" formatCode="#,###,;[Red]\(#,###,\)"/>
    <numFmt numFmtId="168" formatCode="0.0%"/>
    <numFmt numFmtId="169" formatCode="#,###,;\(#,###,\)"/>
    <numFmt numFmtId="170" formatCode="#,###,,;\(#,###,,\)"/>
    <numFmt numFmtId="171" formatCode="0.0%;[Red]\(0.0%\)"/>
    <numFmt numFmtId="172" formatCode="0.0"/>
    <numFmt numFmtId="173" formatCode="_(* #,##0,,_);_(* \(#,##0,,\);_(* &quot;–&quot;?_);_(@_)"/>
    <numFmt numFmtId="174" formatCode="_(* #,##0,_);_(* \(#,##0,\);_(* &quot;–&quot;?_);_(@_)"/>
    <numFmt numFmtId="175" formatCode="_(* #,##0_);_(* \(#,##0\);_(* &quot;–&quot;?_);_(@_)"/>
    <numFmt numFmtId="176" formatCode="_(* #,##0.0_);_(* \(#,##0.0\);_(* &quot;–&quot;?_);_(@_)"/>
    <numFmt numFmtId="177" formatCode="_(* #,##0.000000_);_(* \(#,##0.000000\);_(* &quot;–&quot;?_);_(@_)"/>
    <numFmt numFmtId="178" formatCode="_(* #,##0.00_);_(* \(#,##0.00\);_(* &quot;–&quot;?_);_(@_)"/>
    <numFmt numFmtId="179" formatCode="_(* #,##0.0%_);_(* \(#,##0.0%\);_(* &quot;–&quot;?_);_(@_)"/>
    <numFmt numFmtId="180" formatCode="[$-1C09]dd\ mmmm\ yyyy"/>
    <numFmt numFmtId="181" formatCode="_ * #,##0.0000_ ;_ * \-#,##0.0000_ ;_ * &quot;-&quot;??_ ;_ @_ "/>
    <numFmt numFmtId="182" formatCode="yyyymmdd"/>
    <numFmt numFmtId="183" formatCode="0.000000"/>
    <numFmt numFmtId="184" formatCode="0.0000"/>
  </numFmts>
  <fonts count="69" x14ac:knownFonts="1">
    <font>
      <sz val="10"/>
      <name val="Arial"/>
    </font>
    <font>
      <sz val="11"/>
      <color indexed="8"/>
      <name val="Calibri"/>
      <family val="2"/>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i/>
      <sz val="8"/>
      <color indexed="10"/>
      <name val="Arial Narrow"/>
      <family val="2"/>
    </font>
    <font>
      <b/>
      <strike/>
      <sz val="8"/>
      <color indexed="10"/>
      <name val="Arial Narrow"/>
      <family val="2"/>
    </font>
    <font>
      <b/>
      <sz val="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u/>
      <sz val="10"/>
      <color theme="10"/>
      <name val="Arial"/>
      <family val="2"/>
    </font>
    <font>
      <b/>
      <sz val="18"/>
      <color indexed="56"/>
      <name val="Cambria"/>
      <family val="2"/>
    </font>
    <font>
      <sz val="10"/>
      <color rgb="FF00000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8"/>
        <bgColor indexed="64"/>
      </patternFill>
    </fill>
    <fill>
      <patternFill patternType="solid">
        <fgColor indexed="57"/>
        <bgColor indexed="64"/>
      </patternFill>
    </fill>
    <fill>
      <patternFill patternType="solid">
        <fgColor indexed="43"/>
        <bgColor indexed="64"/>
      </patternFill>
    </fill>
    <fill>
      <patternFill patternType="solid">
        <fgColor indexed="15"/>
        <bgColor indexed="64"/>
      </patternFill>
    </fill>
    <fill>
      <patternFill patternType="solid">
        <fgColor indexed="13"/>
        <bgColor indexed="64"/>
      </patternFill>
    </fill>
    <fill>
      <patternFill patternType="solid">
        <fgColor indexed="49"/>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1"/>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s>
  <borders count="1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double">
        <color indexed="64"/>
      </top>
      <bottom/>
      <diagonal/>
    </border>
    <border>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63">
    <xf numFmtId="0" fontId="0" fillId="0" borderId="0"/>
    <xf numFmtId="164" fontId="2"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applyNumberFormat="0" applyFont="0" applyFill="0" applyBorder="0" applyAlignment="0" applyProtection="0">
      <alignment vertical="top"/>
      <protection locked="0"/>
    </xf>
    <xf numFmtId="0" fontId="4" fillId="0" borderId="0" applyNumberFormat="0" applyFont="0" applyFill="0" applyBorder="0" applyAlignment="0" applyProtection="0">
      <alignment vertical="top"/>
      <protection locked="0"/>
    </xf>
    <xf numFmtId="0" fontId="23" fillId="0" borderId="0"/>
    <xf numFmtId="0" fontId="24" fillId="0" borderId="0"/>
    <xf numFmtId="9" fontId="2" fillId="0" borderId="0" applyFont="0" applyFill="0" applyBorder="0" applyAlignment="0" applyProtection="0"/>
    <xf numFmtId="9" fontId="2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7" fillId="0" borderId="0" applyFont="0" applyFill="0" applyBorder="0" applyAlignment="0" applyProtection="0"/>
    <xf numFmtId="0" fontId="66" fillId="0" borderId="0" applyNumberFormat="0" applyFill="0" applyBorder="0" applyAlignment="0" applyProtection="0"/>
    <xf numFmtId="0" fontId="2" fillId="0" borderId="0"/>
    <xf numFmtId="0" fontId="2" fillId="0" borderId="0"/>
    <xf numFmtId="0" fontId="57" fillId="0" borderId="0"/>
    <xf numFmtId="0" fontId="2" fillId="0" borderId="0"/>
    <xf numFmtId="0" fontId="2" fillId="0" borderId="0"/>
    <xf numFmtId="9" fontId="2" fillId="0" borderId="0" applyFont="0" applyFill="0" applyBorder="0" applyAlignment="0" applyProtection="0"/>
    <xf numFmtId="9" fontId="57"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3" borderId="0" applyNumberFormat="0" applyBorder="0" applyAlignment="0" applyProtection="0"/>
    <xf numFmtId="0" fontId="44" fillId="20" borderId="1" applyNumberFormat="0" applyAlignment="0" applyProtection="0"/>
    <xf numFmtId="0" fontId="45" fillId="21" borderId="2" applyNumberFormat="0" applyAlignment="0" applyProtection="0"/>
    <xf numFmtId="43" fontId="2"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2" fillId="23" borderId="7" applyNumberFormat="0" applyFont="0" applyAlignment="0" applyProtection="0"/>
    <xf numFmtId="0" fontId="54" fillId="20" borderId="8" applyNumberFormat="0" applyAlignment="0" applyProtection="0"/>
    <xf numFmtId="0" fontId="67"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xf numFmtId="43" fontId="2" fillId="0" borderId="0" applyFont="0" applyFill="0" applyBorder="0" applyAlignment="0" applyProtection="0"/>
  </cellStyleXfs>
  <cellXfs count="1976">
    <xf numFmtId="0" fontId="0" fillId="0" borderId="0" xfId="0"/>
    <xf numFmtId="0" fontId="5" fillId="0" borderId="0" xfId="0" applyFont="1"/>
    <xf numFmtId="0" fontId="3" fillId="0" borderId="0" xfId="0" applyFont="1"/>
    <xf numFmtId="0" fontId="6" fillId="0" borderId="0" xfId="0" applyFont="1"/>
    <xf numFmtId="0" fontId="3" fillId="0" borderId="10" xfId="0" applyFont="1" applyBorder="1" applyAlignment="1">
      <alignment horizontal="center"/>
    </xf>
    <xf numFmtId="0" fontId="3" fillId="0" borderId="11" xfId="0" applyFont="1" applyBorder="1"/>
    <xf numFmtId="0" fontId="3" fillId="0" borderId="12" xfId="0" applyFont="1" applyBorder="1"/>
    <xf numFmtId="0" fontId="3" fillId="0" borderId="10"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xf>
    <xf numFmtId="0" fontId="3" fillId="0" borderId="13"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15" fillId="0" borderId="17" xfId="0" applyFont="1" applyBorder="1" applyAlignment="1">
      <alignment horizontal="center" vertical="top" wrapText="1"/>
    </xf>
    <xf numFmtId="0" fontId="15" fillId="0" borderId="13" xfId="0" applyFont="1" applyBorder="1" applyAlignment="1">
      <alignment horizontal="center" vertical="top"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8" fillId="0" borderId="0" xfId="0" applyFont="1" applyAlignment="1">
      <alignment horizontal="left" vertical="top"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0" fillId="0" borderId="14" xfId="0" applyFont="1" applyBorder="1" applyAlignment="1">
      <alignment horizontal="left"/>
    </xf>
    <xf numFmtId="0" fontId="15" fillId="0" borderId="14" xfId="0" applyFont="1" applyBorder="1" applyAlignment="1">
      <alignment horizontal="centerContinuous"/>
    </xf>
    <xf numFmtId="0" fontId="13" fillId="0" borderId="0" xfId="0" applyFont="1"/>
    <xf numFmtId="0" fontId="15" fillId="0" borderId="2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top" wrapText="1"/>
    </xf>
    <xf numFmtId="0" fontId="15" fillId="0" borderId="24" xfId="0" applyFont="1" applyBorder="1" applyAlignment="1">
      <alignment horizontal="center" vertical="top" wrapText="1"/>
    </xf>
    <xf numFmtId="0" fontId="15" fillId="0" borderId="14" xfId="0" applyFont="1" applyBorder="1" applyAlignment="1">
      <alignment horizontal="center" vertical="top" wrapText="1"/>
    </xf>
    <xf numFmtId="173" fontId="13" fillId="0" borderId="11" xfId="0" applyNumberFormat="1" applyFont="1" applyBorder="1"/>
    <xf numFmtId="173" fontId="13" fillId="0" borderId="22" xfId="0" applyNumberFormat="1" applyFont="1" applyBorder="1"/>
    <xf numFmtId="173" fontId="13" fillId="0" borderId="23" xfId="0" applyNumberFormat="1" applyFont="1" applyBorder="1"/>
    <xf numFmtId="173" fontId="13" fillId="0" borderId="0" xfId="0" applyNumberFormat="1" applyFont="1"/>
    <xf numFmtId="173" fontId="13" fillId="0" borderId="16" xfId="0" applyNumberFormat="1" applyFont="1" applyBorder="1"/>
    <xf numFmtId="173" fontId="13" fillId="0" borderId="25" xfId="0" applyNumberFormat="1" applyFont="1" applyBorder="1"/>
    <xf numFmtId="173" fontId="13" fillId="0" borderId="26" xfId="0" applyNumberFormat="1" applyFont="1" applyBorder="1"/>
    <xf numFmtId="173" fontId="13" fillId="0" borderId="27" xfId="0" applyNumberFormat="1" applyFont="1" applyBorder="1"/>
    <xf numFmtId="173" fontId="15" fillId="0" borderId="11" xfId="0" applyNumberFormat="1" applyFont="1" applyBorder="1"/>
    <xf numFmtId="173" fontId="15" fillId="0" borderId="22" xfId="0" applyNumberFormat="1" applyFont="1" applyBorder="1"/>
    <xf numFmtId="173" fontId="15" fillId="0" borderId="23" xfId="0" applyNumberFormat="1" applyFont="1" applyBorder="1"/>
    <xf numFmtId="173" fontId="15" fillId="0" borderId="0" xfId="0" applyNumberFormat="1" applyFont="1"/>
    <xf numFmtId="0" fontId="15" fillId="0" borderId="28" xfId="0" applyFont="1" applyBorder="1"/>
    <xf numFmtId="173" fontId="13" fillId="0" borderId="12" xfId="0" applyNumberFormat="1" applyFont="1" applyBorder="1"/>
    <xf numFmtId="173" fontId="13" fillId="0" borderId="17" xfId="0" applyNumberFormat="1" applyFont="1" applyBorder="1"/>
    <xf numFmtId="173" fontId="13" fillId="0" borderId="24" xfId="0" applyNumberFormat="1" applyFont="1" applyBorder="1"/>
    <xf numFmtId="173" fontId="13" fillId="0" borderId="14" xfId="0" applyNumberFormat="1" applyFont="1" applyBorder="1"/>
    <xf numFmtId="0" fontId="13" fillId="0" borderId="0" xfId="0" applyFont="1" applyAlignment="1">
      <alignment horizontal="left" wrapText="1"/>
    </xf>
    <xf numFmtId="0" fontId="8" fillId="0" borderId="0" xfId="0" applyFont="1"/>
    <xf numFmtId="0" fontId="15" fillId="0" borderId="12" xfId="0" applyFont="1" applyBorder="1" applyAlignment="1">
      <alignment horizontal="left" vertical="center"/>
    </xf>
    <xf numFmtId="0" fontId="17" fillId="0" borderId="11" xfId="0" applyFont="1" applyBorder="1"/>
    <xf numFmtId="0" fontId="13" fillId="0" borderId="22" xfId="0" applyFont="1" applyBorder="1" applyAlignment="1">
      <alignment horizontal="center"/>
    </xf>
    <xf numFmtId="0" fontId="15" fillId="0" borderId="27" xfId="0" applyFont="1" applyBorder="1" applyAlignment="1">
      <alignment horizontal="center"/>
    </xf>
    <xf numFmtId="0" fontId="15" fillId="0" borderId="25" xfId="0" applyFont="1" applyBorder="1" applyAlignment="1">
      <alignment horizontal="center"/>
    </xf>
    <xf numFmtId="0" fontId="15" fillId="0" borderId="26" xfId="0" applyFont="1" applyBorder="1" applyAlignment="1">
      <alignment horizontal="center"/>
    </xf>
    <xf numFmtId="0" fontId="15" fillId="0" borderId="16" xfId="0" applyFont="1" applyBorder="1" applyAlignment="1">
      <alignment horizontal="center"/>
    </xf>
    <xf numFmtId="0" fontId="15" fillId="0" borderId="29" xfId="0" applyFont="1" applyBorder="1" applyAlignment="1">
      <alignment horizontal="center"/>
    </xf>
    <xf numFmtId="0" fontId="15" fillId="0" borderId="23" xfId="0" applyFont="1" applyBorder="1" applyAlignment="1">
      <alignment horizontal="center"/>
    </xf>
    <xf numFmtId="0" fontId="15" fillId="0" borderId="10" xfId="0" applyFont="1" applyBorder="1" applyAlignment="1">
      <alignment horizontal="center"/>
    </xf>
    <xf numFmtId="0" fontId="13" fillId="0" borderId="11" xfId="0" applyFont="1" applyBorder="1" applyAlignment="1">
      <alignment horizontal="left" indent="1"/>
    </xf>
    <xf numFmtId="174" fontId="13" fillId="0" borderId="0" xfId="0" applyNumberFormat="1" applyFont="1" applyAlignment="1">
      <alignment horizontal="right"/>
    </xf>
    <xf numFmtId="174" fontId="13" fillId="0" borderId="22" xfId="0" applyNumberFormat="1" applyFont="1" applyBorder="1" applyAlignment="1">
      <alignment horizontal="right"/>
    </xf>
    <xf numFmtId="174" fontId="13" fillId="0" borderId="23" xfId="0" applyNumberFormat="1" applyFont="1" applyBorder="1" applyAlignment="1">
      <alignment horizontal="right"/>
    </xf>
    <xf numFmtId="174" fontId="13" fillId="0" borderId="11" xfId="0" applyNumberFormat="1" applyFont="1" applyBorder="1" applyAlignment="1">
      <alignment horizontal="right"/>
    </xf>
    <xf numFmtId="169" fontId="13" fillId="0" borderId="23" xfId="0" applyNumberFormat="1" applyFont="1" applyBorder="1"/>
    <xf numFmtId="169" fontId="13" fillId="0" borderId="10" xfId="0" applyNumberFormat="1" applyFont="1" applyBorder="1"/>
    <xf numFmtId="0" fontId="15" fillId="0" borderId="11" xfId="0" applyFont="1" applyBorder="1" applyAlignment="1">
      <alignment horizontal="left"/>
    </xf>
    <xf numFmtId="174" fontId="15" fillId="0" borderId="30" xfId="0" applyNumberFormat="1" applyFont="1" applyBorder="1" applyAlignment="1">
      <alignment horizontal="right"/>
    </xf>
    <xf numFmtId="169" fontId="15" fillId="0" borderId="31" xfId="0" applyNumberFormat="1" applyFont="1" applyBorder="1"/>
    <xf numFmtId="169" fontId="15" fillId="0" borderId="32" xfId="0" applyNumberFormat="1" applyFont="1" applyBorder="1"/>
    <xf numFmtId="0" fontId="13" fillId="0" borderId="11" xfId="0" applyFont="1" applyBorder="1"/>
    <xf numFmtId="174" fontId="13" fillId="0" borderId="0" xfId="0" applyNumberFormat="1" applyFont="1"/>
    <xf numFmtId="174" fontId="13" fillId="0" borderId="22" xfId="0" applyNumberFormat="1" applyFont="1" applyBorder="1"/>
    <xf numFmtId="174" fontId="13" fillId="0" borderId="23" xfId="0" applyNumberFormat="1" applyFont="1" applyBorder="1"/>
    <xf numFmtId="174" fontId="13" fillId="0" borderId="11" xfId="0" applyNumberFormat="1" applyFont="1" applyBorder="1"/>
    <xf numFmtId="174" fontId="13" fillId="0" borderId="33" xfId="0" applyNumberFormat="1" applyFont="1" applyBorder="1"/>
    <xf numFmtId="174" fontId="15" fillId="0" borderId="34" xfId="0" applyNumberFormat="1" applyFont="1" applyBorder="1"/>
    <xf numFmtId="174" fontId="15" fillId="0" borderId="30" xfId="0" applyNumberFormat="1" applyFont="1" applyBorder="1"/>
    <xf numFmtId="174" fontId="15" fillId="0" borderId="35" xfId="0" applyNumberFormat="1" applyFont="1" applyBorder="1"/>
    <xf numFmtId="174" fontId="15" fillId="0" borderId="36" xfId="0" applyNumberFormat="1" applyFont="1" applyBorder="1"/>
    <xf numFmtId="174" fontId="15" fillId="0" borderId="37" xfId="0" applyNumberFormat="1" applyFont="1" applyBorder="1"/>
    <xf numFmtId="174" fontId="15" fillId="0" borderId="0" xfId="0" applyNumberFormat="1" applyFont="1"/>
    <xf numFmtId="174" fontId="15" fillId="0" borderId="22" xfId="0" applyNumberFormat="1" applyFont="1" applyBorder="1"/>
    <xf numFmtId="174" fontId="15" fillId="0" borderId="23" xfId="0" applyNumberFormat="1" applyFont="1" applyBorder="1"/>
    <xf numFmtId="174" fontId="15" fillId="0" borderId="11" xfId="0" applyNumberFormat="1" applyFont="1" applyBorder="1"/>
    <xf numFmtId="174" fontId="15" fillId="0" borderId="33" xfId="0" applyNumberFormat="1" applyFont="1" applyBorder="1"/>
    <xf numFmtId="169" fontId="15" fillId="0" borderId="23" xfId="0" applyNumberFormat="1" applyFont="1" applyBorder="1"/>
    <xf numFmtId="169" fontId="15" fillId="0" borderId="10" xfId="0" applyNumberFormat="1" applyFont="1" applyBorder="1"/>
    <xf numFmtId="0" fontId="15" fillId="0" borderId="38" xfId="0" applyFont="1" applyBorder="1"/>
    <xf numFmtId="0" fontId="13" fillId="0" borderId="39" xfId="0" applyFont="1" applyBorder="1" applyAlignment="1">
      <alignment horizontal="center"/>
    </xf>
    <xf numFmtId="174" fontId="15" fillId="0" borderId="40" xfId="0" applyNumberFormat="1" applyFont="1" applyBorder="1"/>
    <xf numFmtId="174" fontId="15" fillId="0" borderId="39" xfId="0" applyNumberFormat="1" applyFont="1" applyBorder="1"/>
    <xf numFmtId="174" fontId="15" fillId="0" borderId="41" xfId="0" applyNumberFormat="1" applyFont="1" applyBorder="1"/>
    <xf numFmtId="174" fontId="15" fillId="0" borderId="38" xfId="0" applyNumberFormat="1" applyFont="1" applyBorder="1"/>
    <xf numFmtId="174" fontId="15" fillId="0" borderId="42" xfId="0" applyNumberFormat="1" applyFont="1" applyBorder="1"/>
    <xf numFmtId="169" fontId="15" fillId="0" borderId="43" xfId="0" applyNumberFormat="1" applyFont="1" applyBorder="1"/>
    <xf numFmtId="169" fontId="15" fillId="0" borderId="44" xfId="0" applyNumberFormat="1" applyFont="1" applyBorder="1"/>
    <xf numFmtId="0" fontId="19" fillId="0" borderId="0" xfId="0" applyFont="1"/>
    <xf numFmtId="0" fontId="13" fillId="0" borderId="0" xfId="0" applyFont="1" applyAlignment="1">
      <alignment horizontal="center"/>
    </xf>
    <xf numFmtId="0" fontId="15" fillId="0" borderId="0" xfId="0" applyFont="1"/>
    <xf numFmtId="169" fontId="15" fillId="0" borderId="0" xfId="0" applyNumberFormat="1" applyFont="1"/>
    <xf numFmtId="0" fontId="18" fillId="0" borderId="0" xfId="0" quotePrefix="1" applyFont="1"/>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right"/>
    </xf>
    <xf numFmtId="165" fontId="13" fillId="0" borderId="0" xfId="1" applyNumberFormat="1" applyFont="1"/>
    <xf numFmtId="0" fontId="15" fillId="0" borderId="14" xfId="0" applyFont="1" applyBorder="1" applyAlignment="1">
      <alignment horizontal="left"/>
    </xf>
    <xf numFmtId="165" fontId="13" fillId="0" borderId="0" xfId="1" applyNumberFormat="1" applyFont="1" applyAlignment="1">
      <alignment horizontal="center"/>
    </xf>
    <xf numFmtId="168" fontId="13" fillId="0" borderId="0" xfId="7" applyNumberFormat="1" applyFont="1" applyAlignment="1">
      <alignment horizontal="center"/>
    </xf>
    <xf numFmtId="174" fontId="13" fillId="0" borderId="0" xfId="1" applyNumberFormat="1" applyFont="1"/>
    <xf numFmtId="174" fontId="13" fillId="0" borderId="22" xfId="1" applyNumberFormat="1" applyFont="1" applyBorder="1"/>
    <xf numFmtId="174" fontId="13" fillId="0" borderId="11" xfId="1" applyNumberFormat="1" applyFont="1" applyBorder="1"/>
    <xf numFmtId="174" fontId="13" fillId="0" borderId="23" xfId="1" applyNumberFormat="1" applyFont="1" applyBorder="1"/>
    <xf numFmtId="174" fontId="13" fillId="0" borderId="33" xfId="1" applyNumberFormat="1" applyFont="1" applyBorder="1"/>
    <xf numFmtId="0" fontId="15" fillId="0" borderId="11" xfId="0" applyFont="1" applyBorder="1"/>
    <xf numFmtId="165" fontId="13" fillId="0" borderId="0" xfId="0" applyNumberFormat="1" applyFont="1"/>
    <xf numFmtId="168" fontId="13" fillId="0" borderId="0" xfId="0" applyNumberFormat="1" applyFont="1"/>
    <xf numFmtId="174" fontId="15" fillId="0" borderId="45" xfId="0" applyNumberFormat="1" applyFont="1" applyBorder="1"/>
    <xf numFmtId="174" fontId="15" fillId="0" borderId="46" xfId="0" applyNumberFormat="1" applyFont="1" applyBorder="1"/>
    <xf numFmtId="174" fontId="15" fillId="0" borderId="47" xfId="0" applyNumberFormat="1" applyFont="1" applyBorder="1"/>
    <xf numFmtId="174" fontId="15" fillId="0" borderId="48" xfId="0" applyNumberFormat="1" applyFont="1" applyBorder="1"/>
    <xf numFmtId="174" fontId="15" fillId="0" borderId="49" xfId="0" applyNumberFormat="1" applyFont="1" applyBorder="1"/>
    <xf numFmtId="168" fontId="13" fillId="0" borderId="0" xfId="0" applyNumberFormat="1" applyFont="1" applyAlignment="1">
      <alignment horizontal="center"/>
    </xf>
    <xf numFmtId="174" fontId="15" fillId="0" borderId="14" xfId="0" applyNumberFormat="1" applyFont="1" applyBorder="1"/>
    <xf numFmtId="174" fontId="15" fillId="0" borderId="17" xfId="0" applyNumberFormat="1" applyFont="1" applyBorder="1"/>
    <xf numFmtId="174" fontId="15" fillId="0" borderId="24" xfId="0" applyNumberFormat="1" applyFont="1" applyBorder="1"/>
    <xf numFmtId="174" fontId="15" fillId="0" borderId="12" xfId="0" applyNumberFormat="1" applyFont="1" applyBorder="1"/>
    <xf numFmtId="174" fontId="15" fillId="0" borderId="50" xfId="0" applyNumberFormat="1" applyFont="1" applyBorder="1"/>
    <xf numFmtId="0" fontId="18" fillId="0" borderId="0" xfId="0" applyFont="1"/>
    <xf numFmtId="0" fontId="18" fillId="0" borderId="11" xfId="0" applyFont="1" applyBorder="1" applyAlignment="1">
      <alignment horizontal="right"/>
    </xf>
    <xf numFmtId="165" fontId="18" fillId="0" borderId="0" xfId="1" applyNumberFormat="1" applyFont="1" applyAlignment="1">
      <alignment horizontal="right"/>
    </xf>
    <xf numFmtId="0" fontId="13" fillId="0" borderId="17" xfId="0" applyFont="1" applyBorder="1" applyAlignment="1">
      <alignment horizontal="center" vertical="center"/>
    </xf>
    <xf numFmtId="0" fontId="13" fillId="0" borderId="25" xfId="0" applyFont="1" applyBorder="1" applyAlignment="1">
      <alignment horizontal="center"/>
    </xf>
    <xf numFmtId="169" fontId="15" fillId="0" borderId="26" xfId="0" applyNumberFormat="1" applyFont="1" applyBorder="1" applyAlignment="1">
      <alignment horizontal="center"/>
    </xf>
    <xf numFmtId="0" fontId="20" fillId="0" borderId="22" xfId="0" applyFont="1" applyBorder="1" applyAlignment="1">
      <alignment horizontal="center"/>
    </xf>
    <xf numFmtId="0" fontId="15" fillId="0" borderId="11" xfId="0" applyFont="1" applyBorder="1" applyAlignment="1">
      <alignment horizontal="left" wrapText="1"/>
    </xf>
    <xf numFmtId="174" fontId="15" fillId="0" borderId="30" xfId="0" applyNumberFormat="1" applyFont="1" applyBorder="1" applyAlignment="1">
      <alignment vertical="top"/>
    </xf>
    <xf numFmtId="0" fontId="15" fillId="0" borderId="12" xfId="0" applyFont="1" applyBorder="1" applyAlignment="1">
      <alignment horizontal="center" vertical="center" wrapText="1"/>
    </xf>
    <xf numFmtId="174" fontId="15" fillId="0" borderId="35" xfId="0" applyNumberFormat="1" applyFont="1" applyBorder="1" applyAlignment="1">
      <alignment vertical="top"/>
    </xf>
    <xf numFmtId="174" fontId="15" fillId="0" borderId="36" xfId="0" applyNumberFormat="1" applyFont="1" applyBorder="1" applyAlignment="1">
      <alignment vertical="top"/>
    </xf>
    <xf numFmtId="174" fontId="15" fillId="0" borderId="37" xfId="0" applyNumberFormat="1" applyFont="1" applyBorder="1" applyAlignment="1">
      <alignment vertical="top"/>
    </xf>
    <xf numFmtId="0" fontId="15" fillId="0" borderId="11" xfId="0" applyFont="1" applyBorder="1" applyAlignment="1">
      <alignment wrapText="1"/>
    </xf>
    <xf numFmtId="0" fontId="13" fillId="0" borderId="11" xfId="0" applyFont="1" applyBorder="1" applyAlignment="1">
      <alignment horizontal="left" wrapText="1" indent="1"/>
    </xf>
    <xf numFmtId="0" fontId="15" fillId="0" borderId="42" xfId="0" applyFont="1" applyBorder="1"/>
    <xf numFmtId="169" fontId="13" fillId="0" borderId="0" xfId="0" applyNumberFormat="1" applyFont="1"/>
    <xf numFmtId="174" fontId="15" fillId="0" borderId="25" xfId="0" applyNumberFormat="1" applyFont="1" applyBorder="1" applyAlignment="1">
      <alignment horizontal="center"/>
    </xf>
    <xf numFmtId="174" fontId="15" fillId="0" borderId="27" xfId="0" applyNumberFormat="1" applyFont="1" applyBorder="1" applyAlignment="1">
      <alignment horizontal="center"/>
    </xf>
    <xf numFmtId="174" fontId="15" fillId="0" borderId="16" xfId="0" applyNumberFormat="1" applyFont="1" applyBorder="1" applyAlignment="1">
      <alignment horizontal="center"/>
    </xf>
    <xf numFmtId="174" fontId="15" fillId="0" borderId="26" xfId="0" applyNumberFormat="1" applyFont="1" applyBorder="1" applyAlignment="1">
      <alignment horizontal="center"/>
    </xf>
    <xf numFmtId="174" fontId="15" fillId="0" borderId="22" xfId="0" applyNumberFormat="1" applyFont="1" applyBorder="1" applyAlignment="1">
      <alignment horizontal="center"/>
    </xf>
    <xf numFmtId="174" fontId="15" fillId="0" borderId="0" xfId="0" applyNumberFormat="1" applyFont="1" applyAlignment="1">
      <alignment horizontal="center"/>
    </xf>
    <xf numFmtId="174" fontId="15" fillId="0" borderId="11" xfId="0" applyNumberFormat="1" applyFont="1" applyBorder="1" applyAlignment="1">
      <alignment horizontal="center"/>
    </xf>
    <xf numFmtId="174" fontId="15" fillId="0" borderId="23" xfId="0" applyNumberFormat="1" applyFont="1" applyBorder="1" applyAlignment="1">
      <alignment horizontal="center"/>
    </xf>
    <xf numFmtId="164" fontId="13" fillId="0" borderId="0" xfId="1" applyFont="1" applyAlignment="1">
      <alignment horizontal="right"/>
    </xf>
    <xf numFmtId="0" fontId="13" fillId="0" borderId="0" xfId="0" applyFont="1" applyAlignment="1">
      <alignment horizontal="right"/>
    </xf>
    <xf numFmtId="164" fontId="13" fillId="0" borderId="0" xfId="0" applyNumberFormat="1" applyFont="1" applyAlignment="1">
      <alignment horizontal="right"/>
    </xf>
    <xf numFmtId="174" fontId="13" fillId="0" borderId="11" xfId="1" applyNumberFormat="1" applyFont="1" applyBorder="1" applyAlignment="1">
      <alignment horizontal="right"/>
    </xf>
    <xf numFmtId="174" fontId="13" fillId="0" borderId="23" xfId="1" applyNumberFormat="1" applyFont="1" applyBorder="1" applyAlignment="1">
      <alignment horizontal="right"/>
    </xf>
    <xf numFmtId="174" fontId="13" fillId="0" borderId="22" xfId="0" applyNumberFormat="1" applyFont="1" applyBorder="1" applyAlignment="1">
      <alignment horizontal="center"/>
    </xf>
    <xf numFmtId="174" fontId="15" fillId="0" borderId="39" xfId="0" applyNumberFormat="1" applyFont="1" applyBorder="1" applyAlignment="1">
      <alignment horizontal="center"/>
    </xf>
    <xf numFmtId="174" fontId="15" fillId="0" borderId="41" xfId="0" applyNumberFormat="1" applyFont="1" applyBorder="1" applyAlignment="1">
      <alignment horizontal="right"/>
    </xf>
    <xf numFmtId="174" fontId="15" fillId="0" borderId="38" xfId="0" applyNumberFormat="1" applyFont="1" applyBorder="1" applyAlignment="1">
      <alignment horizontal="right"/>
    </xf>
    <xf numFmtId="174" fontId="15" fillId="0" borderId="39" xfId="0" applyNumberFormat="1" applyFont="1" applyBorder="1" applyAlignment="1">
      <alignment horizontal="right"/>
    </xf>
    <xf numFmtId="174" fontId="15" fillId="0" borderId="40" xfId="0" applyNumberFormat="1" applyFont="1" applyBorder="1" applyAlignment="1">
      <alignment horizontal="right"/>
    </xf>
    <xf numFmtId="0" fontId="15" fillId="0" borderId="38" xfId="0" applyFont="1" applyBorder="1" applyAlignment="1">
      <alignment horizontal="left"/>
    </xf>
    <xf numFmtId="167" fontId="13" fillId="0" borderId="0" xfId="0" applyNumberFormat="1" applyFont="1"/>
    <xf numFmtId="0" fontId="13" fillId="0" borderId="12" xfId="0" applyFont="1" applyBorder="1"/>
    <xf numFmtId="0" fontId="13" fillId="0" borderId="14" xfId="0" applyFont="1" applyBorder="1" applyAlignment="1">
      <alignment horizontal="center"/>
    </xf>
    <xf numFmtId="166" fontId="18" fillId="0" borderId="0" xfId="1" applyNumberFormat="1" applyFont="1" applyAlignment="1">
      <alignment horizontal="right"/>
    </xf>
    <xf numFmtId="166" fontId="13" fillId="0" borderId="0" xfId="1" applyNumberFormat="1" applyFont="1"/>
    <xf numFmtId="174" fontId="15" fillId="0" borderId="29" xfId="0" applyNumberFormat="1" applyFont="1" applyBorder="1" applyAlignment="1">
      <alignment horizontal="center"/>
    </xf>
    <xf numFmtId="0" fontId="15" fillId="0" borderId="48" xfId="0" applyFont="1" applyBorder="1"/>
    <xf numFmtId="0" fontId="13" fillId="0" borderId="46" xfId="0" applyFont="1" applyBorder="1" applyAlignment="1">
      <alignment horizontal="center"/>
    </xf>
    <xf numFmtId="164" fontId="13" fillId="0" borderId="0" xfId="1" applyFont="1"/>
    <xf numFmtId="0" fontId="15" fillId="0" borderId="12" xfId="0" applyFont="1" applyBorder="1"/>
    <xf numFmtId="0" fontId="13" fillId="0" borderId="17" xfId="0" applyFont="1" applyBorder="1" applyAlignment="1">
      <alignment horizontal="center"/>
    </xf>
    <xf numFmtId="174" fontId="13" fillId="0" borderId="29" xfId="0" applyNumberFormat="1" applyFont="1" applyBorder="1"/>
    <xf numFmtId="0" fontId="13" fillId="0" borderId="0" xfId="0" applyFont="1" applyAlignment="1">
      <alignment horizontal="center" vertical="center" wrapText="1"/>
    </xf>
    <xf numFmtId="0" fontId="21" fillId="0" borderId="0" xfId="0" applyFont="1"/>
    <xf numFmtId="0" fontId="20" fillId="0" borderId="0" xfId="0" applyFont="1"/>
    <xf numFmtId="174" fontId="13" fillId="0" borderId="51" xfId="0" applyNumberFormat="1" applyFont="1" applyBorder="1"/>
    <xf numFmtId="174" fontId="13" fillId="0" borderId="30" xfId="0" applyNumberFormat="1" applyFont="1" applyBorder="1"/>
    <xf numFmtId="174" fontId="13" fillId="0" borderId="35" xfId="0" applyNumberFormat="1" applyFont="1" applyBorder="1"/>
    <xf numFmtId="0" fontId="13" fillId="0" borderId="11" xfId="0" applyFont="1" applyBorder="1" applyAlignment="1">
      <alignment horizontal="left" indent="2"/>
    </xf>
    <xf numFmtId="0" fontId="18" fillId="0" borderId="11" xfId="0" applyFont="1" applyBorder="1" applyAlignment="1">
      <alignment horizontal="left" indent="1"/>
    </xf>
    <xf numFmtId="0" fontId="15" fillId="0" borderId="11" xfId="0" applyFont="1" applyBorder="1" applyAlignment="1">
      <alignment horizontal="left" indent="1"/>
    </xf>
    <xf numFmtId="0" fontId="16" fillId="0" borderId="11" xfId="0" applyFont="1" applyBorder="1"/>
    <xf numFmtId="0" fontId="18" fillId="0" borderId="22" xfId="0" applyFont="1" applyBorder="1" applyAlignment="1">
      <alignment horizontal="center"/>
    </xf>
    <xf numFmtId="168" fontId="18" fillId="0" borderId="22" xfId="7" applyNumberFormat="1" applyFont="1" applyBorder="1" applyAlignment="1">
      <alignment horizontal="center"/>
    </xf>
    <xf numFmtId="168" fontId="18" fillId="0" borderId="23" xfId="7" applyNumberFormat="1" applyFont="1" applyBorder="1" applyAlignment="1">
      <alignment horizontal="center"/>
    </xf>
    <xf numFmtId="168" fontId="18" fillId="0" borderId="11" xfId="7" applyNumberFormat="1" applyFont="1" applyBorder="1" applyAlignment="1">
      <alignment horizontal="center"/>
    </xf>
    <xf numFmtId="168" fontId="18" fillId="0" borderId="0" xfId="7" applyNumberFormat="1" applyFont="1" applyAlignment="1">
      <alignment horizontal="center"/>
    </xf>
    <xf numFmtId="168" fontId="18" fillId="0" borderId="33" xfId="7" applyNumberFormat="1" applyFont="1" applyBorder="1" applyAlignment="1">
      <alignment horizontal="center"/>
    </xf>
    <xf numFmtId="169" fontId="15" fillId="0" borderId="17" xfId="0" applyNumberFormat="1" applyFont="1" applyBorder="1"/>
    <xf numFmtId="169" fontId="15" fillId="0" borderId="24" xfId="0" applyNumberFormat="1" applyFont="1" applyBorder="1"/>
    <xf numFmtId="169" fontId="15" fillId="0" borderId="12" xfId="0" applyNumberFormat="1" applyFont="1" applyBorder="1"/>
    <xf numFmtId="169" fontId="15" fillId="0" borderId="14" xfId="0" applyNumberFormat="1" applyFont="1" applyBorder="1"/>
    <xf numFmtId="169" fontId="15" fillId="0" borderId="50" xfId="0" applyNumberFormat="1" applyFont="1" applyBorder="1"/>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4" xfId="0" applyFont="1" applyBorder="1" applyAlignment="1">
      <alignment horizontal="center" vertical="center" wrapText="1"/>
    </xf>
    <xf numFmtId="175" fontId="13" fillId="0" borderId="22" xfId="1" applyNumberFormat="1" applyFont="1" applyBorder="1"/>
    <xf numFmtId="175" fontId="13" fillId="0" borderId="0" xfId="1" applyNumberFormat="1" applyFont="1"/>
    <xf numFmtId="169" fontId="13" fillId="0" borderId="25" xfId="0" applyNumberFormat="1" applyFont="1" applyBorder="1"/>
    <xf numFmtId="169" fontId="13" fillId="0" borderId="11" xfId="0" applyNumberFormat="1" applyFont="1" applyBorder="1"/>
    <xf numFmtId="169" fontId="13" fillId="0" borderId="29" xfId="0" applyNumberFormat="1" applyFont="1" applyBorder="1"/>
    <xf numFmtId="169" fontId="13" fillId="0" borderId="22" xfId="0" applyNumberFormat="1" applyFont="1" applyBorder="1"/>
    <xf numFmtId="169" fontId="13" fillId="0" borderId="33" xfId="0" applyNumberFormat="1" applyFont="1" applyBorder="1"/>
    <xf numFmtId="174" fontId="15" fillId="0" borderId="33" xfId="0" applyNumberFormat="1" applyFont="1" applyBorder="1" applyAlignment="1">
      <alignment horizontal="center"/>
    </xf>
    <xf numFmtId="0" fontId="15" fillId="0" borderId="36" xfId="0" applyFont="1" applyBorder="1"/>
    <xf numFmtId="0" fontId="13" fillId="0" borderId="30" xfId="0" applyFont="1" applyBorder="1" applyAlignment="1">
      <alignment horizontal="center"/>
    </xf>
    <xf numFmtId="174" fontId="13" fillId="0" borderId="36" xfId="0" applyNumberFormat="1" applyFont="1" applyBorder="1"/>
    <xf numFmtId="174" fontId="13" fillId="0" borderId="34" xfId="0" applyNumberFormat="1" applyFont="1" applyBorder="1"/>
    <xf numFmtId="174" fontId="13" fillId="0" borderId="37" xfId="0" applyNumberFormat="1" applyFont="1" applyBorder="1"/>
    <xf numFmtId="0" fontId="16" fillId="0" borderId="11" xfId="0" applyFont="1" applyBorder="1" applyAlignment="1">
      <alignment horizontal="right"/>
    </xf>
    <xf numFmtId="0" fontId="20" fillId="0" borderId="11" xfId="0" applyFont="1" applyBorder="1" applyAlignment="1">
      <alignment horizontal="left" indent="1"/>
    </xf>
    <xf numFmtId="0" fontId="15" fillId="0" borderId="25" xfId="0" applyFont="1" applyBorder="1" applyAlignment="1">
      <alignment vertical="center"/>
    </xf>
    <xf numFmtId="174" fontId="15" fillId="0" borderId="15" xfId="0" applyNumberFormat="1" applyFont="1" applyBorder="1" applyAlignment="1">
      <alignment horizontal="center"/>
    </xf>
    <xf numFmtId="174" fontId="15" fillId="0" borderId="10" xfId="0" applyNumberFormat="1" applyFont="1" applyBorder="1"/>
    <xf numFmtId="174" fontId="15" fillId="0" borderId="28" xfId="0" applyNumberFormat="1" applyFont="1" applyBorder="1"/>
    <xf numFmtId="0" fontId="15" fillId="0" borderId="38" xfId="0" applyFont="1" applyBorder="1" applyAlignment="1">
      <alignment vertical="top" wrapText="1"/>
    </xf>
    <xf numFmtId="17" fontId="16" fillId="0" borderId="0" xfId="0" quotePrefix="1" applyNumberFormat="1" applyFont="1" applyAlignment="1">
      <alignment horizontal="center"/>
    </xf>
    <xf numFmtId="174" fontId="13" fillId="0" borderId="25" xfId="0" applyNumberFormat="1" applyFont="1" applyBorder="1"/>
    <xf numFmtId="0" fontId="13" fillId="0" borderId="16" xfId="0" applyFont="1" applyBorder="1"/>
    <xf numFmtId="0" fontId="13" fillId="0" borderId="27" xfId="0" applyFont="1" applyBorder="1" applyAlignment="1">
      <alignment horizontal="center"/>
    </xf>
    <xf numFmtId="174" fontId="13" fillId="0" borderId="17" xfId="0" applyNumberFormat="1" applyFont="1" applyBorder="1"/>
    <xf numFmtId="174" fontId="13" fillId="0" borderId="24" xfId="0" applyNumberFormat="1" applyFont="1" applyBorder="1"/>
    <xf numFmtId="174" fontId="13" fillId="0" borderId="12" xfId="0" applyNumberFormat="1" applyFont="1" applyBorder="1"/>
    <xf numFmtId="174" fontId="13" fillId="0" borderId="14" xfId="0" applyNumberFormat="1" applyFont="1" applyBorder="1"/>
    <xf numFmtId="0" fontId="13" fillId="0" borderId="25" xfId="0" applyFont="1" applyBorder="1" applyAlignment="1">
      <alignment horizontal="center" vertical="top" wrapText="1"/>
    </xf>
    <xf numFmtId="168" fontId="13" fillId="0" borderId="0" xfId="7" applyNumberFormat="1" applyFont="1"/>
    <xf numFmtId="0" fontId="13" fillId="0" borderId="22" xfId="0" applyFont="1" applyBorder="1" applyAlignment="1">
      <alignment horizontal="center" vertical="top" wrapText="1"/>
    </xf>
    <xf numFmtId="0" fontId="15" fillId="0" borderId="17" xfId="0" applyFont="1" applyBorder="1"/>
    <xf numFmtId="0" fontId="13" fillId="0" borderId="10" xfId="0" applyFont="1" applyBorder="1" applyAlignment="1">
      <alignment horizontal="center" vertical="top" wrapText="1"/>
    </xf>
    <xf numFmtId="165" fontId="13" fillId="0" borderId="0" xfId="1" applyNumberFormat="1" applyFont="1" applyAlignment="1">
      <alignment horizontal="left"/>
    </xf>
    <xf numFmtId="169" fontId="13" fillId="0" borderId="0" xfId="1" applyNumberFormat="1" applyFont="1"/>
    <xf numFmtId="174" fontId="18" fillId="0" borderId="0" xfId="1" applyNumberFormat="1" applyFont="1" applyAlignment="1">
      <alignment horizontal="right"/>
    </xf>
    <xf numFmtId="169" fontId="18" fillId="0" borderId="0" xfId="0" applyNumberFormat="1" applyFont="1" applyAlignment="1">
      <alignment horizontal="right"/>
    </xf>
    <xf numFmtId="0" fontId="13" fillId="0" borderId="23" xfId="0" applyFont="1" applyBorder="1" applyAlignment="1">
      <alignment horizontal="center" vertical="top" wrapText="1"/>
    </xf>
    <xf numFmtId="0" fontId="13" fillId="0" borderId="11" xfId="0" applyFont="1" applyBorder="1" applyAlignment="1">
      <alignment horizontal="center" vertical="top" wrapText="1"/>
    </xf>
    <xf numFmtId="2" fontId="13" fillId="0" borderId="23" xfId="1" applyNumberFormat="1" applyFont="1" applyBorder="1" applyAlignment="1">
      <alignment horizontal="center" vertical="top" wrapText="1"/>
    </xf>
    <xf numFmtId="2" fontId="13" fillId="0" borderId="10" xfId="1" applyNumberFormat="1" applyFont="1" applyBorder="1" applyAlignment="1">
      <alignment horizontal="center" vertical="top" wrapText="1"/>
    </xf>
    <xf numFmtId="2" fontId="13" fillId="0" borderId="11" xfId="1" applyNumberFormat="1" applyFont="1" applyBorder="1" applyAlignment="1">
      <alignment horizontal="center" vertical="top" wrapText="1"/>
    </xf>
    <xf numFmtId="168" fontId="13" fillId="0" borderId="11" xfId="0" applyNumberFormat="1" applyFont="1" applyBorder="1" applyAlignment="1">
      <alignment horizontal="center" vertical="top" wrapText="1"/>
    </xf>
    <xf numFmtId="168" fontId="13" fillId="0" borderId="10" xfId="0" applyNumberFormat="1" applyFont="1" applyBorder="1" applyAlignment="1">
      <alignment horizontal="center" vertical="top" wrapText="1"/>
    </xf>
    <xf numFmtId="175" fontId="13" fillId="0" borderId="22" xfId="0" applyNumberFormat="1" applyFont="1" applyBorder="1" applyAlignment="1">
      <alignment horizontal="center" vertical="top" wrapText="1"/>
    </xf>
    <xf numFmtId="175" fontId="13" fillId="0" borderId="23" xfId="0" applyNumberFormat="1" applyFont="1" applyBorder="1" applyAlignment="1">
      <alignment horizontal="center" vertical="top" wrapText="1"/>
    </xf>
    <xf numFmtId="175" fontId="13" fillId="0" borderId="11" xfId="0" applyNumberFormat="1" applyFont="1" applyBorder="1" applyAlignment="1">
      <alignment horizontal="center" vertical="top" wrapText="1"/>
    </xf>
    <xf numFmtId="175" fontId="13" fillId="0" borderId="0" xfId="0" applyNumberFormat="1" applyFont="1" applyAlignment="1">
      <alignment horizontal="center" vertical="top" wrapText="1"/>
    </xf>
    <xf numFmtId="166" fontId="18" fillId="0" borderId="0" xfId="1" applyNumberFormat="1" applyFont="1" applyAlignment="1">
      <alignment vertical="top" wrapText="1"/>
    </xf>
    <xf numFmtId="0" fontId="17" fillId="0" borderId="16" xfId="0" applyFont="1" applyBorder="1" applyAlignment="1">
      <alignment horizontal="left" wrapText="1"/>
    </xf>
    <xf numFmtId="0" fontId="13" fillId="0" borderId="52" xfId="0" applyFont="1" applyBorder="1" applyAlignment="1">
      <alignment horizontal="left" vertical="top" wrapText="1"/>
    </xf>
    <xf numFmtId="0" fontId="13" fillId="0" borderId="29" xfId="0" applyFont="1" applyBorder="1" applyAlignment="1">
      <alignment horizontal="center" vertical="top" wrapText="1"/>
    </xf>
    <xf numFmtId="0" fontId="13" fillId="0" borderId="26" xfId="0" applyFont="1" applyBorder="1" applyAlignment="1">
      <alignment horizontal="center" vertical="top" wrapText="1"/>
    </xf>
    <xf numFmtId="0" fontId="13" fillId="0" borderId="16" xfId="0" applyFont="1" applyBorder="1" applyAlignment="1">
      <alignment horizontal="center" vertical="top" wrapText="1"/>
    </xf>
    <xf numFmtId="0" fontId="13" fillId="0" borderId="27" xfId="0" applyFont="1" applyBorder="1" applyAlignment="1">
      <alignment horizontal="center" vertical="top" wrapText="1"/>
    </xf>
    <xf numFmtId="0" fontId="13" fillId="0" borderId="53" xfId="0" applyFont="1" applyBorder="1" applyAlignment="1">
      <alignment horizontal="left" vertical="top" wrapText="1"/>
    </xf>
    <xf numFmtId="168" fontId="13" fillId="0" borderId="33" xfId="7" applyNumberFormat="1" applyFont="1" applyBorder="1" applyAlignment="1">
      <alignment horizontal="center" vertical="top" wrapText="1"/>
    </xf>
    <xf numFmtId="168" fontId="13" fillId="0" borderId="22" xfId="7" applyNumberFormat="1" applyFont="1" applyBorder="1" applyAlignment="1">
      <alignment horizontal="center" vertical="top" wrapText="1"/>
    </xf>
    <xf numFmtId="168" fontId="13" fillId="0" borderId="23" xfId="7" applyNumberFormat="1" applyFont="1" applyBorder="1" applyAlignment="1">
      <alignment horizontal="center" vertical="top" wrapText="1"/>
    </xf>
    <xf numFmtId="168" fontId="13" fillId="0" borderId="11" xfId="7" applyNumberFormat="1" applyFont="1" applyBorder="1" applyAlignment="1">
      <alignment horizontal="center" vertical="top" wrapText="1"/>
    </xf>
    <xf numFmtId="168" fontId="13" fillId="0" borderId="0" xfId="7" applyNumberFormat="1" applyFont="1" applyAlignment="1">
      <alignment horizontal="center" vertical="top" wrapText="1"/>
    </xf>
    <xf numFmtId="0" fontId="13" fillId="0" borderId="11" xfId="0" applyFont="1" applyBorder="1" applyAlignment="1">
      <alignment horizontal="left" vertical="top" wrapText="1" indent="1"/>
    </xf>
    <xf numFmtId="0" fontId="13" fillId="0" borderId="33" xfId="7" applyNumberFormat="1" applyFont="1" applyBorder="1" applyAlignment="1">
      <alignment horizontal="center" vertical="top" wrapText="1"/>
    </xf>
    <xf numFmtId="0" fontId="13" fillId="0" borderId="22" xfId="7" applyNumberFormat="1" applyFont="1" applyBorder="1" applyAlignment="1">
      <alignment horizontal="center" vertical="top" wrapText="1"/>
    </xf>
    <xf numFmtId="0" fontId="13" fillId="0" borderId="23" xfId="7" applyNumberFormat="1" applyFont="1" applyBorder="1" applyAlignment="1">
      <alignment horizontal="center" vertical="top" wrapText="1"/>
    </xf>
    <xf numFmtId="0" fontId="17" fillId="0" borderId="11" xfId="0" applyFont="1" applyBorder="1" applyAlignment="1">
      <alignment horizontal="left" wrapText="1"/>
    </xf>
    <xf numFmtId="0" fontId="13" fillId="0" borderId="33" xfId="0" applyFont="1" applyBorder="1" applyAlignment="1">
      <alignment horizontal="center" vertical="top" wrapText="1"/>
    </xf>
    <xf numFmtId="0" fontId="13" fillId="0" borderId="0" xfId="0" applyFont="1" applyAlignment="1">
      <alignment horizontal="center" vertical="top" wrapText="1"/>
    </xf>
    <xf numFmtId="176" fontId="13" fillId="0" borderId="33" xfId="1" applyNumberFormat="1" applyFont="1" applyBorder="1" applyAlignment="1">
      <alignment vertical="top" wrapText="1"/>
    </xf>
    <xf numFmtId="176" fontId="13" fillId="0" borderId="22" xfId="1" applyNumberFormat="1" applyFont="1" applyBorder="1" applyAlignment="1">
      <alignment vertical="top" wrapText="1"/>
    </xf>
    <xf numFmtId="176" fontId="13" fillId="0" borderId="23" xfId="1" applyNumberFormat="1" applyFont="1" applyBorder="1" applyAlignment="1">
      <alignment vertical="top" wrapText="1"/>
    </xf>
    <xf numFmtId="176" fontId="13" fillId="0" borderId="11" xfId="1" applyNumberFormat="1" applyFont="1" applyBorder="1" applyAlignment="1">
      <alignment vertical="top" wrapText="1"/>
    </xf>
    <xf numFmtId="176" fontId="13" fillId="0" borderId="0" xfId="1" applyNumberFormat="1" applyFont="1" applyAlignment="1">
      <alignment vertical="top" wrapText="1"/>
    </xf>
    <xf numFmtId="176" fontId="13" fillId="0" borderId="33" xfId="0" applyNumberFormat="1" applyFont="1" applyBorder="1" applyAlignment="1">
      <alignment horizontal="center" vertical="top" wrapText="1"/>
    </xf>
    <xf numFmtId="176" fontId="13" fillId="0" borderId="22" xfId="0" applyNumberFormat="1" applyFont="1" applyBorder="1" applyAlignment="1">
      <alignment horizontal="center" vertical="top" wrapText="1"/>
    </xf>
    <xf numFmtId="176" fontId="13" fillId="0" borderId="23" xfId="0" applyNumberFormat="1" applyFont="1" applyBorder="1" applyAlignment="1">
      <alignment horizontal="center" vertical="top" wrapText="1"/>
    </xf>
    <xf numFmtId="176" fontId="13" fillId="0" borderId="11" xfId="0" applyNumberFormat="1" applyFont="1" applyBorder="1" applyAlignment="1">
      <alignment horizontal="center" vertical="top" wrapText="1"/>
    </xf>
    <xf numFmtId="176" fontId="13" fillId="0" borderId="0" xfId="0" applyNumberFormat="1" applyFont="1" applyAlignment="1">
      <alignment horizontal="center" vertical="top" wrapText="1"/>
    </xf>
    <xf numFmtId="168" fontId="13" fillId="0" borderId="33" xfId="0" applyNumberFormat="1" applyFont="1" applyBorder="1" applyAlignment="1">
      <alignment horizontal="center" vertical="top" wrapText="1"/>
    </xf>
    <xf numFmtId="168" fontId="13" fillId="0" borderId="22" xfId="0" applyNumberFormat="1" applyFont="1" applyBorder="1" applyAlignment="1">
      <alignment horizontal="center" vertical="top" wrapText="1"/>
    </xf>
    <xf numFmtId="168" fontId="13" fillId="0" borderId="23" xfId="0" applyNumberFormat="1" applyFont="1" applyBorder="1" applyAlignment="1">
      <alignment horizontal="center" vertical="top" wrapText="1"/>
    </xf>
    <xf numFmtId="168" fontId="13" fillId="0" borderId="0" xfId="0" applyNumberFormat="1" applyFont="1" applyAlignment="1">
      <alignment horizontal="center" vertical="top" wrapText="1"/>
    </xf>
    <xf numFmtId="0" fontId="17" fillId="0" borderId="11" xfId="0" applyFont="1" applyBorder="1" applyAlignment="1">
      <alignment horizontal="left" vertical="top" wrapText="1"/>
    </xf>
    <xf numFmtId="0" fontId="17" fillId="0" borderId="53" xfId="0" applyFont="1" applyBorder="1" applyAlignment="1">
      <alignment horizontal="left" vertical="top" wrapText="1"/>
    </xf>
    <xf numFmtId="9" fontId="13" fillId="0" borderId="33" xfId="0" applyNumberFormat="1" applyFont="1" applyBorder="1" applyAlignment="1">
      <alignment horizontal="center" vertical="top" wrapText="1"/>
    </xf>
    <xf numFmtId="9" fontId="13" fillId="0" borderId="22" xfId="0" applyNumberFormat="1" applyFont="1" applyBorder="1" applyAlignment="1">
      <alignment horizontal="center" vertical="top" wrapText="1"/>
    </xf>
    <xf numFmtId="9" fontId="13" fillId="0" borderId="23" xfId="0" applyNumberFormat="1" applyFont="1" applyBorder="1" applyAlignment="1">
      <alignment horizontal="center" vertical="top" wrapText="1"/>
    </xf>
    <xf numFmtId="9" fontId="13" fillId="0" borderId="11" xfId="0" applyNumberFormat="1" applyFont="1" applyBorder="1" applyAlignment="1">
      <alignment horizontal="center" vertical="top" wrapText="1"/>
    </xf>
    <xf numFmtId="9" fontId="13" fillId="0" borderId="0" xfId="0" applyNumberFormat="1" applyFont="1" applyAlignment="1">
      <alignment horizontal="center" vertical="top" wrapText="1"/>
    </xf>
    <xf numFmtId="0" fontId="13" fillId="0" borderId="54" xfId="0" applyFont="1" applyBorder="1" applyAlignment="1">
      <alignment horizontal="left" vertical="top" wrapText="1" indent="1"/>
    </xf>
    <xf numFmtId="0" fontId="13" fillId="0" borderId="55" xfId="0" applyFont="1" applyBorder="1" applyAlignment="1">
      <alignment horizontal="left" vertical="top" wrapText="1"/>
    </xf>
    <xf numFmtId="176" fontId="13" fillId="0" borderId="56" xfId="1" applyNumberFormat="1" applyFont="1" applyBorder="1" applyAlignment="1">
      <alignment vertical="top" wrapText="1"/>
    </xf>
    <xf numFmtId="176" fontId="13" fillId="0" borderId="57" xfId="1" applyNumberFormat="1" applyFont="1" applyBorder="1" applyAlignment="1">
      <alignment vertical="top" wrapText="1"/>
    </xf>
    <xf numFmtId="176" fontId="13" fillId="0" borderId="58" xfId="1" applyNumberFormat="1" applyFont="1" applyBorder="1" applyAlignment="1">
      <alignment vertical="top" wrapText="1"/>
    </xf>
    <xf numFmtId="176" fontId="13" fillId="0" borderId="54" xfId="1" applyNumberFormat="1" applyFont="1" applyBorder="1" applyAlignment="1">
      <alignment vertical="top" wrapText="1"/>
    </xf>
    <xf numFmtId="176" fontId="13" fillId="0" borderId="59" xfId="1" applyNumberFormat="1" applyFont="1" applyBorder="1" applyAlignment="1">
      <alignment vertical="top" wrapText="1"/>
    </xf>
    <xf numFmtId="0" fontId="15" fillId="0" borderId="60" xfId="0" applyFont="1" applyBorder="1" applyAlignment="1">
      <alignment horizontal="center" vertical="top" wrapText="1"/>
    </xf>
    <xf numFmtId="0" fontId="13" fillId="0" borderId="61" xfId="0" applyFont="1" applyBorder="1" applyAlignment="1">
      <alignment horizontal="left" vertical="top" wrapText="1"/>
    </xf>
    <xf numFmtId="0" fontId="13" fillId="0" borderId="52" xfId="0" applyFont="1" applyBorder="1" applyAlignment="1">
      <alignment horizontal="center" vertical="top" wrapText="1"/>
    </xf>
    <xf numFmtId="0" fontId="13" fillId="0" borderId="15" xfId="0" applyFont="1" applyBorder="1" applyAlignment="1">
      <alignment horizontal="center" vertical="top" wrapText="1"/>
    </xf>
    <xf numFmtId="0" fontId="13" fillId="0" borderId="11" xfId="0" applyFont="1" applyBorder="1" applyAlignment="1">
      <alignment horizontal="left" vertical="top" wrapText="1"/>
    </xf>
    <xf numFmtId="165" fontId="13" fillId="0" borderId="62" xfId="1" applyNumberFormat="1" applyFont="1" applyBorder="1" applyAlignment="1">
      <alignment horizontal="left" vertical="top" wrapText="1"/>
    </xf>
    <xf numFmtId="0" fontId="13" fillId="0" borderId="53" xfId="0" applyFont="1" applyBorder="1" applyAlignment="1">
      <alignment horizontal="center" vertical="top" wrapText="1"/>
    </xf>
    <xf numFmtId="175" fontId="13" fillId="0" borderId="62" xfId="1" applyNumberFormat="1" applyFont="1" applyBorder="1" applyAlignment="1">
      <alignment horizontal="left" vertical="top" wrapText="1"/>
    </xf>
    <xf numFmtId="175" fontId="13" fillId="0" borderId="53" xfId="0" applyNumberFormat="1" applyFont="1" applyBorder="1" applyAlignment="1">
      <alignment horizontal="center" vertical="top" wrapText="1"/>
    </xf>
    <xf numFmtId="175" fontId="13" fillId="0" borderId="10" xfId="0" applyNumberFormat="1" applyFont="1" applyBorder="1" applyAlignment="1">
      <alignment horizontal="center" vertical="top" wrapText="1"/>
    </xf>
    <xf numFmtId="2" fontId="13" fillId="0" borderId="22" xfId="1" applyNumberFormat="1" applyFont="1" applyBorder="1" applyAlignment="1">
      <alignment horizontal="center" vertical="top" wrapText="1"/>
    </xf>
    <xf numFmtId="2" fontId="13" fillId="0" borderId="53" xfId="1" applyNumberFormat="1" applyFont="1" applyBorder="1" applyAlignment="1">
      <alignment horizontal="center" vertical="top" wrapText="1"/>
    </xf>
    <xf numFmtId="2" fontId="13" fillId="0" borderId="0" xfId="1" applyNumberFormat="1" applyFont="1" applyAlignment="1">
      <alignment horizontal="center" vertical="top" wrapText="1"/>
    </xf>
    <xf numFmtId="168" fontId="13" fillId="0" borderId="53" xfId="0" applyNumberFormat="1" applyFont="1" applyBorder="1" applyAlignment="1">
      <alignment horizontal="center" vertical="top" wrapText="1"/>
    </xf>
    <xf numFmtId="9" fontId="13" fillId="0" borderId="10" xfId="0" applyNumberFormat="1" applyFont="1" applyBorder="1" applyAlignment="1">
      <alignment horizontal="center" vertical="top" wrapText="1"/>
    </xf>
    <xf numFmtId="165" fontId="13" fillId="24" borderId="62" xfId="1" applyNumberFormat="1" applyFont="1" applyFill="1" applyBorder="1" applyAlignment="1">
      <alignment horizontal="left" vertical="top" wrapText="1"/>
    </xf>
    <xf numFmtId="165" fontId="17" fillId="24" borderId="62" xfId="1" applyNumberFormat="1" applyFont="1" applyFill="1" applyBorder="1" applyAlignment="1">
      <alignment horizontal="left" vertical="top" wrapText="1"/>
    </xf>
    <xf numFmtId="0" fontId="13" fillId="0" borderId="12" xfId="0" applyFont="1" applyBorder="1" applyAlignment="1">
      <alignment horizontal="left" vertical="top" wrapText="1"/>
    </xf>
    <xf numFmtId="165" fontId="13" fillId="0" borderId="63" xfId="1" applyNumberFormat="1" applyFont="1" applyBorder="1" applyAlignment="1">
      <alignment horizontal="left" vertical="top" wrapText="1"/>
    </xf>
    <xf numFmtId="166" fontId="13" fillId="0" borderId="12" xfId="1" applyNumberFormat="1" applyFont="1" applyBorder="1" applyAlignment="1">
      <alignment vertical="top" wrapText="1"/>
    </xf>
    <xf numFmtId="166" fontId="13" fillId="0" borderId="17" xfId="1" applyNumberFormat="1" applyFont="1" applyBorder="1" applyAlignment="1">
      <alignment vertical="top" wrapText="1"/>
    </xf>
    <xf numFmtId="166" fontId="13" fillId="0" borderId="64" xfId="1" applyNumberFormat="1" applyFont="1" applyBorder="1" applyAlignment="1">
      <alignment vertical="top" wrapText="1"/>
    </xf>
    <xf numFmtId="166" fontId="13" fillId="0" borderId="13" xfId="1" applyNumberFormat="1" applyFont="1" applyBorder="1" applyAlignment="1">
      <alignment vertical="top" wrapText="1"/>
    </xf>
    <xf numFmtId="166" fontId="13" fillId="0" borderId="14" xfId="1" applyNumberFormat="1" applyFont="1" applyBorder="1" applyAlignment="1">
      <alignment vertical="top" wrapText="1"/>
    </xf>
    <xf numFmtId="166" fontId="13" fillId="0" borderId="24" xfId="1" applyNumberFormat="1" applyFont="1" applyBorder="1" applyAlignment="1">
      <alignment vertical="top" wrapText="1"/>
    </xf>
    <xf numFmtId="0" fontId="17" fillId="0" borderId="52" xfId="0" applyFont="1" applyBorder="1" applyAlignment="1">
      <alignment horizontal="center"/>
    </xf>
    <xf numFmtId="0" fontId="17" fillId="0" borderId="22" xfId="0" applyFont="1" applyBorder="1" applyAlignment="1">
      <alignment horizontal="center"/>
    </xf>
    <xf numFmtId="0" fontId="13" fillId="0" borderId="52" xfId="0" applyFont="1" applyBorder="1"/>
    <xf numFmtId="0" fontId="13" fillId="0" borderId="61" xfId="0" applyFont="1" applyBorder="1"/>
    <xf numFmtId="0" fontId="13" fillId="0" borderId="29" xfId="0" applyFont="1" applyBorder="1"/>
    <xf numFmtId="0" fontId="13" fillId="0" borderId="53" xfId="0" applyFont="1" applyBorder="1" applyAlignment="1">
      <alignment horizontal="center"/>
    </xf>
    <xf numFmtId="174" fontId="13" fillId="0" borderId="53" xfId="0" applyNumberFormat="1" applyFont="1" applyBorder="1"/>
    <xf numFmtId="174" fontId="13" fillId="0" borderId="62" xfId="0" applyNumberFormat="1" applyFont="1" applyBorder="1"/>
    <xf numFmtId="176" fontId="13" fillId="0" borderId="0" xfId="1" applyNumberFormat="1" applyFont="1"/>
    <xf numFmtId="176" fontId="13" fillId="0" borderId="53" xfId="1" applyNumberFormat="1" applyFont="1" applyBorder="1"/>
    <xf numFmtId="176" fontId="13" fillId="0" borderId="62" xfId="1" applyNumberFormat="1" applyFont="1" applyBorder="1"/>
    <xf numFmtId="176" fontId="13" fillId="0" borderId="11" xfId="1" applyNumberFormat="1" applyFont="1" applyBorder="1"/>
    <xf numFmtId="176" fontId="13" fillId="0" borderId="33" xfId="1" applyNumberFormat="1" applyFont="1" applyBorder="1"/>
    <xf numFmtId="171" fontId="13" fillId="0" borderId="53" xfId="0" applyNumberFormat="1" applyFont="1" applyBorder="1" applyAlignment="1">
      <alignment horizontal="center"/>
    </xf>
    <xf numFmtId="171" fontId="13" fillId="0" borderId="62" xfId="7" applyNumberFormat="1" applyFont="1" applyBorder="1" applyAlignment="1">
      <alignment horizontal="center"/>
    </xf>
    <xf numFmtId="171" fontId="13" fillId="0" borderId="11" xfId="7" applyNumberFormat="1" applyFont="1" applyBorder="1" applyAlignment="1">
      <alignment horizontal="center"/>
    </xf>
    <xf numFmtId="171" fontId="13" fillId="0" borderId="53" xfId="7" applyNumberFormat="1" applyFont="1" applyBorder="1" applyAlignment="1">
      <alignment horizontal="center"/>
    </xf>
    <xf numFmtId="171" fontId="13" fillId="0" borderId="0" xfId="7" applyNumberFormat="1" applyFont="1" applyAlignment="1">
      <alignment horizontal="center"/>
    </xf>
    <xf numFmtId="171" fontId="13" fillId="0" borderId="33" xfId="7" applyNumberFormat="1" applyFont="1" applyBorder="1" applyAlignment="1">
      <alignment horizontal="center"/>
    </xf>
    <xf numFmtId="9" fontId="13" fillId="0" borderId="53" xfId="7" applyFont="1" applyBorder="1" applyAlignment="1">
      <alignment horizontal="center"/>
    </xf>
    <xf numFmtId="9" fontId="13" fillId="0" borderId="64" xfId="7" applyFont="1" applyBorder="1" applyAlignment="1">
      <alignment horizontal="center"/>
    </xf>
    <xf numFmtId="9" fontId="13" fillId="0" borderId="17" xfId="7" applyFont="1" applyBorder="1" applyAlignment="1">
      <alignment horizontal="center"/>
    </xf>
    <xf numFmtId="9" fontId="13" fillId="0" borderId="14" xfId="7" applyFont="1" applyBorder="1" applyAlignment="1">
      <alignment horizontal="center"/>
    </xf>
    <xf numFmtId="9" fontId="13" fillId="0" borderId="63" xfId="7" applyFont="1" applyBorder="1" applyAlignment="1">
      <alignment horizontal="center"/>
    </xf>
    <xf numFmtId="9" fontId="13" fillId="0" borderId="12" xfId="7" applyFont="1" applyBorder="1" applyAlignment="1">
      <alignment horizontal="center"/>
    </xf>
    <xf numFmtId="9" fontId="13" fillId="0" borderId="50" xfId="7" applyFont="1" applyBorder="1" applyAlignment="1">
      <alignment horizontal="center"/>
    </xf>
    <xf numFmtId="9" fontId="13" fillId="0" borderId="27" xfId="7" applyFont="1" applyBorder="1" applyAlignment="1">
      <alignment horizontal="center"/>
    </xf>
    <xf numFmtId="9" fontId="13" fillId="0" borderId="0" xfId="7" applyFont="1" applyAlignment="1">
      <alignment horizontal="center"/>
    </xf>
    <xf numFmtId="0" fontId="17" fillId="0" borderId="10" xfId="0" applyFont="1" applyBorder="1" applyAlignment="1">
      <alignment horizontal="left"/>
    </xf>
    <xf numFmtId="0" fontId="13" fillId="0" borderId="10" xfId="0" applyFont="1" applyBorder="1"/>
    <xf numFmtId="0" fontId="13" fillId="0" borderId="23" xfId="0" applyFont="1" applyBorder="1" applyAlignment="1">
      <alignment horizontal="center"/>
    </xf>
    <xf numFmtId="171" fontId="13" fillId="0" borderId="10" xfId="7" applyNumberFormat="1" applyFont="1" applyBorder="1" applyAlignment="1">
      <alignment horizontal="center"/>
    </xf>
    <xf numFmtId="171" fontId="13" fillId="0" borderId="23" xfId="7" applyNumberFormat="1" applyFont="1" applyBorder="1" applyAlignment="1">
      <alignment horizontal="center"/>
    </xf>
    <xf numFmtId="174" fontId="13" fillId="0" borderId="10" xfId="0" applyNumberFormat="1" applyFont="1" applyBorder="1"/>
    <xf numFmtId="0" fontId="13" fillId="0" borderId="10" xfId="0" applyFont="1" applyBorder="1" applyAlignment="1">
      <alignment horizontal="left"/>
    </xf>
    <xf numFmtId="9" fontId="13" fillId="0" borderId="23" xfId="0" applyNumberFormat="1" applyFont="1" applyBorder="1" applyAlignment="1">
      <alignment horizontal="center"/>
    </xf>
    <xf numFmtId="0" fontId="13" fillId="0" borderId="65" xfId="0" applyFont="1" applyBorder="1" applyAlignment="1">
      <alignment horizontal="left"/>
    </xf>
    <xf numFmtId="0" fontId="13" fillId="0" borderId="66" xfId="0" applyFont="1" applyBorder="1" applyAlignment="1">
      <alignment horizontal="center"/>
    </xf>
    <xf numFmtId="0" fontId="17" fillId="0" borderId="0" xfId="0" applyFont="1"/>
    <xf numFmtId="174" fontId="13" fillId="0" borderId="0" xfId="0" applyNumberFormat="1" applyFont="1" applyAlignment="1">
      <alignment horizontal="center"/>
    </xf>
    <xf numFmtId="0" fontId="13" fillId="0" borderId="52" xfId="0" applyFont="1" applyBorder="1" applyAlignment="1">
      <alignment horizontal="center"/>
    </xf>
    <xf numFmtId="169" fontId="15" fillId="0" borderId="25" xfId="0" applyNumberFormat="1" applyFont="1" applyBorder="1"/>
    <xf numFmtId="169" fontId="15" fillId="0" borderId="11" xfId="0" applyNumberFormat="1" applyFont="1" applyBorder="1"/>
    <xf numFmtId="0" fontId="15" fillId="0" borderId="22" xfId="0" applyFont="1" applyBorder="1" applyAlignment="1">
      <alignment horizontal="center"/>
    </xf>
    <xf numFmtId="0" fontId="13" fillId="0" borderId="53" xfId="0" quotePrefix="1" applyFont="1" applyBorder="1" applyAlignment="1">
      <alignment horizontal="center"/>
    </xf>
    <xf numFmtId="165" fontId="13" fillId="0" borderId="22" xfId="1" applyNumberFormat="1" applyFont="1" applyBorder="1"/>
    <xf numFmtId="165" fontId="13" fillId="0" borderId="23" xfId="1" applyNumberFormat="1" applyFont="1" applyBorder="1"/>
    <xf numFmtId="165" fontId="13" fillId="0" borderId="11" xfId="1" applyNumberFormat="1" applyFont="1" applyBorder="1"/>
    <xf numFmtId="165" fontId="13" fillId="0" borderId="62" xfId="1" applyNumberFormat="1" applyFont="1" applyBorder="1"/>
    <xf numFmtId="173" fontId="15" fillId="0" borderId="30" xfId="1" applyNumberFormat="1" applyFont="1" applyBorder="1"/>
    <xf numFmtId="173" fontId="15" fillId="0" borderId="35" xfId="1" applyNumberFormat="1" applyFont="1" applyBorder="1"/>
    <xf numFmtId="173" fontId="15" fillId="0" borderId="36" xfId="1" applyNumberFormat="1" applyFont="1" applyBorder="1"/>
    <xf numFmtId="173" fontId="15" fillId="0" borderId="67" xfId="1" applyNumberFormat="1" applyFont="1" applyBorder="1"/>
    <xf numFmtId="173" fontId="15" fillId="0" borderId="34" xfId="1" applyNumberFormat="1" applyFont="1" applyBorder="1"/>
    <xf numFmtId="173" fontId="15" fillId="0" borderId="30" xfId="0" applyNumberFormat="1" applyFont="1" applyBorder="1"/>
    <xf numFmtId="173" fontId="15" fillId="0" borderId="35" xfId="0" applyNumberFormat="1" applyFont="1" applyBorder="1"/>
    <xf numFmtId="0" fontId="17" fillId="0" borderId="36" xfId="0" applyFont="1" applyBorder="1"/>
    <xf numFmtId="0" fontId="13" fillId="0" borderId="68" xfId="0" applyFont="1" applyBorder="1" applyAlignment="1">
      <alignment horizontal="center"/>
    </xf>
    <xf numFmtId="169" fontId="13" fillId="0" borderId="30" xfId="0" applyNumberFormat="1" applyFont="1" applyBorder="1"/>
    <xf numFmtId="169" fontId="13" fillId="0" borderId="35" xfId="0" applyNumberFormat="1" applyFont="1" applyBorder="1"/>
    <xf numFmtId="169" fontId="13" fillId="0" borderId="36" xfId="0" applyNumberFormat="1" applyFont="1" applyBorder="1"/>
    <xf numFmtId="169" fontId="13" fillId="0" borderId="67" xfId="0" applyNumberFormat="1" applyFont="1" applyBorder="1"/>
    <xf numFmtId="169" fontId="13" fillId="0" borderId="34" xfId="0" applyNumberFormat="1" applyFont="1" applyBorder="1"/>
    <xf numFmtId="0" fontId="13" fillId="0" borderId="0" xfId="1" applyNumberFormat="1" applyFont="1" applyAlignment="1">
      <alignment horizontal="center"/>
    </xf>
    <xf numFmtId="171" fontId="13" fillId="0" borderId="22" xfId="0" applyNumberFormat="1" applyFont="1" applyBorder="1" applyAlignment="1">
      <alignment horizontal="center"/>
    </xf>
    <xf numFmtId="171" fontId="13" fillId="0" borderId="22" xfId="7" applyNumberFormat="1" applyFont="1" applyBorder="1" applyAlignment="1">
      <alignment horizontal="center"/>
    </xf>
    <xf numFmtId="174" fontId="15" fillId="0" borderId="62" xfId="0" applyNumberFormat="1" applyFont="1" applyBorder="1"/>
    <xf numFmtId="0" fontId="13" fillId="0" borderId="64" xfId="0" applyFont="1" applyBorder="1" applyAlignment="1">
      <alignment horizontal="center"/>
    </xf>
    <xf numFmtId="169" fontId="13" fillId="0" borderId="17" xfId="0" applyNumberFormat="1" applyFont="1" applyBorder="1"/>
    <xf numFmtId="169" fontId="13" fillId="0" borderId="24" xfId="0" applyNumberFormat="1" applyFont="1" applyBorder="1"/>
    <xf numFmtId="169" fontId="13" fillId="0" borderId="12" xfId="0" applyNumberFormat="1" applyFont="1" applyBorder="1"/>
    <xf numFmtId="169" fontId="13" fillId="0" borderId="63" xfId="0" applyNumberFormat="1" applyFont="1" applyBorder="1"/>
    <xf numFmtId="169" fontId="13" fillId="0" borderId="14" xfId="0" applyNumberFormat="1" applyFont="1" applyBorder="1"/>
    <xf numFmtId="0" fontId="15" fillId="0" borderId="25" xfId="0" applyFont="1" applyBorder="1" applyAlignment="1">
      <alignment horizontal="center" vertical="center" wrapText="1"/>
    </xf>
    <xf numFmtId="0" fontId="15" fillId="0" borderId="69" xfId="0" applyFont="1" applyBorder="1" applyAlignment="1">
      <alignment horizontal="center" vertical="center"/>
    </xf>
    <xf numFmtId="0" fontId="15" fillId="0" borderId="60" xfId="0" applyFont="1" applyBorder="1" applyAlignment="1">
      <alignment horizontal="center" vertical="center"/>
    </xf>
    <xf numFmtId="0" fontId="15" fillId="0" borderId="70" xfId="0" applyFont="1" applyBorder="1" applyAlignment="1">
      <alignment horizontal="center" vertical="top" wrapText="1"/>
    </xf>
    <xf numFmtId="169" fontId="15" fillId="0" borderId="22" xfId="0" applyNumberFormat="1" applyFont="1" applyBorder="1"/>
    <xf numFmtId="169" fontId="15" fillId="0" borderId="62" xfId="0" applyNumberFormat="1" applyFont="1" applyBorder="1"/>
    <xf numFmtId="0" fontId="13" fillId="0" borderId="22" xfId="0" quotePrefix="1" applyFont="1" applyBorder="1" applyAlignment="1">
      <alignment horizontal="center"/>
    </xf>
    <xf numFmtId="173" fontId="13" fillId="0" borderId="30" xfId="1" applyNumberFormat="1" applyFont="1" applyBorder="1"/>
    <xf numFmtId="173" fontId="13" fillId="0" borderId="67" xfId="1" applyNumberFormat="1" applyFont="1" applyBorder="1"/>
    <xf numFmtId="0" fontId="15" fillId="0" borderId="30" xfId="0" applyFont="1" applyBorder="1" applyAlignment="1">
      <alignment horizontal="center"/>
    </xf>
    <xf numFmtId="170" fontId="15" fillId="0" borderId="30" xfId="0" applyNumberFormat="1" applyFont="1" applyBorder="1"/>
    <xf numFmtId="170" fontId="15" fillId="0" borderId="67" xfId="0" applyNumberFormat="1" applyFont="1" applyBorder="1"/>
    <xf numFmtId="174" fontId="13" fillId="0" borderId="31" xfId="0" applyNumberFormat="1" applyFont="1" applyBorder="1"/>
    <xf numFmtId="174" fontId="13" fillId="0" borderId="30" xfId="1" applyNumberFormat="1" applyFont="1" applyBorder="1"/>
    <xf numFmtId="174" fontId="13" fillId="0" borderId="67" xfId="1" applyNumberFormat="1" applyFont="1" applyBorder="1"/>
    <xf numFmtId="0" fontId="15" fillId="0" borderId="16" xfId="0" applyFont="1" applyBorder="1" applyAlignment="1">
      <alignment horizontal="centerContinuous" vertical="center" wrapText="1"/>
    </xf>
    <xf numFmtId="0" fontId="15" fillId="0" borderId="19" xfId="0" applyFont="1" applyBorder="1" applyAlignment="1">
      <alignment horizontal="centerContinuous" vertical="center" wrapText="1"/>
    </xf>
    <xf numFmtId="0" fontId="15" fillId="0" borderId="20" xfId="0" applyFont="1" applyBorder="1" applyAlignment="1">
      <alignment horizontal="centerContinuous" vertical="center" wrapText="1"/>
    </xf>
    <xf numFmtId="0" fontId="15" fillId="0" borderId="71" xfId="0" applyFont="1" applyBorder="1" applyAlignment="1">
      <alignment horizontal="centerContinuous"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178" fontId="13" fillId="0" borderId="25" xfId="0" applyNumberFormat="1" applyFont="1" applyBorder="1" applyAlignment="1">
      <alignment vertical="top" wrapText="1"/>
    </xf>
    <xf numFmtId="178" fontId="13" fillId="0" borderId="26" xfId="0" applyNumberFormat="1" applyFont="1" applyBorder="1" applyAlignment="1">
      <alignment vertical="top" wrapText="1"/>
    </xf>
    <xf numFmtId="178" fontId="13" fillId="0" borderId="16" xfId="0" applyNumberFormat="1" applyFont="1" applyBorder="1" applyAlignment="1">
      <alignment vertical="top" wrapText="1"/>
    </xf>
    <xf numFmtId="178" fontId="13" fillId="0" borderId="27" xfId="0" applyNumberFormat="1" applyFont="1" applyBorder="1" applyAlignment="1">
      <alignment vertical="top" wrapText="1"/>
    </xf>
    <xf numFmtId="179" fontId="13" fillId="0" borderId="15" xfId="0" applyNumberFormat="1" applyFont="1" applyBorder="1" applyAlignment="1">
      <alignment vertical="top" wrapText="1"/>
    </xf>
    <xf numFmtId="178" fontId="13" fillId="0" borderId="22" xfId="1" applyNumberFormat="1" applyFont="1" applyBorder="1" applyAlignment="1">
      <alignment vertical="top" wrapText="1"/>
    </xf>
    <xf numFmtId="178" fontId="13" fillId="0" borderId="23" xfId="1" applyNumberFormat="1" applyFont="1" applyBorder="1" applyAlignment="1">
      <alignment vertical="top" wrapText="1"/>
    </xf>
    <xf numFmtId="178" fontId="13" fillId="0" borderId="11" xfId="1" applyNumberFormat="1" applyFont="1" applyBorder="1" applyAlignment="1">
      <alignment vertical="top" wrapText="1"/>
    </xf>
    <xf numFmtId="178" fontId="13" fillId="0" borderId="0" xfId="1" applyNumberFormat="1" applyFont="1" applyAlignment="1">
      <alignment vertical="top" wrapText="1"/>
    </xf>
    <xf numFmtId="179" fontId="13" fillId="0" borderId="10" xfId="1" applyNumberFormat="1" applyFont="1" applyBorder="1" applyAlignment="1">
      <alignment vertical="top" wrapText="1"/>
    </xf>
    <xf numFmtId="0" fontId="15" fillId="0" borderId="11" xfId="0" applyFont="1" applyBorder="1" applyAlignment="1">
      <alignment horizontal="right" wrapText="1"/>
    </xf>
    <xf numFmtId="178" fontId="15" fillId="0" borderId="30" xfId="1" applyNumberFormat="1" applyFont="1" applyBorder="1" applyAlignment="1">
      <alignment vertical="top" wrapText="1"/>
    </xf>
    <xf numFmtId="178" fontId="15" fillId="0" borderId="35" xfId="1" applyNumberFormat="1" applyFont="1" applyBorder="1" applyAlignment="1">
      <alignment vertical="top" wrapText="1"/>
    </xf>
    <xf numFmtId="178" fontId="15" fillId="0" borderId="36" xfId="1" applyNumberFormat="1" applyFont="1" applyBorder="1" applyAlignment="1">
      <alignment vertical="top" wrapText="1"/>
    </xf>
    <xf numFmtId="178" fontId="15" fillId="0" borderId="34" xfId="1" applyNumberFormat="1" applyFont="1" applyBorder="1" applyAlignment="1">
      <alignment vertical="top" wrapText="1"/>
    </xf>
    <xf numFmtId="179" fontId="15" fillId="0" borderId="28" xfId="7" applyNumberFormat="1" applyFont="1" applyBorder="1" applyAlignment="1">
      <alignment vertical="top" wrapText="1"/>
    </xf>
    <xf numFmtId="0" fontId="15" fillId="0" borderId="11" xfId="0" applyFont="1" applyBorder="1" applyAlignment="1">
      <alignment horizontal="left" wrapText="1" indent="1"/>
    </xf>
    <xf numFmtId="179" fontId="15" fillId="0" borderId="22" xfId="1" applyNumberFormat="1" applyFont="1" applyBorder="1" applyAlignment="1">
      <alignment vertical="top" wrapText="1"/>
    </xf>
    <xf numFmtId="179" fontId="15" fillId="0" borderId="22" xfId="7" applyNumberFormat="1" applyFont="1" applyBorder="1" applyAlignment="1">
      <alignment vertical="top" wrapText="1"/>
    </xf>
    <xf numFmtId="179" fontId="15" fillId="0" borderId="23" xfId="7" applyNumberFormat="1" applyFont="1" applyBorder="1" applyAlignment="1">
      <alignment vertical="top" wrapText="1"/>
    </xf>
    <xf numFmtId="179" fontId="15" fillId="0" borderId="11" xfId="7" applyNumberFormat="1" applyFont="1" applyBorder="1" applyAlignment="1">
      <alignment vertical="top" wrapText="1"/>
    </xf>
    <xf numFmtId="179" fontId="15" fillId="0" borderId="0" xfId="7" applyNumberFormat="1" applyFont="1" applyAlignment="1">
      <alignment vertical="top" wrapText="1"/>
    </xf>
    <xf numFmtId="179" fontId="15" fillId="0" borderId="10" xfId="7" applyNumberFormat="1" applyFont="1" applyBorder="1" applyAlignment="1">
      <alignment vertical="top" wrapText="1"/>
    </xf>
    <xf numFmtId="164" fontId="13" fillId="0" borderId="22" xfId="1" applyFont="1" applyBorder="1" applyAlignment="1">
      <alignment horizontal="center" vertical="top" wrapText="1"/>
    </xf>
    <xf numFmtId="164" fontId="13" fillId="0" borderId="23" xfId="1" applyFont="1" applyBorder="1" applyAlignment="1">
      <alignment horizontal="center" vertical="top" wrapText="1"/>
    </xf>
    <xf numFmtId="164" fontId="13" fillId="0" borderId="11" xfId="1" applyFont="1" applyBorder="1" applyAlignment="1">
      <alignment horizontal="center" vertical="top" wrapText="1"/>
    </xf>
    <xf numFmtId="164" fontId="13" fillId="0" borderId="0" xfId="1" applyFont="1" applyAlignment="1">
      <alignment horizontal="center" vertical="top" wrapText="1"/>
    </xf>
    <xf numFmtId="0" fontId="17" fillId="0" borderId="36" xfId="0" applyFont="1" applyBorder="1" applyAlignment="1">
      <alignment horizontal="left" wrapText="1"/>
    </xf>
    <xf numFmtId="0" fontId="13" fillId="0" borderId="30" xfId="0" applyFont="1" applyBorder="1" applyAlignment="1">
      <alignment horizontal="center" vertical="top" wrapText="1"/>
    </xf>
    <xf numFmtId="178" fontId="13" fillId="0" borderId="30" xfId="1" applyNumberFormat="1" applyFont="1" applyBorder="1" applyAlignment="1">
      <alignment vertical="top" wrapText="1"/>
    </xf>
    <xf numFmtId="178" fontId="13" fillId="0" borderId="35" xfId="1" applyNumberFormat="1" applyFont="1" applyBorder="1" applyAlignment="1">
      <alignment vertical="top" wrapText="1"/>
    </xf>
    <xf numFmtId="178" fontId="13" fillId="0" borderId="36" xfId="1" applyNumberFormat="1" applyFont="1" applyBorder="1" applyAlignment="1">
      <alignment vertical="top" wrapText="1"/>
    </xf>
    <xf numFmtId="178" fontId="13" fillId="0" borderId="34" xfId="1" applyNumberFormat="1" applyFont="1" applyBorder="1" applyAlignment="1">
      <alignment vertical="top" wrapText="1"/>
    </xf>
    <xf numFmtId="179" fontId="13" fillId="0" borderId="28" xfId="1" applyNumberFormat="1" applyFont="1" applyBorder="1" applyAlignment="1">
      <alignment vertical="top" wrapText="1"/>
    </xf>
    <xf numFmtId="0" fontId="15" fillId="0" borderId="22" xfId="0" applyFont="1" applyBorder="1" applyAlignment="1">
      <alignment horizontal="center" vertical="top" wrapText="1"/>
    </xf>
    <xf numFmtId="0" fontId="17" fillId="0" borderId="12" xfId="0" applyFont="1" applyBorder="1" applyAlignment="1">
      <alignment horizontal="left" wrapText="1"/>
    </xf>
    <xf numFmtId="0" fontId="13" fillId="0" borderId="17" xfId="0" applyFont="1" applyBorder="1" applyAlignment="1">
      <alignment horizontal="center" vertical="top" wrapText="1"/>
    </xf>
    <xf numFmtId="0" fontId="13" fillId="0" borderId="24" xfId="0" applyFont="1" applyBorder="1" applyAlignment="1">
      <alignment horizontal="center" vertical="top" wrapText="1"/>
    </xf>
    <xf numFmtId="0" fontId="13" fillId="0" borderId="12" xfId="0" applyFont="1" applyBorder="1" applyAlignment="1">
      <alignment horizontal="center" vertical="top" wrapText="1"/>
    </xf>
    <xf numFmtId="0" fontId="13" fillId="0" borderId="14" xfId="0" applyFont="1" applyBorder="1" applyAlignment="1">
      <alignment horizontal="center" vertical="top" wrapText="1"/>
    </xf>
    <xf numFmtId="179" fontId="13" fillId="0" borderId="13" xfId="0" applyNumberFormat="1" applyFont="1" applyBorder="1" applyAlignment="1">
      <alignment vertical="top" wrapText="1"/>
    </xf>
    <xf numFmtId="4" fontId="13" fillId="0" borderId="0" xfId="0" applyNumberFormat="1" applyFont="1"/>
    <xf numFmtId="10" fontId="13" fillId="0" borderId="0" xfId="0" applyNumberFormat="1" applyFont="1"/>
    <xf numFmtId="4" fontId="13" fillId="0" borderId="0" xfId="0" applyNumberFormat="1" applyFont="1" applyProtection="1">
      <protection locked="0"/>
    </xf>
    <xf numFmtId="0" fontId="13" fillId="0" borderId="0" xfId="0" applyFont="1" applyProtection="1">
      <protection locked="0"/>
    </xf>
    <xf numFmtId="0" fontId="13" fillId="0" borderId="39" xfId="0" applyFont="1" applyBorder="1"/>
    <xf numFmtId="0" fontId="15" fillId="0" borderId="52" xfId="0" applyFont="1" applyBorder="1" applyAlignment="1">
      <alignment horizontal="center" vertical="center"/>
    </xf>
    <xf numFmtId="0" fontId="15" fillId="0" borderId="72" xfId="0" applyFont="1" applyBorder="1" applyAlignment="1">
      <alignment horizontal="center" vertical="center" wrapText="1"/>
    </xf>
    <xf numFmtId="0" fontId="15" fillId="0" borderId="64" xfId="0" applyFont="1" applyBorder="1" applyAlignment="1">
      <alignment horizontal="center" vertical="center"/>
    </xf>
    <xf numFmtId="169" fontId="13" fillId="0" borderId="62" xfId="0" applyNumberFormat="1" applyFont="1" applyBorder="1" applyAlignment="1">
      <alignment horizontal="center"/>
    </xf>
    <xf numFmtId="169" fontId="13" fillId="0" borderId="62" xfId="0" applyNumberFormat="1" applyFont="1" applyBorder="1"/>
    <xf numFmtId="180" fontId="13" fillId="0" borderId="62" xfId="0" applyNumberFormat="1" applyFont="1" applyBorder="1" applyAlignment="1">
      <alignment horizontal="center"/>
    </xf>
    <xf numFmtId="174" fontId="15" fillId="0" borderId="67" xfId="0" applyNumberFormat="1" applyFont="1" applyBorder="1"/>
    <xf numFmtId="180" fontId="13" fillId="0" borderId="63" xfId="0" applyNumberFormat="1" applyFont="1" applyBorder="1" applyAlignment="1">
      <alignment horizontal="center"/>
    </xf>
    <xf numFmtId="174" fontId="15" fillId="0" borderId="73" xfId="0" applyNumberFormat="1" applyFont="1" applyBorder="1"/>
    <xf numFmtId="0" fontId="15" fillId="0" borderId="74" xfId="0" applyFont="1" applyBorder="1" applyAlignment="1">
      <alignment horizontal="center" vertical="center" wrapText="1"/>
    </xf>
    <xf numFmtId="174" fontId="15" fillId="0" borderId="25" xfId="0" applyNumberFormat="1" applyFont="1" applyBorder="1"/>
    <xf numFmtId="174" fontId="15" fillId="0" borderId="26" xfId="0" applyNumberFormat="1" applyFont="1" applyBorder="1"/>
    <xf numFmtId="174" fontId="15" fillId="0" borderId="16" xfId="0" applyNumberFormat="1" applyFont="1" applyBorder="1"/>
    <xf numFmtId="174" fontId="15" fillId="0" borderId="27" xfId="0" applyNumberFormat="1" applyFont="1" applyBorder="1"/>
    <xf numFmtId="174" fontId="15" fillId="0" borderId="29" xfId="0" applyNumberFormat="1" applyFont="1" applyBorder="1"/>
    <xf numFmtId="0" fontId="15" fillId="0" borderId="48" xfId="0" applyFont="1" applyBorder="1" applyAlignment="1">
      <alignment vertical="center"/>
    </xf>
    <xf numFmtId="0" fontId="13" fillId="0" borderId="46" xfId="0" applyFont="1" applyBorder="1" applyAlignment="1">
      <alignment horizontal="center" vertical="center"/>
    </xf>
    <xf numFmtId="174" fontId="15" fillId="0" borderId="46" xfId="0" applyNumberFormat="1" applyFont="1" applyBorder="1" applyAlignment="1">
      <alignment vertical="center"/>
    </xf>
    <xf numFmtId="174" fontId="15" fillId="0" borderId="47" xfId="0" applyNumberFormat="1" applyFont="1" applyBorder="1" applyAlignment="1">
      <alignment vertical="center"/>
    </xf>
    <xf numFmtId="174" fontId="15" fillId="0" borderId="48" xfId="0" applyNumberFormat="1" applyFont="1" applyBorder="1" applyAlignment="1">
      <alignment vertical="center"/>
    </xf>
    <xf numFmtId="174" fontId="15" fillId="0" borderId="45" xfId="0" applyNumberFormat="1" applyFont="1" applyBorder="1" applyAlignment="1">
      <alignment vertical="center"/>
    </xf>
    <xf numFmtId="174" fontId="15" fillId="0" borderId="49" xfId="0" applyNumberFormat="1" applyFont="1" applyBorder="1" applyAlignment="1">
      <alignment vertical="center"/>
    </xf>
    <xf numFmtId="0" fontId="13" fillId="0" borderId="0" xfId="0" applyFont="1" applyAlignment="1">
      <alignment vertical="center"/>
    </xf>
    <xf numFmtId="0" fontId="15" fillId="0" borderId="11" xfId="0" quotePrefix="1" applyFont="1" applyBorder="1" applyAlignment="1">
      <alignment horizontal="left" indent="1"/>
    </xf>
    <xf numFmtId="0" fontId="15" fillId="0" borderId="36" xfId="0" applyFont="1" applyBorder="1" applyAlignment="1">
      <alignment horizontal="left"/>
    </xf>
    <xf numFmtId="0" fontId="15" fillId="0" borderId="38" xfId="0" applyFont="1" applyBorder="1" applyAlignment="1">
      <alignment vertical="center"/>
    </xf>
    <xf numFmtId="0" fontId="13" fillId="0" borderId="39" xfId="0" applyFont="1" applyBorder="1" applyAlignment="1">
      <alignment horizontal="center" vertical="center"/>
    </xf>
    <xf numFmtId="174" fontId="15" fillId="0" borderId="39" xfId="0" applyNumberFormat="1" applyFont="1" applyBorder="1" applyAlignment="1">
      <alignment vertical="center"/>
    </xf>
    <xf numFmtId="174" fontId="15" fillId="0" borderId="41" xfId="0" applyNumberFormat="1" applyFont="1" applyBorder="1" applyAlignment="1">
      <alignment vertical="center"/>
    </xf>
    <xf numFmtId="174" fontId="15" fillId="0" borderId="38" xfId="0" applyNumberFormat="1" applyFont="1" applyBorder="1" applyAlignment="1">
      <alignment vertical="center"/>
    </xf>
    <xf numFmtId="174" fontId="15" fillId="0" borderId="40" xfId="0" applyNumberFormat="1" applyFont="1" applyBorder="1" applyAlignment="1">
      <alignment vertical="center"/>
    </xf>
    <xf numFmtId="174" fontId="15" fillId="0" borderId="42" xfId="0" applyNumberFormat="1" applyFont="1" applyBorder="1" applyAlignment="1">
      <alignment vertical="center"/>
    </xf>
    <xf numFmtId="0" fontId="15" fillId="0" borderId="11" xfId="0" applyFont="1" applyBorder="1" applyAlignment="1">
      <alignment horizontal="left" indent="2"/>
    </xf>
    <xf numFmtId="174" fontId="15" fillId="0" borderId="46" xfId="1" applyNumberFormat="1" applyFont="1" applyBorder="1"/>
    <xf numFmtId="174" fontId="15" fillId="0" borderId="47" xfId="1" applyNumberFormat="1" applyFont="1" applyBorder="1"/>
    <xf numFmtId="174" fontId="15" fillId="0" borderId="48" xfId="1" applyNumberFormat="1" applyFont="1" applyBorder="1"/>
    <xf numFmtId="174" fontId="15" fillId="0" borderId="45" xfId="1" applyNumberFormat="1" applyFont="1" applyBorder="1"/>
    <xf numFmtId="174" fontId="15" fillId="0" borderId="49" xfId="1" applyNumberFormat="1" applyFont="1" applyBorder="1"/>
    <xf numFmtId="0" fontId="13" fillId="0" borderId="11" xfId="0" quotePrefix="1" applyFont="1" applyBorder="1" applyAlignment="1">
      <alignment horizontal="left" indent="2"/>
    </xf>
    <xf numFmtId="0" fontId="15" fillId="0" borderId="11" xfId="0" quotePrefix="1" applyFont="1" applyBorder="1" applyAlignment="1">
      <alignment horizontal="left" indent="2"/>
    </xf>
    <xf numFmtId="0" fontId="15" fillId="0" borderId="11" xfId="0" quotePrefix="1" applyFont="1" applyBorder="1"/>
    <xf numFmtId="174" fontId="15" fillId="0" borderId="75" xfId="0" applyNumberFormat="1" applyFont="1" applyBorder="1"/>
    <xf numFmtId="0" fontId="13" fillId="0" borderId="11" xfId="0" applyFont="1" applyBorder="1" applyAlignment="1">
      <alignment horizontal="center"/>
    </xf>
    <xf numFmtId="179" fontId="15" fillId="0" borderId="22" xfId="0" applyNumberFormat="1" applyFont="1" applyBorder="1"/>
    <xf numFmtId="179" fontId="15" fillId="0" borderId="22" xfId="7" applyNumberFormat="1" applyFont="1" applyBorder="1" applyAlignment="1">
      <alignment horizontal="center"/>
    </xf>
    <xf numFmtId="179" fontId="15" fillId="0" borderId="23" xfId="7" applyNumberFormat="1" applyFont="1" applyBorder="1" applyAlignment="1">
      <alignment horizontal="center"/>
    </xf>
    <xf numFmtId="179" fontId="15" fillId="0" borderId="11" xfId="7" applyNumberFormat="1" applyFont="1" applyBorder="1" applyAlignment="1">
      <alignment horizontal="center"/>
    </xf>
    <xf numFmtId="179" fontId="15" fillId="0" borderId="0" xfId="7" applyNumberFormat="1" applyFont="1" applyAlignment="1">
      <alignment horizontal="center"/>
    </xf>
    <xf numFmtId="179" fontId="13" fillId="0" borderId="22" xfId="0" applyNumberFormat="1" applyFont="1" applyBorder="1"/>
    <xf numFmtId="9" fontId="15" fillId="0" borderId="22" xfId="7" applyFont="1" applyBorder="1" applyAlignment="1">
      <alignment horizontal="center"/>
    </xf>
    <xf numFmtId="9" fontId="15" fillId="0" borderId="23" xfId="7" applyFont="1" applyBorder="1" applyAlignment="1">
      <alignment horizontal="center"/>
    </xf>
    <xf numFmtId="9" fontId="15" fillId="0" borderId="11" xfId="7" applyFont="1" applyBorder="1" applyAlignment="1">
      <alignment horizontal="center"/>
    </xf>
    <xf numFmtId="9" fontId="15" fillId="0" borderId="0" xfId="7" applyFont="1" applyAlignment="1">
      <alignment horizontal="center"/>
    </xf>
    <xf numFmtId="0" fontId="15" fillId="0" borderId="26" xfId="0" applyFont="1" applyBorder="1" applyAlignment="1">
      <alignment horizontal="center" vertical="top" wrapText="1"/>
    </xf>
    <xf numFmtId="175" fontId="13" fillId="0" borderId="22" xfId="1" applyNumberFormat="1" applyFont="1" applyBorder="1" applyAlignment="1">
      <alignment horizontal="center"/>
    </xf>
    <xf numFmtId="175" fontId="13" fillId="0" borderId="10" xfId="1" applyNumberFormat="1" applyFont="1" applyBorder="1"/>
    <xf numFmtId="175" fontId="15" fillId="0" borderId="46" xfId="1" applyNumberFormat="1" applyFont="1" applyBorder="1" applyAlignment="1">
      <alignment horizontal="center"/>
    </xf>
    <xf numFmtId="175" fontId="15" fillId="0" borderId="46" xfId="1" applyNumberFormat="1" applyFont="1" applyBorder="1"/>
    <xf numFmtId="175" fontId="15" fillId="0" borderId="76" xfId="1" applyNumberFormat="1" applyFont="1" applyBorder="1"/>
    <xf numFmtId="0" fontId="18" fillId="0" borderId="11" xfId="0" applyFont="1" applyBorder="1"/>
    <xf numFmtId="175" fontId="15" fillId="0" borderId="47" xfId="1" applyNumberFormat="1" applyFont="1" applyBorder="1"/>
    <xf numFmtId="0" fontId="15" fillId="0" borderId="38" xfId="0" applyFont="1" applyBorder="1" applyAlignment="1">
      <alignment vertical="center" wrapText="1"/>
    </xf>
    <xf numFmtId="175" fontId="15" fillId="0" borderId="39" xfId="1" applyNumberFormat="1" applyFont="1" applyBorder="1" applyAlignment="1">
      <alignment horizontal="center" vertical="center"/>
    </xf>
    <xf numFmtId="175" fontId="15" fillId="0" borderId="39" xfId="1" applyNumberFormat="1" applyFont="1" applyBorder="1" applyAlignment="1">
      <alignment vertical="center"/>
    </xf>
    <xf numFmtId="175" fontId="15" fillId="0" borderId="41" xfId="1" applyNumberFormat="1" applyFont="1" applyBorder="1" applyAlignment="1">
      <alignment vertical="center"/>
    </xf>
    <xf numFmtId="175" fontId="15" fillId="0" borderId="77" xfId="1" applyNumberFormat="1" applyFont="1" applyBorder="1" applyAlignment="1">
      <alignment vertical="center"/>
    </xf>
    <xf numFmtId="175" fontId="13" fillId="0" borderId="23" xfId="1" applyNumberFormat="1" applyFont="1" applyBorder="1"/>
    <xf numFmtId="175" fontId="13" fillId="0" borderId="11" xfId="1" applyNumberFormat="1" applyFont="1" applyBorder="1"/>
    <xf numFmtId="175" fontId="13" fillId="0" borderId="62" xfId="1" applyNumberFormat="1" applyFont="1" applyBorder="1"/>
    <xf numFmtId="179" fontId="15" fillId="0" borderId="22" xfId="1" applyNumberFormat="1" applyFont="1" applyBorder="1"/>
    <xf numFmtId="179" fontId="15" fillId="0" borderId="62" xfId="7" applyNumberFormat="1" applyFont="1" applyBorder="1" applyAlignment="1">
      <alignment horizontal="center"/>
    </xf>
    <xf numFmtId="175" fontId="15" fillId="0" borderId="39" xfId="1" applyNumberFormat="1" applyFont="1" applyBorder="1"/>
    <xf numFmtId="175" fontId="15" fillId="0" borderId="73" xfId="1" applyNumberFormat="1" applyFont="1" applyBorder="1"/>
    <xf numFmtId="0" fontId="17" fillId="0" borderId="16" xfId="0" applyFont="1" applyBorder="1"/>
    <xf numFmtId="0" fontId="17" fillId="0" borderId="61" xfId="0" applyFont="1" applyBorder="1" applyAlignment="1">
      <alignment horizontal="center"/>
    </xf>
    <xf numFmtId="174" fontId="15" fillId="0" borderId="61" xfId="0" applyNumberFormat="1" applyFont="1" applyBorder="1" applyAlignment="1">
      <alignment horizontal="center"/>
    </xf>
    <xf numFmtId="0" fontId="13" fillId="0" borderId="62" xfId="0" applyFont="1" applyBorder="1" applyAlignment="1">
      <alignment horizontal="center"/>
    </xf>
    <xf numFmtId="0" fontId="15" fillId="0" borderId="62" xfId="0" applyFont="1" applyBorder="1" applyAlignment="1">
      <alignment horizontal="center"/>
    </xf>
    <xf numFmtId="0" fontId="17" fillId="0" borderId="62" xfId="0" applyFont="1" applyBorder="1" applyAlignment="1">
      <alignment horizontal="center"/>
    </xf>
    <xf numFmtId="0" fontId="15" fillId="0" borderId="67" xfId="0" applyFont="1" applyBorder="1" applyAlignment="1">
      <alignment horizontal="center"/>
    </xf>
    <xf numFmtId="0" fontId="15" fillId="0" borderId="36" xfId="0" applyFont="1" applyBorder="1" applyAlignment="1">
      <alignment vertical="center" wrapText="1"/>
    </xf>
    <xf numFmtId="0" fontId="15" fillId="0" borderId="67" xfId="0" applyFont="1" applyBorder="1" applyAlignment="1">
      <alignment horizontal="center" vertical="center" wrapText="1"/>
    </xf>
    <xf numFmtId="174" fontId="15" fillId="0" borderId="36" xfId="0" applyNumberFormat="1" applyFont="1" applyBorder="1" applyAlignment="1">
      <alignment vertical="center"/>
    </xf>
    <xf numFmtId="174" fontId="15" fillId="0" borderId="30" xfId="0" applyNumberFormat="1" applyFont="1" applyBorder="1" applyAlignment="1">
      <alignment vertical="center"/>
    </xf>
    <xf numFmtId="174" fontId="15" fillId="0" borderId="67" xfId="0" applyNumberFormat="1" applyFont="1" applyBorder="1" applyAlignment="1">
      <alignment vertical="center"/>
    </xf>
    <xf numFmtId="174" fontId="15" fillId="0" borderId="35" xfId="0" applyNumberFormat="1" applyFont="1" applyBorder="1" applyAlignment="1">
      <alignment vertical="center"/>
    </xf>
    <xf numFmtId="0" fontId="13" fillId="0" borderId="62" xfId="0" applyFont="1" applyBorder="1" applyAlignment="1">
      <alignment horizontal="center" vertical="top" wrapText="1"/>
    </xf>
    <xf numFmtId="0" fontId="15" fillId="0" borderId="73" xfId="0" quotePrefix="1" applyFont="1" applyBorder="1" applyAlignment="1">
      <alignment horizontal="center" vertical="center" wrapText="1"/>
    </xf>
    <xf numFmtId="0" fontId="19" fillId="0" borderId="0" xfId="0" applyFont="1" applyAlignment="1">
      <alignment vertical="center" wrapText="1"/>
    </xf>
    <xf numFmtId="165" fontId="18" fillId="0" borderId="0" xfId="1" applyNumberFormat="1" applyFont="1"/>
    <xf numFmtId="0" fontId="20" fillId="0" borderId="0" xfId="0" applyFont="1" applyAlignment="1">
      <alignment horizontal="center" vertical="center" wrapText="1"/>
    </xf>
    <xf numFmtId="0" fontId="13" fillId="0" borderId="73" xfId="0" quotePrefix="1" applyFont="1" applyBorder="1" applyAlignment="1">
      <alignment horizontal="center" vertical="center" wrapText="1"/>
    </xf>
    <xf numFmtId="0" fontId="15" fillId="0" borderId="54" xfId="0" applyFont="1" applyBorder="1" applyAlignment="1">
      <alignment vertical="center" wrapText="1"/>
    </xf>
    <xf numFmtId="174" fontId="15" fillId="0" borderId="57" xfId="0" applyNumberFormat="1" applyFont="1" applyBorder="1" applyAlignment="1">
      <alignment vertical="center"/>
    </xf>
    <xf numFmtId="174" fontId="15" fillId="0" borderId="58" xfId="0" applyNumberFormat="1" applyFont="1" applyBorder="1" applyAlignment="1">
      <alignment vertical="center"/>
    </xf>
    <xf numFmtId="169" fontId="15" fillId="0" borderId="78" xfId="0" applyNumberFormat="1" applyFont="1" applyBorder="1" applyAlignment="1">
      <alignment vertical="center"/>
    </xf>
    <xf numFmtId="169" fontId="15" fillId="0" borderId="79" xfId="0" applyNumberFormat="1" applyFont="1" applyBorder="1" applyAlignment="1">
      <alignment vertical="center"/>
    </xf>
    <xf numFmtId="169" fontId="15" fillId="0" borderId="80" xfId="0" applyNumberFormat="1" applyFont="1" applyBorder="1" applyAlignment="1">
      <alignment vertical="center"/>
    </xf>
    <xf numFmtId="0" fontId="13" fillId="0" borderId="13" xfId="0" applyFont="1" applyBorder="1"/>
    <xf numFmtId="0" fontId="15" fillId="0" borderId="81" xfId="0" applyFont="1" applyBorder="1" applyAlignment="1">
      <alignment horizontal="center" vertical="center" wrapText="1"/>
    </xf>
    <xf numFmtId="0" fontId="17" fillId="0" borderId="15" xfId="0" applyFont="1" applyBorder="1"/>
    <xf numFmtId="173" fontId="13" fillId="0" borderId="33" xfId="0" applyNumberFormat="1" applyFont="1" applyBorder="1"/>
    <xf numFmtId="173" fontId="13" fillId="0" borderId="29" xfId="0" applyNumberFormat="1" applyFont="1" applyBorder="1"/>
    <xf numFmtId="0" fontId="13" fillId="0" borderId="10" xfId="0" applyFont="1" applyBorder="1" applyAlignment="1">
      <alignment horizontal="left" indent="1"/>
    </xf>
    <xf numFmtId="0" fontId="15" fillId="0" borderId="10" xfId="0" applyFont="1" applyBorder="1"/>
    <xf numFmtId="173" fontId="15" fillId="0" borderId="37" xfId="0" applyNumberFormat="1" applyFont="1" applyBorder="1"/>
    <xf numFmtId="173" fontId="15" fillId="0" borderId="36" xfId="0" applyNumberFormat="1" applyFont="1" applyBorder="1"/>
    <xf numFmtId="173" fontId="15" fillId="0" borderId="34" xfId="0" applyNumberFormat="1" applyFont="1" applyBorder="1"/>
    <xf numFmtId="173" fontId="15" fillId="0" borderId="49" xfId="0" applyNumberFormat="1" applyFont="1" applyBorder="1"/>
    <xf numFmtId="173" fontId="15" fillId="0" borderId="46" xfId="0" applyNumberFormat="1" applyFont="1" applyBorder="1"/>
    <xf numFmtId="173" fontId="15" fillId="0" borderId="47" xfId="0" applyNumberFormat="1" applyFont="1" applyBorder="1"/>
    <xf numFmtId="173" fontId="15" fillId="0" borderId="48" xfId="0" applyNumberFormat="1" applyFont="1" applyBorder="1"/>
    <xf numFmtId="173" fontId="15" fillId="0" borderId="45" xfId="0" applyNumberFormat="1" applyFont="1" applyBorder="1"/>
    <xf numFmtId="173" fontId="15" fillId="0" borderId="33" xfId="0" applyNumberFormat="1" applyFont="1" applyBorder="1"/>
    <xf numFmtId="173" fontId="13" fillId="0" borderId="50" xfId="0" applyNumberFormat="1" applyFont="1" applyBorder="1"/>
    <xf numFmtId="0" fontId="17" fillId="0" borderId="10" xfId="0" applyFont="1" applyBorder="1"/>
    <xf numFmtId="0" fontId="16" fillId="0" borderId="10" xfId="0" applyFont="1" applyBorder="1"/>
    <xf numFmtId="170" fontId="13" fillId="0" borderId="0" xfId="0" applyNumberFormat="1" applyFont="1"/>
    <xf numFmtId="0" fontId="15" fillId="0" borderId="2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71" xfId="0" applyFont="1" applyBorder="1" applyAlignment="1">
      <alignment horizontal="center" vertical="center" wrapText="1"/>
    </xf>
    <xf numFmtId="174" fontId="15" fillId="0" borderId="10" xfId="0" applyNumberFormat="1" applyFont="1" applyBorder="1" applyAlignment="1">
      <alignment horizontal="center"/>
    </xf>
    <xf numFmtId="174" fontId="13" fillId="0" borderId="28" xfId="0" applyNumberFormat="1" applyFont="1" applyBorder="1"/>
    <xf numFmtId="174" fontId="13" fillId="0" borderId="77" xfId="0" applyNumberFormat="1" applyFont="1" applyBorder="1"/>
    <xf numFmtId="0" fontId="10" fillId="0" borderId="0" xfId="0" applyFont="1" applyAlignment="1">
      <alignment horizontal="left"/>
    </xf>
    <xf numFmtId="174" fontId="15" fillId="0" borderId="22" xfId="0" applyNumberFormat="1" applyFont="1" applyBorder="1" applyAlignment="1">
      <alignment horizontal="right"/>
    </xf>
    <xf numFmtId="174" fontId="15" fillId="0" borderId="0" xfId="0" applyNumberFormat="1" applyFont="1" applyAlignment="1">
      <alignment horizontal="right"/>
    </xf>
    <xf numFmtId="174" fontId="15" fillId="0" borderId="11" xfId="0" applyNumberFormat="1" applyFont="1" applyBorder="1" applyAlignment="1">
      <alignment horizontal="right"/>
    </xf>
    <xf numFmtId="174" fontId="15" fillId="0" borderId="23" xfId="0" applyNumberFormat="1" applyFont="1" applyBorder="1" applyAlignment="1">
      <alignment horizontal="right"/>
    </xf>
    <xf numFmtId="0" fontId="15" fillId="0" borderId="16" xfId="0" applyFont="1" applyBorder="1"/>
    <xf numFmtId="175" fontId="15" fillId="0" borderId="25" xfId="1" applyNumberFormat="1" applyFont="1" applyBorder="1" applyAlignment="1">
      <alignment horizontal="center"/>
    </xf>
    <xf numFmtId="0" fontId="18" fillId="0" borderId="25" xfId="0" applyFont="1" applyBorder="1" applyAlignment="1">
      <alignment horizontal="center"/>
    </xf>
    <xf numFmtId="0" fontId="18" fillId="0" borderId="27" xfId="0" applyFont="1" applyBorder="1" applyAlignment="1">
      <alignment horizontal="center"/>
    </xf>
    <xf numFmtId="175" fontId="15" fillId="0" borderId="22" xfId="1" applyNumberFormat="1" applyFont="1" applyBorder="1" applyAlignment="1">
      <alignment horizontal="center"/>
    </xf>
    <xf numFmtId="0" fontId="13" fillId="0" borderId="22" xfId="0" applyFont="1" applyBorder="1"/>
    <xf numFmtId="0" fontId="15" fillId="0" borderId="68" xfId="0" applyFont="1" applyBorder="1" applyAlignment="1">
      <alignment horizontal="center" vertical="center" wrapText="1"/>
    </xf>
    <xf numFmtId="0" fontId="15" fillId="0" borderId="27" xfId="1" applyNumberFormat="1" applyFont="1" applyBorder="1" applyAlignment="1">
      <alignment horizontal="center"/>
    </xf>
    <xf numFmtId="174" fontId="15" fillId="0" borderId="52" xfId="0" applyNumberFormat="1" applyFont="1" applyBorder="1" applyAlignment="1">
      <alignment horizontal="center"/>
    </xf>
    <xf numFmtId="0" fontId="15" fillId="0" borderId="0" xfId="1" applyNumberFormat="1" applyFont="1" applyAlignment="1">
      <alignment horizontal="center"/>
    </xf>
    <xf numFmtId="174" fontId="15" fillId="0" borderId="53" xfId="0" applyNumberFormat="1" applyFont="1" applyBorder="1" applyAlignment="1">
      <alignment horizontal="center"/>
    </xf>
    <xf numFmtId="176" fontId="13" fillId="0" borderId="22" xfId="1" applyNumberFormat="1" applyFont="1" applyBorder="1"/>
    <xf numFmtId="0" fontId="19" fillId="0" borderId="27" xfId="0" applyFont="1" applyBorder="1"/>
    <xf numFmtId="0" fontId="15" fillId="0" borderId="29" xfId="0" applyFont="1" applyBorder="1" applyAlignment="1">
      <alignment horizontal="center" vertical="center"/>
    </xf>
    <xf numFmtId="174" fontId="15" fillId="0" borderId="33" xfId="0" applyNumberFormat="1" applyFont="1" applyBorder="1" applyAlignment="1">
      <alignment horizontal="right"/>
    </xf>
    <xf numFmtId="174" fontId="15" fillId="0" borderId="11" xfId="1" applyNumberFormat="1" applyFont="1" applyBorder="1" applyAlignment="1">
      <alignment horizontal="right"/>
    </xf>
    <xf numFmtId="174" fontId="15" fillId="0" borderId="23" xfId="1" applyNumberFormat="1" applyFont="1" applyBorder="1" applyAlignment="1">
      <alignment horizontal="right"/>
    </xf>
    <xf numFmtId="0" fontId="15" fillId="0" borderId="25" xfId="0" applyFont="1" applyBorder="1" applyAlignment="1">
      <alignment horizontal="center" vertical="center"/>
    </xf>
    <xf numFmtId="49" fontId="15" fillId="0" borderId="29" xfId="0" applyNumberFormat="1" applyFont="1" applyBorder="1" applyAlignment="1">
      <alignment horizontal="center" vertical="center" wrapText="1"/>
    </xf>
    <xf numFmtId="0" fontId="15" fillId="0" borderId="17" xfId="0" applyFont="1" applyBorder="1" applyAlignment="1">
      <alignment horizontal="center" vertical="center"/>
    </xf>
    <xf numFmtId="0" fontId="15" fillId="0" borderId="64" xfId="0" applyFont="1" applyBorder="1" applyAlignment="1">
      <alignment horizontal="center" vertical="center" wrapText="1"/>
    </xf>
    <xf numFmtId="0" fontId="15" fillId="0" borderId="50" xfId="0" applyFont="1" applyBorder="1" applyAlignment="1">
      <alignment horizontal="center" vertical="center" wrapText="1"/>
    </xf>
    <xf numFmtId="165" fontId="13" fillId="0" borderId="32" xfId="1" applyNumberFormat="1" applyFont="1" applyBorder="1"/>
    <xf numFmtId="0" fontId="15" fillId="0" borderId="17" xfId="0" applyFont="1" applyBorder="1" applyAlignment="1">
      <alignment vertical="center"/>
    </xf>
    <xf numFmtId="0" fontId="15" fillId="0" borderId="50" xfId="0" applyFont="1" applyBorder="1"/>
    <xf numFmtId="49" fontId="15" fillId="0" borderId="50" xfId="0" applyNumberFormat="1" applyFont="1" applyBorder="1" applyAlignment="1">
      <alignment vertical="center" wrapText="1"/>
    </xf>
    <xf numFmtId="174" fontId="15" fillId="0" borderId="62" xfId="0" applyNumberFormat="1" applyFont="1" applyBorder="1" applyAlignment="1">
      <alignment horizontal="center"/>
    </xf>
    <xf numFmtId="0" fontId="13" fillId="0" borderId="62" xfId="0" quotePrefix="1" applyFont="1" applyBorder="1" applyAlignment="1">
      <alignment horizontal="center"/>
    </xf>
    <xf numFmtId="49" fontId="15" fillId="0" borderId="29" xfId="0" applyNumberFormat="1" applyFont="1" applyBorder="1" applyAlignment="1">
      <alignment vertical="center" wrapText="1"/>
    </xf>
    <xf numFmtId="0" fontId="15" fillId="0" borderId="61" xfId="0" applyFont="1" applyBorder="1" applyAlignment="1">
      <alignment vertical="center"/>
    </xf>
    <xf numFmtId="0" fontId="15" fillId="0" borderId="63" xfId="0" applyFont="1" applyBorder="1" applyAlignment="1">
      <alignment vertical="center"/>
    </xf>
    <xf numFmtId="0" fontId="15" fillId="0" borderId="82" xfId="0" applyFont="1" applyBorder="1" applyAlignment="1">
      <alignment horizontal="center" vertical="center" wrapText="1"/>
    </xf>
    <xf numFmtId="0" fontId="15" fillId="0" borderId="24" xfId="0" quotePrefix="1" applyFont="1" applyBorder="1" applyAlignment="1">
      <alignment horizontal="center" vertical="center" wrapText="1"/>
    </xf>
    <xf numFmtId="49" fontId="15" fillId="0" borderId="15" xfId="0" applyNumberFormat="1" applyFont="1" applyBorder="1" applyAlignment="1">
      <alignment vertical="center" wrapText="1"/>
    </xf>
    <xf numFmtId="0" fontId="15" fillId="0" borderId="15" xfId="0" applyFont="1" applyBorder="1" applyAlignment="1">
      <alignment horizontal="center" vertical="center"/>
    </xf>
    <xf numFmtId="0" fontId="15" fillId="0" borderId="13" xfId="0" applyFont="1" applyBorder="1" applyAlignment="1">
      <alignment horizontal="center" vertical="center" wrapText="1"/>
    </xf>
    <xf numFmtId="0" fontId="15" fillId="0" borderId="38" xfId="0" applyFont="1" applyBorder="1" applyAlignment="1">
      <alignment horizontal="center" vertical="top" wrapText="1"/>
    </xf>
    <xf numFmtId="0" fontId="15" fillId="0" borderId="39" xfId="0" applyFont="1" applyBorder="1" applyAlignment="1">
      <alignment horizontal="center" vertical="top" wrapText="1"/>
    </xf>
    <xf numFmtId="0" fontId="15" fillId="0" borderId="41" xfId="0" applyFont="1" applyBorder="1" applyAlignment="1">
      <alignment horizontal="center" vertical="top" wrapText="1"/>
    </xf>
    <xf numFmtId="0" fontId="14" fillId="25" borderId="16" xfId="0" applyFont="1" applyFill="1" applyBorder="1"/>
    <xf numFmtId="0" fontId="14" fillId="25" borderId="27" xfId="0" applyFont="1" applyFill="1" applyBorder="1" applyAlignment="1">
      <alignment horizontal="left"/>
    </xf>
    <xf numFmtId="0" fontId="22" fillId="0" borderId="0" xfId="0" applyFont="1"/>
    <xf numFmtId="174" fontId="13" fillId="0" borderId="17" xfId="1" applyNumberFormat="1" applyFont="1" applyBorder="1"/>
    <xf numFmtId="0" fontId="14" fillId="25" borderId="15" xfId="0" applyFont="1" applyFill="1" applyBorder="1" applyAlignment="1">
      <alignment horizontal="left"/>
    </xf>
    <xf numFmtId="0" fontId="14" fillId="25" borderId="16" xfId="0" applyFont="1" applyFill="1" applyBorder="1" applyAlignment="1">
      <alignment horizontal="left"/>
    </xf>
    <xf numFmtId="16" fontId="3" fillId="0" borderId="10" xfId="0" quotePrefix="1" applyNumberFormat="1" applyFont="1" applyBorder="1" applyAlignment="1">
      <alignment horizontal="center"/>
    </xf>
    <xf numFmtId="0" fontId="3" fillId="0" borderId="10" xfId="0" quotePrefix="1" applyFont="1" applyBorder="1" applyAlignment="1">
      <alignment horizontal="center"/>
    </xf>
    <xf numFmtId="0" fontId="14" fillId="26" borderId="69" xfId="0" applyFont="1" applyFill="1" applyBorder="1" applyAlignment="1">
      <alignment horizontal="left"/>
    </xf>
    <xf numFmtId="0" fontId="6" fillId="26" borderId="83" xfId="0" applyFont="1" applyFill="1" applyBorder="1"/>
    <xf numFmtId="0" fontId="13" fillId="0" borderId="0" xfId="0" applyFont="1" applyAlignment="1" applyProtection="1">
      <alignment horizontal="center"/>
      <protection locked="0"/>
    </xf>
    <xf numFmtId="0" fontId="18" fillId="0" borderId="0" xfId="0" applyFont="1" applyProtection="1">
      <protection locked="0"/>
    </xf>
    <xf numFmtId="169" fontId="15" fillId="0" borderId="0" xfId="0" applyNumberFormat="1" applyFont="1" applyProtection="1">
      <protection locked="0"/>
    </xf>
    <xf numFmtId="0" fontId="15" fillId="0" borderId="0" xfId="0" applyFont="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horizontal="right"/>
      <protection locked="0"/>
    </xf>
    <xf numFmtId="165" fontId="13" fillId="0" borderId="0" xfId="1" applyNumberFormat="1" applyFont="1" applyProtection="1">
      <protection locked="0"/>
    </xf>
    <xf numFmtId="0" fontId="13" fillId="0" borderId="22" xfId="0" applyFont="1" applyBorder="1" applyAlignment="1" applyProtection="1">
      <alignment horizontal="center"/>
      <protection locked="0"/>
    </xf>
    <xf numFmtId="0" fontId="13" fillId="0" borderId="39" xfId="0" applyFont="1" applyBorder="1" applyAlignment="1" applyProtection="1">
      <alignment horizontal="center"/>
      <protection locked="0"/>
    </xf>
    <xf numFmtId="174" fontId="13" fillId="27" borderId="22" xfId="0" applyNumberFormat="1" applyFont="1" applyFill="1" applyBorder="1" applyAlignment="1" applyProtection="1">
      <alignment horizontal="right"/>
      <protection locked="0"/>
    </xf>
    <xf numFmtId="174" fontId="13" fillId="27" borderId="23" xfId="0" applyNumberFormat="1" applyFont="1" applyFill="1" applyBorder="1" applyAlignment="1" applyProtection="1">
      <alignment horizontal="right"/>
      <protection locked="0"/>
    </xf>
    <xf numFmtId="174" fontId="13" fillId="27" borderId="11" xfId="0" applyNumberFormat="1" applyFont="1" applyFill="1" applyBorder="1" applyAlignment="1" applyProtection="1">
      <alignment horizontal="right"/>
      <protection locked="0"/>
    </xf>
    <xf numFmtId="174" fontId="13" fillId="27" borderId="0" xfId="0" applyNumberFormat="1" applyFont="1" applyFill="1" applyAlignment="1" applyProtection="1">
      <alignment horizontal="right"/>
      <protection locked="0"/>
    </xf>
    <xf numFmtId="174" fontId="13" fillId="27" borderId="22" xfId="0" applyNumberFormat="1" applyFont="1" applyFill="1" applyBorder="1" applyProtection="1">
      <protection locked="0"/>
    </xf>
    <xf numFmtId="174" fontId="13" fillId="27" borderId="23" xfId="0" applyNumberFormat="1" applyFont="1" applyFill="1" applyBorder="1" applyProtection="1">
      <protection locked="0"/>
    </xf>
    <xf numFmtId="174" fontId="13" fillId="27" borderId="11" xfId="0" applyNumberFormat="1" applyFont="1" applyFill="1" applyBorder="1" applyProtection="1">
      <protection locked="0"/>
    </xf>
    <xf numFmtId="174" fontId="13" fillId="27" borderId="0" xfId="0" applyNumberFormat="1" applyFont="1" applyFill="1" applyProtection="1">
      <protection locked="0"/>
    </xf>
    <xf numFmtId="174" fontId="13" fillId="27" borderId="33" xfId="0" applyNumberFormat="1" applyFont="1" applyFill="1" applyBorder="1" applyProtection="1">
      <protection locked="0"/>
    </xf>
    <xf numFmtId="0" fontId="15" fillId="0" borderId="22" xfId="0" applyFont="1" applyBorder="1" applyAlignment="1" applyProtection="1">
      <alignment horizontal="center"/>
      <protection locked="0"/>
    </xf>
    <xf numFmtId="169" fontId="16" fillId="0" borderId="0" xfId="0" applyNumberFormat="1" applyFont="1" applyProtection="1">
      <protection locked="0"/>
    </xf>
    <xf numFmtId="0" fontId="20" fillId="0" borderId="0" xfId="0" applyFont="1" applyProtection="1">
      <protection locked="0"/>
    </xf>
    <xf numFmtId="10" fontId="13" fillId="0" borderId="0" xfId="0" applyNumberFormat="1" applyFont="1" applyProtection="1">
      <protection locked="0"/>
    </xf>
    <xf numFmtId="0" fontId="18" fillId="0" borderId="0" xfId="4" applyFont="1" applyAlignment="1">
      <alignment horizontal="center"/>
      <protection locked="0"/>
    </xf>
    <xf numFmtId="169" fontId="13" fillId="0" borderId="0" xfId="0" applyNumberFormat="1" applyFont="1" applyProtection="1">
      <protection locked="0"/>
    </xf>
    <xf numFmtId="164" fontId="13" fillId="0" borderId="0" xfId="1" applyFont="1" applyProtection="1">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18" fillId="0" borderId="0" xfId="0" applyFont="1" applyAlignment="1" applyProtection="1">
      <alignment horizontal="left" vertical="top"/>
      <protection locked="0"/>
    </xf>
    <xf numFmtId="175" fontId="15" fillId="0" borderId="22" xfId="1" applyNumberFormat="1" applyFont="1" applyBorder="1" applyAlignment="1" applyProtection="1">
      <alignment horizontal="center"/>
      <protection locked="0"/>
    </xf>
    <xf numFmtId="174" fontId="15" fillId="0" borderId="22" xfId="0" applyNumberFormat="1" applyFont="1" applyBorder="1" applyAlignment="1" applyProtection="1">
      <alignment horizontal="center"/>
      <protection locked="0"/>
    </xf>
    <xf numFmtId="174" fontId="15" fillId="0" borderId="0" xfId="0" applyNumberFormat="1" applyFont="1" applyAlignment="1" applyProtection="1">
      <alignment horizontal="center"/>
      <protection locked="0"/>
    </xf>
    <xf numFmtId="174" fontId="15" fillId="0" borderId="11" xfId="0" applyNumberFormat="1" applyFont="1" applyBorder="1" applyAlignment="1" applyProtection="1">
      <alignment horizontal="center"/>
      <protection locked="0"/>
    </xf>
    <xf numFmtId="174" fontId="15" fillId="0" borderId="23" xfId="0" applyNumberFormat="1" applyFont="1" applyBorder="1" applyAlignment="1" applyProtection="1">
      <alignment horizontal="center"/>
      <protection locked="0"/>
    </xf>
    <xf numFmtId="0" fontId="15" fillId="0" borderId="54" xfId="0" applyFont="1" applyBorder="1"/>
    <xf numFmtId="0" fontId="13" fillId="0" borderId="57" xfId="0" applyFont="1" applyBorder="1" applyAlignment="1">
      <alignment horizontal="center"/>
    </xf>
    <xf numFmtId="174" fontId="15" fillId="0" borderId="57" xfId="0" applyNumberFormat="1" applyFont="1" applyBorder="1"/>
    <xf numFmtId="174" fontId="15" fillId="0" borderId="58" xfId="0" applyNumberFormat="1" applyFont="1" applyBorder="1"/>
    <xf numFmtId="174" fontId="15" fillId="0" borderId="54" xfId="0" applyNumberFormat="1" applyFont="1" applyBorder="1"/>
    <xf numFmtId="174" fontId="15" fillId="0" borderId="59" xfId="0" applyNumberFormat="1" applyFont="1" applyBorder="1"/>
    <xf numFmtId="174" fontId="15" fillId="0" borderId="56" xfId="0" applyNumberFormat="1" applyFont="1" applyBorder="1"/>
    <xf numFmtId="165" fontId="13" fillId="0" borderId="84" xfId="1" applyNumberFormat="1" applyFont="1" applyBorder="1" applyAlignment="1">
      <alignment horizontal="left" vertical="top" wrapText="1"/>
    </xf>
    <xf numFmtId="2" fontId="13" fillId="0" borderId="54" xfId="1" applyNumberFormat="1" applyFont="1" applyBorder="1" applyAlignment="1">
      <alignment horizontal="center" vertical="top" wrapText="1"/>
    </xf>
    <xf numFmtId="2" fontId="13" fillId="0" borderId="57" xfId="1" applyNumberFormat="1" applyFont="1" applyBorder="1" applyAlignment="1">
      <alignment horizontal="center" vertical="top" wrapText="1"/>
    </xf>
    <xf numFmtId="2" fontId="13" fillId="0" borderId="55" xfId="1" applyNumberFormat="1" applyFont="1" applyBorder="1" applyAlignment="1">
      <alignment horizontal="center" vertical="top" wrapText="1"/>
    </xf>
    <xf numFmtId="2" fontId="13" fillId="0" borderId="85" xfId="1" applyNumberFormat="1" applyFont="1" applyBorder="1" applyAlignment="1">
      <alignment horizontal="center" vertical="top" wrapText="1"/>
    </xf>
    <xf numFmtId="2" fontId="13" fillId="0" borderId="59" xfId="1" applyNumberFormat="1" applyFont="1" applyBorder="1" applyAlignment="1">
      <alignment horizontal="center" vertical="top" wrapText="1"/>
    </xf>
    <xf numFmtId="2" fontId="13" fillId="0" borderId="58" xfId="1" applyNumberFormat="1" applyFont="1" applyBorder="1" applyAlignment="1">
      <alignment horizontal="center" vertical="top" wrapText="1"/>
    </xf>
    <xf numFmtId="0" fontId="21" fillId="0" borderId="11" xfId="0" applyFont="1" applyBorder="1" applyAlignment="1">
      <alignment horizontal="left"/>
    </xf>
    <xf numFmtId="0" fontId="13" fillId="0" borderId="54" xfId="0" applyFont="1" applyBorder="1"/>
    <xf numFmtId="174" fontId="13" fillId="0" borderId="57" xfId="0" applyNumberFormat="1" applyFont="1" applyBorder="1"/>
    <xf numFmtId="174" fontId="13" fillId="0" borderId="58" xfId="0" applyNumberFormat="1" applyFont="1" applyBorder="1"/>
    <xf numFmtId="174" fontId="13" fillId="0" borderId="54" xfId="0" applyNumberFormat="1" applyFont="1" applyBorder="1"/>
    <xf numFmtId="174" fontId="13" fillId="0" borderId="59" xfId="0" applyNumberFormat="1" applyFont="1" applyBorder="1"/>
    <xf numFmtId="174" fontId="13" fillId="0" borderId="56" xfId="0" applyNumberFormat="1" applyFont="1" applyBorder="1"/>
    <xf numFmtId="174" fontId="13" fillId="0" borderId="67" xfId="0" applyNumberFormat="1" applyFont="1" applyBorder="1"/>
    <xf numFmtId="0" fontId="15" fillId="0" borderId="13" xfId="0" applyFont="1" applyBorder="1" applyAlignment="1">
      <alignment horizontal="left" vertical="center"/>
    </xf>
    <xf numFmtId="0" fontId="15" fillId="0" borderId="10" xfId="0" applyFont="1" applyBorder="1" applyAlignment="1">
      <alignment wrapText="1"/>
    </xf>
    <xf numFmtId="0" fontId="13" fillId="0" borderId="10" xfId="0" applyFont="1" applyBorder="1" applyAlignment="1">
      <alignment horizontal="left" wrapText="1" indent="1"/>
    </xf>
    <xf numFmtId="0" fontId="6" fillId="28" borderId="0" xfId="0" applyFont="1" applyFill="1"/>
    <xf numFmtId="0" fontId="13" fillId="0" borderId="0" xfId="0" applyFont="1" applyAlignment="1">
      <alignment horizontal="left"/>
    </xf>
    <xf numFmtId="164" fontId="13" fillId="0" borderId="0" xfId="1" applyFont="1" applyAlignment="1">
      <alignment horizontal="left"/>
    </xf>
    <xf numFmtId="164" fontId="13" fillId="0" borderId="0" xfId="0" applyNumberFormat="1" applyFont="1" applyAlignment="1">
      <alignment horizontal="left"/>
    </xf>
    <xf numFmtId="175" fontId="18" fillId="0" borderId="22" xfId="1" applyNumberFormat="1" applyFont="1" applyBorder="1"/>
    <xf numFmtId="175" fontId="18" fillId="0" borderId="23" xfId="1" applyNumberFormat="1" applyFont="1" applyBorder="1"/>
    <xf numFmtId="175" fontId="18" fillId="0" borderId="11" xfId="1" applyNumberFormat="1" applyFont="1" applyBorder="1"/>
    <xf numFmtId="175" fontId="18" fillId="0" borderId="62" xfId="1" applyNumberFormat="1" applyFont="1" applyBorder="1"/>
    <xf numFmtId="175" fontId="18" fillId="0" borderId="0" xfId="1" applyNumberFormat="1" applyFont="1"/>
    <xf numFmtId="169" fontId="15" fillId="0" borderId="33" xfId="0" applyNumberFormat="1" applyFont="1" applyBorder="1"/>
    <xf numFmtId="0" fontId="17" fillId="0" borderId="11" xfId="0" applyFont="1" applyBorder="1" applyAlignment="1">
      <alignment horizontal="left"/>
    </xf>
    <xf numFmtId="179" fontId="15" fillId="0" borderId="86" xfId="7" applyNumberFormat="1" applyFont="1" applyBorder="1" applyAlignment="1">
      <alignment horizontal="center"/>
    </xf>
    <xf numFmtId="0" fontId="19" fillId="0" borderId="0" xfId="0" applyFont="1" applyAlignment="1">
      <alignment horizontal="left"/>
    </xf>
    <xf numFmtId="0" fontId="16" fillId="0" borderId="0" xfId="0" applyFont="1"/>
    <xf numFmtId="169" fontId="16" fillId="0" borderId="0" xfId="0" applyNumberFormat="1" applyFont="1"/>
    <xf numFmtId="174" fontId="13" fillId="0" borderId="33" xfId="0" applyNumberFormat="1" applyFont="1" applyBorder="1" applyAlignment="1">
      <alignment horizontal="right"/>
    </xf>
    <xf numFmtId="174" fontId="15" fillId="0" borderId="35" xfId="0" applyNumberFormat="1" applyFont="1" applyBorder="1" applyAlignment="1">
      <alignment horizontal="right"/>
    </xf>
    <xf numFmtId="174" fontId="15" fillId="0" borderId="36" xfId="0" applyNumberFormat="1" applyFont="1" applyBorder="1" applyAlignment="1">
      <alignment horizontal="right"/>
    </xf>
    <xf numFmtId="174" fontId="15" fillId="0" borderId="34" xfId="0" applyNumberFormat="1" applyFont="1" applyBorder="1" applyAlignment="1">
      <alignment horizontal="right"/>
    </xf>
    <xf numFmtId="174" fontId="15" fillId="0" borderId="37" xfId="0" applyNumberFormat="1" applyFont="1" applyBorder="1" applyAlignment="1">
      <alignment horizontal="right"/>
    </xf>
    <xf numFmtId="174" fontId="13" fillId="0" borderId="50" xfId="0" applyNumberFormat="1" applyFont="1" applyBorder="1"/>
    <xf numFmtId="174" fontId="13" fillId="0" borderId="26" xfId="0" applyNumberFormat="1" applyFont="1" applyBorder="1"/>
    <xf numFmtId="174" fontId="13" fillId="0" borderId="16" xfId="0" applyNumberFormat="1" applyFont="1" applyBorder="1"/>
    <xf numFmtId="174" fontId="13" fillId="0" borderId="27" xfId="0" applyNumberFormat="1" applyFont="1" applyBorder="1"/>
    <xf numFmtId="0" fontId="18" fillId="0" borderId="0" xfId="0" quotePrefix="1" applyFont="1" applyAlignment="1">
      <alignment horizontal="left" wrapText="1"/>
    </xf>
    <xf numFmtId="0" fontId="16" fillId="0" borderId="11" xfId="0" applyFont="1" applyBorder="1" applyAlignment="1">
      <alignment horizontal="left" indent="1"/>
    </xf>
    <xf numFmtId="174" fontId="13" fillId="0" borderId="62" xfId="0" applyNumberFormat="1" applyFont="1" applyBorder="1" applyAlignment="1">
      <alignment horizontal="right"/>
    </xf>
    <xf numFmtId="0" fontId="13" fillId="0" borderId="60" xfId="0" applyFont="1" applyBorder="1" applyAlignment="1">
      <alignment horizontal="center"/>
    </xf>
    <xf numFmtId="174" fontId="15" fillId="0" borderId="60" xfId="0" applyNumberFormat="1" applyFont="1" applyBorder="1" applyAlignment="1">
      <alignment horizontal="right"/>
    </xf>
    <xf numFmtId="174" fontId="15" fillId="0" borderId="83" xfId="0" applyNumberFormat="1" applyFont="1" applyBorder="1"/>
    <xf numFmtId="174" fontId="15" fillId="0" borderId="69" xfId="0" applyNumberFormat="1" applyFont="1" applyBorder="1"/>
    <xf numFmtId="174" fontId="15" fillId="0" borderId="60" xfId="0" applyNumberFormat="1" applyFont="1" applyBorder="1"/>
    <xf numFmtId="174" fontId="15" fillId="0" borderId="31" xfId="0" applyNumberFormat="1" applyFont="1" applyBorder="1"/>
    <xf numFmtId="174" fontId="15" fillId="0" borderId="39" xfId="0" applyNumberFormat="1" applyFont="1" applyBorder="1" applyAlignment="1">
      <alignment vertical="top"/>
    </xf>
    <xf numFmtId="174" fontId="15" fillId="0" borderId="77" xfId="0" applyNumberFormat="1" applyFont="1" applyBorder="1" applyAlignment="1">
      <alignment vertical="top"/>
    </xf>
    <xf numFmtId="0" fontId="15" fillId="0" borderId="0" xfId="0" applyFont="1" applyAlignment="1">
      <alignment vertical="center" wrapText="1"/>
    </xf>
    <xf numFmtId="0" fontId="13" fillId="0" borderId="0" xfId="0" quotePrefix="1" applyFont="1" applyAlignment="1">
      <alignment horizontal="center" vertical="center" wrapText="1"/>
    </xf>
    <xf numFmtId="0" fontId="15" fillId="0" borderId="11" xfId="0" applyFont="1" applyBorder="1" applyAlignment="1">
      <alignment vertical="center" wrapText="1"/>
    </xf>
    <xf numFmtId="0" fontId="13" fillId="0" borderId="62" xfId="0" quotePrefix="1" applyFont="1" applyBorder="1" applyAlignment="1">
      <alignment horizontal="center" vertical="center" wrapText="1"/>
    </xf>
    <xf numFmtId="0" fontId="13" fillId="0" borderId="67" xfId="0" quotePrefix="1" applyFont="1" applyBorder="1" applyAlignment="1">
      <alignment horizontal="center" vertical="center" wrapText="1"/>
    </xf>
    <xf numFmtId="0" fontId="15" fillId="0" borderId="33" xfId="0" applyFont="1" applyBorder="1"/>
    <xf numFmtId="0" fontId="18" fillId="0" borderId="11" xfId="0" applyFont="1" applyBorder="1" applyAlignment="1">
      <alignment horizontal="left" indent="2"/>
    </xf>
    <xf numFmtId="174" fontId="13" fillId="0" borderId="22" xfId="0" applyNumberFormat="1" applyFont="1" applyBorder="1" applyProtection="1">
      <protection locked="0"/>
    </xf>
    <xf numFmtId="174" fontId="13" fillId="0" borderId="33" xfId="0" applyNumberFormat="1" applyFont="1" applyBorder="1" applyProtection="1">
      <protection locked="0"/>
    </xf>
    <xf numFmtId="0" fontId="17" fillId="0" borderId="11" xfId="0" applyFont="1" applyBorder="1" applyAlignment="1">
      <alignment horizontal="left" indent="1"/>
    </xf>
    <xf numFmtId="175" fontId="15" fillId="0" borderId="87" xfId="1" applyNumberFormat="1" applyFont="1" applyBorder="1"/>
    <xf numFmtId="175" fontId="15" fillId="0" borderId="42" xfId="1" applyNumberFormat="1" applyFont="1" applyBorder="1"/>
    <xf numFmtId="175" fontId="15" fillId="0" borderId="88" xfId="1" applyNumberFormat="1" applyFont="1" applyBorder="1"/>
    <xf numFmtId="179" fontId="13" fillId="0" borderId="25" xfId="7" applyNumberFormat="1" applyFont="1" applyBorder="1" applyAlignment="1">
      <alignment horizontal="center"/>
    </xf>
    <xf numFmtId="179" fontId="13" fillId="0" borderId="61" xfId="7" applyNumberFormat="1" applyFont="1" applyBorder="1" applyAlignment="1">
      <alignment horizontal="center"/>
    </xf>
    <xf numFmtId="179" fontId="13" fillId="0" borderId="11" xfId="7" applyNumberFormat="1" applyFont="1" applyBorder="1" applyAlignment="1">
      <alignment horizontal="center"/>
    </xf>
    <xf numFmtId="179" fontId="13" fillId="0" borderId="22" xfId="7" applyNumberFormat="1" applyFont="1" applyBorder="1" applyAlignment="1">
      <alignment horizontal="center"/>
    </xf>
    <xf numFmtId="179" fontId="13" fillId="0" borderId="62" xfId="7" applyNumberFormat="1" applyFont="1" applyBorder="1" applyAlignment="1">
      <alignment horizontal="center"/>
    </xf>
    <xf numFmtId="179" fontId="13" fillId="0" borderId="0" xfId="7" applyNumberFormat="1" applyFont="1" applyAlignment="1">
      <alignment horizontal="center"/>
    </xf>
    <xf numFmtId="179" fontId="13" fillId="0" borderId="23" xfId="7" applyNumberFormat="1" applyFont="1" applyBorder="1" applyAlignment="1">
      <alignment horizontal="center"/>
    </xf>
    <xf numFmtId="0" fontId="13" fillId="0" borderId="12" xfId="0" applyFont="1" applyBorder="1" applyAlignment="1">
      <alignment horizontal="left" indent="1"/>
    </xf>
    <xf numFmtId="174" fontId="13" fillId="0" borderId="68" xfId="0" applyNumberFormat="1" applyFont="1" applyBorder="1"/>
    <xf numFmtId="174" fontId="13" fillId="0" borderId="49" xfId="0" applyNumberFormat="1" applyFont="1" applyBorder="1"/>
    <xf numFmtId="174" fontId="13" fillId="0" borderId="46" xfId="0" applyNumberFormat="1" applyFont="1" applyBorder="1"/>
    <xf numFmtId="174" fontId="13" fillId="0" borderId="89" xfId="0" applyNumberFormat="1" applyFont="1" applyBorder="1"/>
    <xf numFmtId="174" fontId="13" fillId="0" borderId="75" xfId="0" applyNumberFormat="1" applyFont="1" applyBorder="1"/>
    <xf numFmtId="174" fontId="13" fillId="0" borderId="45" xfId="0" applyNumberFormat="1" applyFont="1" applyBorder="1"/>
    <xf numFmtId="174" fontId="13" fillId="0" borderId="55" xfId="0" applyNumberFormat="1" applyFont="1" applyBorder="1"/>
    <xf numFmtId="174" fontId="13" fillId="0" borderId="84" xfId="0" applyNumberFormat="1" applyFont="1" applyBorder="1"/>
    <xf numFmtId="0" fontId="13" fillId="0" borderId="33" xfId="0" applyFont="1" applyBorder="1" applyAlignment="1">
      <alignment horizontal="left" indent="2"/>
    </xf>
    <xf numFmtId="174" fontId="13" fillId="0" borderId="23" xfId="0" applyNumberFormat="1" applyFont="1" applyBorder="1" applyProtection="1">
      <protection locked="0"/>
    </xf>
    <xf numFmtId="174" fontId="13" fillId="0" borderId="11" xfId="0" applyNumberFormat="1" applyFont="1" applyBorder="1" applyProtection="1">
      <protection locked="0"/>
    </xf>
    <xf numFmtId="174" fontId="13" fillId="0" borderId="0" xfId="0" applyNumberFormat="1" applyFont="1" applyProtection="1">
      <protection locked="0"/>
    </xf>
    <xf numFmtId="174" fontId="13" fillId="0" borderId="49" xfId="0" applyNumberFormat="1" applyFont="1" applyBorder="1" applyAlignment="1">
      <alignment vertical="top"/>
    </xf>
    <xf numFmtId="174" fontId="13" fillId="0" borderId="46" xfId="0" applyNumberFormat="1" applyFont="1" applyBorder="1" applyAlignment="1">
      <alignment vertical="top"/>
    </xf>
    <xf numFmtId="174" fontId="13" fillId="0" borderId="89" xfId="0" applyNumberFormat="1" applyFont="1" applyBorder="1" applyAlignment="1">
      <alignment vertical="top"/>
    </xf>
    <xf numFmtId="174" fontId="13" fillId="0" borderId="75" xfId="0" applyNumberFormat="1" applyFont="1" applyBorder="1" applyAlignment="1">
      <alignment vertical="top"/>
    </xf>
    <xf numFmtId="174" fontId="13" fillId="0" borderId="45" xfId="0" applyNumberFormat="1" applyFont="1" applyBorder="1" applyAlignment="1">
      <alignment vertical="top"/>
    </xf>
    <xf numFmtId="0" fontId="13" fillId="0" borderId="10" xfId="0" applyFont="1" applyBorder="1" applyAlignment="1">
      <alignment horizontal="left" indent="2"/>
    </xf>
    <xf numFmtId="0" fontId="13" fillId="0" borderId="88" xfId="0" applyFont="1" applyBorder="1" applyAlignment="1">
      <alignment horizontal="center" vertical="center"/>
    </xf>
    <xf numFmtId="174" fontId="15" fillId="0" borderId="30" xfId="0" applyNumberFormat="1" applyFont="1" applyBorder="1" applyAlignment="1">
      <alignment horizontal="center"/>
    </xf>
    <xf numFmtId="169" fontId="13" fillId="0" borderId="27" xfId="0" applyNumberFormat="1" applyFont="1" applyBorder="1"/>
    <xf numFmtId="0" fontId="13" fillId="0" borderId="37" xfId="0" applyFont="1" applyBorder="1" applyAlignment="1">
      <alignment horizontal="center"/>
    </xf>
    <xf numFmtId="180" fontId="13" fillId="0" borderId="67" xfId="0" applyNumberFormat="1" applyFont="1" applyBorder="1" applyAlignment="1">
      <alignment horizontal="center"/>
    </xf>
    <xf numFmtId="0" fontId="15" fillId="0" borderId="50" xfId="0" applyFont="1" applyBorder="1" applyAlignment="1">
      <alignment vertical="center" wrapText="1"/>
    </xf>
    <xf numFmtId="174" fontId="13" fillId="0" borderId="37" xfId="0" applyNumberFormat="1" applyFont="1" applyBorder="1" applyAlignment="1">
      <alignment vertical="top"/>
    </xf>
    <xf numFmtId="174" fontId="13" fillId="0" borderId="30" xfId="0" applyNumberFormat="1" applyFont="1" applyBorder="1" applyAlignment="1">
      <alignment vertical="top"/>
    </xf>
    <xf numFmtId="174" fontId="13" fillId="0" borderId="68" xfId="0" applyNumberFormat="1" applyFont="1" applyBorder="1" applyAlignment="1">
      <alignment vertical="top"/>
    </xf>
    <xf numFmtId="174" fontId="13" fillId="0" borderId="67" xfId="0" applyNumberFormat="1" applyFont="1" applyBorder="1" applyAlignment="1">
      <alignment vertical="top"/>
    </xf>
    <xf numFmtId="174" fontId="13" fillId="0" borderId="34" xfId="0" applyNumberFormat="1" applyFont="1" applyBorder="1" applyAlignment="1">
      <alignment vertical="top"/>
    </xf>
    <xf numFmtId="0" fontId="15" fillId="0" borderId="48" xfId="0" applyFont="1" applyBorder="1" applyAlignment="1">
      <alignment horizontal="left"/>
    </xf>
    <xf numFmtId="174" fontId="15" fillId="0" borderId="46" xfId="0" applyNumberFormat="1" applyFont="1" applyBorder="1" applyAlignment="1">
      <alignment horizontal="right"/>
    </xf>
    <xf numFmtId="174" fontId="15" fillId="0" borderId="47" xfId="0" applyNumberFormat="1" applyFont="1" applyBorder="1" applyAlignment="1">
      <alignment horizontal="right"/>
    </xf>
    <xf numFmtId="174" fontId="15" fillId="0" borderId="48" xfId="0" applyNumberFormat="1" applyFont="1" applyBorder="1" applyAlignment="1">
      <alignment horizontal="right"/>
    </xf>
    <xf numFmtId="174" fontId="15" fillId="0" borderId="45" xfId="0" applyNumberFormat="1" applyFont="1" applyBorder="1" applyAlignment="1">
      <alignment horizontal="right"/>
    </xf>
    <xf numFmtId="174" fontId="15" fillId="0" borderId="49" xfId="0" applyNumberFormat="1" applyFont="1" applyBorder="1" applyAlignment="1">
      <alignment horizontal="right"/>
    </xf>
    <xf numFmtId="0" fontId="15" fillId="0" borderId="48" xfId="0" applyFont="1" applyBorder="1" applyAlignment="1">
      <alignment horizontal="left" vertical="top" wrapText="1"/>
    </xf>
    <xf numFmtId="0" fontId="13" fillId="0" borderId="46" xfId="0" applyFont="1" applyBorder="1" applyAlignment="1">
      <alignment horizontal="center" vertical="top"/>
    </xf>
    <xf numFmtId="174" fontId="15" fillId="0" borderId="46" xfId="0" applyNumberFormat="1" applyFont="1" applyBorder="1" applyAlignment="1">
      <alignment vertical="top"/>
    </xf>
    <xf numFmtId="174" fontId="15" fillId="0" borderId="47" xfId="0" applyNumberFormat="1" applyFont="1" applyBorder="1" applyAlignment="1">
      <alignment vertical="top"/>
    </xf>
    <xf numFmtId="174" fontId="15" fillId="0" borderId="48" xfId="0" applyNumberFormat="1" applyFont="1" applyBorder="1" applyAlignment="1">
      <alignment vertical="top"/>
    </xf>
    <xf numFmtId="174" fontId="15" fillId="0" borderId="49" xfId="0" applyNumberFormat="1" applyFont="1" applyBorder="1" applyAlignment="1">
      <alignment vertical="top"/>
    </xf>
    <xf numFmtId="0" fontId="15" fillId="0" borderId="48" xfId="0" applyFont="1" applyBorder="1" applyAlignment="1">
      <alignment vertical="top"/>
    </xf>
    <xf numFmtId="174" fontId="15" fillId="0" borderId="90" xfId="0" applyNumberFormat="1" applyFont="1" applyBorder="1"/>
    <xf numFmtId="0" fontId="13" fillId="0" borderId="75" xfId="0" applyFont="1" applyBorder="1" applyAlignment="1">
      <alignment horizontal="center"/>
    </xf>
    <xf numFmtId="0" fontId="24" fillId="0" borderId="0" xfId="6"/>
    <xf numFmtId="0" fontId="3" fillId="0" borderId="0" xfId="0" applyFont="1" applyProtection="1">
      <protection locked="0"/>
    </xf>
    <xf numFmtId="0" fontId="3" fillId="0" borderId="0" xfId="0" applyFont="1" applyAlignment="1" applyProtection="1">
      <alignment horizontal="center"/>
      <protection locked="0"/>
    </xf>
    <xf numFmtId="0" fontId="3" fillId="0" borderId="10" xfId="0" applyFont="1" applyBorder="1" applyAlignment="1" applyProtection="1">
      <alignment horizontal="center"/>
      <protection locked="0"/>
    </xf>
    <xf numFmtId="0" fontId="3" fillId="0" borderId="23" xfId="0" applyFont="1" applyBorder="1" applyProtection="1">
      <protection locked="0"/>
    </xf>
    <xf numFmtId="0" fontId="3" fillId="0" borderId="23" xfId="0" applyFont="1" applyBorder="1" applyAlignment="1" applyProtection="1">
      <alignment horizontal="center"/>
      <protection locked="0"/>
    </xf>
    <xf numFmtId="0" fontId="3" fillId="0" borderId="11" xfId="0" applyFont="1" applyBorder="1" applyProtection="1">
      <protection locked="0"/>
    </xf>
    <xf numFmtId="0" fontId="3" fillId="0" borderId="0" xfId="0" quotePrefix="1" applyFont="1" applyProtection="1">
      <protection locked="0"/>
    </xf>
    <xf numFmtId="0" fontId="3" fillId="0" borderId="13" xfId="0" applyFont="1" applyBorder="1" applyAlignment="1" applyProtection="1">
      <alignment horizontal="center"/>
      <protection locked="0"/>
    </xf>
    <xf numFmtId="0" fontId="3" fillId="0" borderId="12" xfId="0" applyFont="1" applyBorder="1" applyProtection="1">
      <protection locked="0"/>
    </xf>
    <xf numFmtId="0" fontId="3" fillId="0" borderId="14" xfId="0" applyFont="1" applyBorder="1" applyProtection="1">
      <protection locked="0"/>
    </xf>
    <xf numFmtId="0" fontId="3" fillId="0" borderId="24"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6" fillId="0" borderId="0" xfId="0" applyFont="1" applyAlignment="1" applyProtection="1">
      <alignment horizontal="center"/>
      <protection locked="0"/>
    </xf>
    <xf numFmtId="0" fontId="3" fillId="0" borderId="26" xfId="0" applyFont="1" applyBorder="1" applyProtection="1">
      <protection locked="0"/>
    </xf>
    <xf numFmtId="0" fontId="3" fillId="0" borderId="11" xfId="0" applyFont="1" applyBorder="1" applyAlignment="1" applyProtection="1">
      <alignment horizontal="center"/>
      <protection locked="0"/>
    </xf>
    <xf numFmtId="0" fontId="3" fillId="0" borderId="24" xfId="0" applyFont="1" applyBorder="1" applyProtection="1">
      <protection locked="0"/>
    </xf>
    <xf numFmtId="0" fontId="3" fillId="0" borderId="26" xfId="0" applyFont="1" applyBorder="1" applyAlignment="1" applyProtection="1">
      <alignment horizontal="center"/>
      <protection locked="0"/>
    </xf>
    <xf numFmtId="0" fontId="3" fillId="0" borderId="23" xfId="0" applyFont="1" applyBorder="1" applyAlignment="1" applyProtection="1">
      <alignment horizontal="center" wrapText="1"/>
      <protection locked="0"/>
    </xf>
    <xf numFmtId="0" fontId="3" fillId="0" borderId="27" xfId="0" applyFont="1" applyBorder="1" applyAlignment="1" applyProtection="1">
      <alignment horizontal="center"/>
      <protection locked="0"/>
    </xf>
    <xf numFmtId="174" fontId="15" fillId="0" borderId="53" xfId="0" applyNumberFormat="1" applyFont="1" applyBorder="1"/>
    <xf numFmtId="174" fontId="15" fillId="0" borderId="86" xfId="0" applyNumberFormat="1" applyFont="1" applyBorder="1"/>
    <xf numFmtId="174" fontId="18" fillId="0" borderId="0" xfId="0" applyNumberFormat="1" applyFont="1" applyAlignment="1">
      <alignment horizontal="right"/>
    </xf>
    <xf numFmtId="0" fontId="18" fillId="0" borderId="0" xfId="4" applyFont="1" applyAlignment="1" applyProtection="1"/>
    <xf numFmtId="0" fontId="18" fillId="0" borderId="0" xfId="0" applyFont="1" applyAlignment="1">
      <alignment horizontal="left" vertical="top"/>
    </xf>
    <xf numFmtId="0" fontId="15" fillId="0" borderId="50" xfId="0" applyFont="1" applyBorder="1" applyAlignment="1">
      <alignment horizontal="left" vertical="center"/>
    </xf>
    <xf numFmtId="0" fontId="13" fillId="0" borderId="33" xfId="0" applyFont="1" applyBorder="1"/>
    <xf numFmtId="0" fontId="15" fillId="0" borderId="12" xfId="0" applyFont="1" applyBorder="1" applyAlignment="1">
      <alignment wrapText="1"/>
    </xf>
    <xf numFmtId="0" fontId="2" fillId="0" borderId="0" xfId="0" applyFont="1" applyProtection="1">
      <protection hidden="1"/>
    </xf>
    <xf numFmtId="0" fontId="2" fillId="0" borderId="0" xfId="0" applyFont="1"/>
    <xf numFmtId="0" fontId="4" fillId="0" borderId="0" xfId="0" applyFont="1" applyAlignment="1">
      <alignment horizontal="left" vertical="center" wrapText="1"/>
    </xf>
    <xf numFmtId="0" fontId="4" fillId="0" borderId="0" xfId="0" quotePrefix="1" applyFont="1"/>
    <xf numFmtId="0" fontId="28" fillId="0" borderId="0" xfId="0" applyFont="1"/>
    <xf numFmtId="0" fontId="2" fillId="0" borderId="0" xfId="0" applyFont="1" applyAlignment="1" applyProtection="1">
      <alignment vertical="center"/>
      <protection hidden="1"/>
    </xf>
    <xf numFmtId="0" fontId="28"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0" borderId="0" xfId="0" applyFont="1"/>
    <xf numFmtId="0" fontId="12" fillId="0" borderId="0" xfId="0" applyFont="1"/>
    <xf numFmtId="0" fontId="12" fillId="0" borderId="0" xfId="0" applyFont="1" applyProtection="1">
      <protection hidden="1"/>
    </xf>
    <xf numFmtId="0" fontId="0" fillId="0" borderId="0" xfId="0" applyProtection="1">
      <protection hidden="1"/>
    </xf>
    <xf numFmtId="0" fontId="2" fillId="0" borderId="0" xfId="0" applyFont="1" applyProtection="1">
      <protection locked="0" hidden="1"/>
    </xf>
    <xf numFmtId="0" fontId="2" fillId="0" borderId="0" xfId="0" applyFont="1" applyProtection="1">
      <protection locked="0"/>
    </xf>
    <xf numFmtId="174" fontId="13" fillId="0" borderId="30" xfId="0" applyNumberFormat="1" applyFont="1" applyBorder="1" applyAlignment="1">
      <alignment horizontal="right"/>
    </xf>
    <xf numFmtId="174" fontId="13" fillId="0" borderId="34" xfId="0" applyNumberFormat="1" applyFont="1" applyBorder="1" applyAlignment="1">
      <alignment horizontal="right"/>
    </xf>
    <xf numFmtId="174" fontId="13" fillId="0" borderId="36" xfId="0" applyNumberFormat="1" applyFont="1" applyBorder="1" applyAlignment="1">
      <alignment horizontal="right"/>
    </xf>
    <xf numFmtId="174" fontId="13" fillId="0" borderId="35" xfId="0" applyNumberFormat="1" applyFont="1" applyBorder="1" applyAlignment="1">
      <alignment horizontal="right"/>
    </xf>
    <xf numFmtId="0" fontId="3" fillId="0" borderId="23" xfId="0" applyFont="1" applyBorder="1" applyAlignment="1">
      <alignment horizontal="center"/>
    </xf>
    <xf numFmtId="0" fontId="3" fillId="0" borderId="11" xfId="0" quotePrefix="1" applyFont="1" applyBorder="1"/>
    <xf numFmtId="0" fontId="3" fillId="0" borderId="26" xfId="0" applyFont="1" applyBorder="1"/>
    <xf numFmtId="0" fontId="3" fillId="0" borderId="23" xfId="0" applyFont="1" applyBorder="1"/>
    <xf numFmtId="0" fontId="3" fillId="0" borderId="24" xfId="0" applyFont="1" applyBorder="1"/>
    <xf numFmtId="0" fontId="3" fillId="0" borderId="0" xfId="0" applyFont="1" applyAlignment="1">
      <alignment horizontal="center"/>
    </xf>
    <xf numFmtId="0" fontId="6" fillId="29" borderId="32" xfId="0" applyFont="1" applyFill="1" applyBorder="1" applyAlignment="1">
      <alignment horizontal="center"/>
    </xf>
    <xf numFmtId="0" fontId="6" fillId="30" borderId="31" xfId="0" applyFont="1" applyFill="1" applyBorder="1" applyAlignment="1">
      <alignment horizontal="center"/>
    </xf>
    <xf numFmtId="0" fontId="6" fillId="30" borderId="32" xfId="0" applyFont="1" applyFill="1" applyBorder="1" applyAlignment="1">
      <alignment horizontal="center"/>
    </xf>
    <xf numFmtId="0" fontId="6" fillId="29" borderId="31" xfId="0" applyFont="1" applyFill="1" applyBorder="1" applyAlignment="1">
      <alignment horizontal="center"/>
    </xf>
    <xf numFmtId="0" fontId="3" fillId="0" borderId="27" xfId="0" applyFont="1" applyBorder="1"/>
    <xf numFmtId="0" fontId="14" fillId="31" borderId="69" xfId="0" applyFont="1" applyFill="1" applyBorder="1"/>
    <xf numFmtId="0" fontId="14" fillId="31" borderId="69" xfId="0" applyFont="1" applyFill="1" applyBorder="1" applyAlignment="1">
      <alignment horizontal="center"/>
    </xf>
    <xf numFmtId="0" fontId="14" fillId="31" borderId="32" xfId="0" applyFont="1" applyFill="1" applyBorder="1" applyAlignment="1">
      <alignment horizontal="center"/>
    </xf>
    <xf numFmtId="0" fontId="3" fillId="0" borderId="16"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24" xfId="0" applyFont="1" applyBorder="1" applyAlignment="1">
      <alignment horizontal="center"/>
    </xf>
    <xf numFmtId="0" fontId="0" fillId="0" borderId="0" xfId="0" applyProtection="1">
      <protection locked="0"/>
    </xf>
    <xf numFmtId="0" fontId="26" fillId="0" borderId="0" xfId="0" applyFont="1"/>
    <xf numFmtId="0" fontId="15" fillId="32" borderId="13" xfId="0" applyFont="1" applyFill="1" applyBorder="1" applyAlignment="1" applyProtection="1">
      <alignment horizontal="left" vertical="top" wrapText="1"/>
      <protection locked="0"/>
    </xf>
    <xf numFmtId="0" fontId="29" fillId="0" borderId="0" xfId="0" applyFont="1" applyAlignment="1">
      <alignment wrapText="1"/>
    </xf>
    <xf numFmtId="0" fontId="15" fillId="32" borderId="32" xfId="0" applyFont="1" applyFill="1" applyBorder="1" applyAlignment="1" applyProtection="1">
      <alignment horizontal="left" vertical="top" wrapText="1"/>
      <protection locked="0"/>
    </xf>
    <xf numFmtId="0" fontId="15" fillId="33" borderId="32" xfId="0" applyFont="1" applyFill="1" applyBorder="1" applyAlignment="1" applyProtection="1">
      <alignment horizontal="left" vertical="top" wrapText="1" indent="1"/>
      <protection locked="0"/>
    </xf>
    <xf numFmtId="0" fontId="15" fillId="34" borderId="32" xfId="0" applyFont="1" applyFill="1" applyBorder="1" applyAlignment="1" applyProtection="1">
      <alignment horizontal="left" vertical="top" wrapText="1" indent="2"/>
      <protection locked="0"/>
    </xf>
    <xf numFmtId="0" fontId="13" fillId="0" borderId="10" xfId="0" applyFont="1" applyBorder="1" applyAlignment="1">
      <alignment horizontal="left" vertical="top" indent="1"/>
    </xf>
    <xf numFmtId="0" fontId="17" fillId="0" borderId="10" xfId="0" applyFont="1" applyBorder="1" applyAlignment="1">
      <alignment horizontal="left" indent="1"/>
    </xf>
    <xf numFmtId="0" fontId="23" fillId="0" borderId="0" xfId="0" applyFont="1"/>
    <xf numFmtId="0" fontId="23" fillId="0" borderId="17" xfId="0" applyFont="1" applyBorder="1"/>
    <xf numFmtId="0" fontId="15" fillId="0" borderId="77" xfId="0" applyFont="1" applyBorder="1" applyAlignment="1">
      <alignment horizontal="left"/>
    </xf>
    <xf numFmtId="0" fontId="16" fillId="0" borderId="11" xfId="0" applyFont="1" applyBorder="1" applyAlignment="1">
      <alignment horizontal="right" indent="1"/>
    </xf>
    <xf numFmtId="0" fontId="18" fillId="0" borderId="11" xfId="0" applyFont="1" applyBorder="1" applyAlignment="1">
      <alignment horizontal="right" indent="1"/>
    </xf>
    <xf numFmtId="0" fontId="17" fillId="0" borderId="33" xfId="0" applyFont="1" applyBorder="1" applyAlignment="1">
      <alignment horizontal="left" indent="1"/>
    </xf>
    <xf numFmtId="0" fontId="15" fillId="0" borderId="69" xfId="0" applyFont="1" applyBorder="1"/>
    <xf numFmtId="0" fontId="15" fillId="35" borderId="26" xfId="0" applyFont="1" applyFill="1" applyBorder="1" applyAlignment="1">
      <alignment horizontal="center" vertical="top" wrapText="1"/>
    </xf>
    <xf numFmtId="0" fontId="15" fillId="35" borderId="15" xfId="0" applyFont="1" applyFill="1" applyBorder="1" applyAlignment="1">
      <alignment horizontal="center" vertical="top" wrapText="1"/>
    </xf>
    <xf numFmtId="0" fontId="12" fillId="0" borderId="33" xfId="0" applyFont="1" applyBorder="1" applyAlignment="1">
      <alignment horizontal="left" vertical="top" wrapText="1" indent="3"/>
    </xf>
    <xf numFmtId="0" fontId="13" fillId="0" borderId="0" xfId="0" applyFont="1" applyAlignment="1">
      <alignment vertical="top"/>
    </xf>
    <xf numFmtId="0" fontId="13" fillId="0" borderId="0" xfId="0" applyFont="1" applyAlignment="1">
      <alignment wrapText="1"/>
    </xf>
    <xf numFmtId="174" fontId="15" fillId="0" borderId="90" xfId="0" applyNumberFormat="1" applyFont="1" applyBorder="1" applyAlignment="1">
      <alignment horizontal="right"/>
    </xf>
    <xf numFmtId="174" fontId="15" fillId="0" borderId="67" xfId="0" applyNumberFormat="1" applyFont="1" applyBorder="1" applyAlignment="1">
      <alignment horizontal="right"/>
    </xf>
    <xf numFmtId="174" fontId="15" fillId="0" borderId="28" xfId="0" applyNumberFormat="1" applyFont="1" applyBorder="1" applyAlignment="1">
      <alignment horizontal="right"/>
    </xf>
    <xf numFmtId="174" fontId="15" fillId="0" borderId="73" xfId="0" applyNumberFormat="1" applyFont="1" applyBorder="1" applyAlignment="1">
      <alignment horizontal="right"/>
    </xf>
    <xf numFmtId="174" fontId="15" fillId="0" borderId="77" xfId="0" applyNumberFormat="1" applyFont="1" applyBorder="1" applyAlignment="1">
      <alignment horizontal="right"/>
    </xf>
    <xf numFmtId="0" fontId="15" fillId="0" borderId="48" xfId="0" applyFont="1" applyBorder="1" applyAlignment="1">
      <alignment wrapText="1"/>
    </xf>
    <xf numFmtId="171" fontId="13" fillId="0" borderId="86" xfId="7" applyNumberFormat="1" applyFont="1" applyBorder="1" applyAlignment="1">
      <alignment horizontal="center"/>
    </xf>
    <xf numFmtId="0" fontId="13" fillId="0" borderId="23" xfId="0" applyFont="1" applyBorder="1"/>
    <xf numFmtId="168" fontId="13" fillId="0" borderId="10" xfId="8" applyNumberFormat="1" applyFont="1" applyBorder="1"/>
    <xf numFmtId="10" fontId="13" fillId="0" borderId="10" xfId="8" applyNumberFormat="1" applyFont="1" applyBorder="1"/>
    <xf numFmtId="174" fontId="13" fillId="0" borderId="10" xfId="0" applyNumberFormat="1" applyFont="1" applyBorder="1" applyAlignment="1">
      <alignment horizontal="left" wrapText="1"/>
    </xf>
    <xf numFmtId="174" fontId="13" fillId="0" borderId="15" xfId="0" applyNumberFormat="1" applyFont="1" applyBorder="1" applyAlignment="1">
      <alignment horizontal="left" wrapText="1"/>
    </xf>
    <xf numFmtId="0" fontId="13" fillId="0" borderId="26" xfId="0" applyFont="1" applyBorder="1" applyAlignment="1">
      <alignment horizontal="center"/>
    </xf>
    <xf numFmtId="0" fontId="17" fillId="0" borderId="26" xfId="0" applyFont="1" applyBorder="1"/>
    <xf numFmtId="0" fontId="13" fillId="0" borderId="15" xfId="0" applyFont="1" applyBorder="1"/>
    <xf numFmtId="0" fontId="13" fillId="0" borderId="14" xfId="0" applyFont="1" applyBorder="1"/>
    <xf numFmtId="0" fontId="13" fillId="0" borderId="24" xfId="0" applyFont="1" applyBorder="1"/>
    <xf numFmtId="168" fontId="13" fillId="0" borderId="13" xfId="8" applyNumberFormat="1" applyFont="1" applyBorder="1"/>
    <xf numFmtId="172" fontId="13" fillId="0" borderId="13" xfId="0" applyNumberFormat="1" applyFont="1" applyBorder="1"/>
    <xf numFmtId="174" fontId="13" fillId="0" borderId="13" xfId="0" applyNumberFormat="1" applyFont="1" applyBorder="1"/>
    <xf numFmtId="0" fontId="13" fillId="0" borderId="62" xfId="0" applyFont="1" applyBorder="1"/>
    <xf numFmtId="171" fontId="13" fillId="0" borderId="17" xfId="0" applyNumberFormat="1" applyFont="1" applyBorder="1" applyAlignment="1">
      <alignment horizontal="center"/>
    </xf>
    <xf numFmtId="171" fontId="13" fillId="0" borderId="22" xfId="0" quotePrefix="1" applyNumberFormat="1" applyFont="1" applyBorder="1" applyAlignment="1">
      <alignment horizontal="center"/>
    </xf>
    <xf numFmtId="0" fontId="13" fillId="0" borderId="25" xfId="0" applyFont="1" applyBorder="1"/>
    <xf numFmtId="174" fontId="13" fillId="0" borderId="17" xfId="0" quotePrefix="1" applyNumberFormat="1" applyFont="1" applyBorder="1" applyAlignment="1">
      <alignment horizontal="center"/>
    </xf>
    <xf numFmtId="0" fontId="13" fillId="0" borderId="91" xfId="0" applyFont="1" applyBorder="1"/>
    <xf numFmtId="174" fontId="13" fillId="0" borderId="62" xfId="0" applyNumberFormat="1" applyFont="1" applyBorder="1" applyAlignment="1">
      <alignment horizontal="center"/>
    </xf>
    <xf numFmtId="0" fontId="13" fillId="0" borderId="86" xfId="0" applyFont="1" applyBorder="1"/>
    <xf numFmtId="171" fontId="13" fillId="0" borderId="63" xfId="0" applyNumberFormat="1" applyFont="1" applyBorder="1" applyAlignment="1">
      <alignment horizontal="center"/>
    </xf>
    <xf numFmtId="171" fontId="13" fillId="0" borderId="62" xfId="0" quotePrefix="1" applyNumberFormat="1" applyFont="1" applyBorder="1" applyAlignment="1">
      <alignment horizontal="center"/>
    </xf>
    <xf numFmtId="174" fontId="13" fillId="0" borderId="63" xfId="0" quotePrefix="1" applyNumberFormat="1" applyFont="1" applyBorder="1" applyAlignment="1">
      <alignment horizontal="center"/>
    </xf>
    <xf numFmtId="174" fontId="13" fillId="38" borderId="22" xfId="0" applyNumberFormat="1" applyFont="1" applyFill="1" applyBorder="1" applyAlignment="1" applyProtection="1">
      <alignment horizontal="right"/>
      <protection locked="0"/>
    </xf>
    <xf numFmtId="174" fontId="13" fillId="38" borderId="0" xfId="0" applyNumberFormat="1" applyFont="1" applyFill="1" applyAlignment="1" applyProtection="1">
      <alignment horizontal="right"/>
      <protection locked="0"/>
    </xf>
    <xf numFmtId="174" fontId="13" fillId="38" borderId="62" xfId="0" applyNumberFormat="1" applyFont="1" applyFill="1" applyBorder="1" applyAlignment="1" applyProtection="1">
      <alignment horizontal="right"/>
      <protection locked="0"/>
    </xf>
    <xf numFmtId="174" fontId="15" fillId="38" borderId="0" xfId="0" applyNumberFormat="1" applyFont="1" applyFill="1" applyProtection="1">
      <protection locked="0"/>
    </xf>
    <xf numFmtId="175" fontId="13" fillId="38" borderId="22" xfId="0" applyNumberFormat="1" applyFont="1" applyFill="1" applyBorder="1" applyProtection="1">
      <protection locked="0"/>
    </xf>
    <xf numFmtId="175" fontId="13" fillId="38" borderId="23" xfId="0" applyNumberFormat="1" applyFont="1" applyFill="1" applyBorder="1" applyProtection="1">
      <protection locked="0"/>
    </xf>
    <xf numFmtId="175" fontId="13" fillId="38" borderId="0" xfId="0" applyNumberFormat="1" applyFont="1" applyFill="1" applyProtection="1">
      <protection locked="0"/>
    </xf>
    <xf numFmtId="175" fontId="13" fillId="38" borderId="33" xfId="0" applyNumberFormat="1" applyFont="1" applyFill="1" applyBorder="1" applyProtection="1">
      <protection locked="0"/>
    </xf>
    <xf numFmtId="175" fontId="13" fillId="38" borderId="57" xfId="0" applyNumberFormat="1" applyFont="1" applyFill="1" applyBorder="1" applyProtection="1">
      <protection locked="0"/>
    </xf>
    <xf numFmtId="175" fontId="13" fillId="38" borderId="58" xfId="0" applyNumberFormat="1" applyFont="1" applyFill="1" applyBorder="1" applyProtection="1">
      <protection locked="0"/>
    </xf>
    <xf numFmtId="175" fontId="13" fillId="38" borderId="56" xfId="0" applyNumberFormat="1" applyFont="1" applyFill="1" applyBorder="1" applyProtection="1">
      <protection locked="0"/>
    </xf>
    <xf numFmtId="175" fontId="13" fillId="39" borderId="22" xfId="1" applyNumberFormat="1" applyFont="1" applyFill="1" applyBorder="1"/>
    <xf numFmtId="175" fontId="13" fillId="39" borderId="0" xfId="1" applyNumberFormat="1" applyFont="1" applyFill="1"/>
    <xf numFmtId="171" fontId="13" fillId="0" borderId="62" xfId="0" applyNumberFormat="1" applyFont="1" applyBorder="1" applyAlignment="1">
      <alignment horizontal="center"/>
    </xf>
    <xf numFmtId="171" fontId="13" fillId="0" borderId="17" xfId="0" quotePrefix="1" applyNumberFormat="1" applyFont="1" applyBorder="1" applyAlignment="1">
      <alignment horizontal="center"/>
    </xf>
    <xf numFmtId="171" fontId="13" fillId="0" borderId="63" xfId="0" quotePrefix="1" applyNumberFormat="1" applyFont="1" applyBorder="1" applyAlignment="1">
      <alignment horizontal="center"/>
    </xf>
    <xf numFmtId="174" fontId="13" fillId="0" borderId="33" xfId="0" applyNumberFormat="1" applyFont="1" applyBorder="1" applyAlignment="1">
      <alignment horizontal="center"/>
    </xf>
    <xf numFmtId="171" fontId="13" fillId="0" borderId="64" xfId="0" applyNumberFormat="1" applyFont="1" applyBorder="1" applyAlignment="1">
      <alignment horizontal="center"/>
    </xf>
    <xf numFmtId="0" fontId="13" fillId="0" borderId="53" xfId="0" applyFont="1" applyBorder="1"/>
    <xf numFmtId="174" fontId="13" fillId="0" borderId="53" xfId="0" applyNumberFormat="1" applyFont="1" applyBorder="1" applyAlignment="1">
      <alignment horizontal="center"/>
    </xf>
    <xf numFmtId="171" fontId="13" fillId="0" borderId="53" xfId="0" quotePrefix="1" applyNumberFormat="1" applyFont="1" applyBorder="1" applyAlignment="1">
      <alignment horizontal="center"/>
    </xf>
    <xf numFmtId="171" fontId="13" fillId="0" borderId="64" xfId="0" quotePrefix="1" applyNumberFormat="1" applyFont="1" applyBorder="1" applyAlignment="1">
      <alignment horizontal="center"/>
    </xf>
    <xf numFmtId="171" fontId="13" fillId="0" borderId="50" xfId="0" applyNumberFormat="1" applyFont="1" applyBorder="1" applyAlignment="1">
      <alignment horizontal="center"/>
    </xf>
    <xf numFmtId="171" fontId="13" fillId="0" borderId="33" xfId="0" quotePrefix="1" applyNumberFormat="1" applyFont="1" applyBorder="1" applyAlignment="1">
      <alignment horizontal="center"/>
    </xf>
    <xf numFmtId="171" fontId="13" fillId="0" borderId="50" xfId="0" quotePrefix="1" applyNumberFormat="1" applyFont="1" applyBorder="1" applyAlignment="1">
      <alignment horizontal="center"/>
    </xf>
    <xf numFmtId="174" fontId="13" fillId="0" borderId="64" xfId="0" quotePrefix="1" applyNumberFormat="1" applyFont="1" applyBorder="1" applyAlignment="1">
      <alignment horizontal="center"/>
    </xf>
    <xf numFmtId="171" fontId="13" fillId="0" borderId="33" xfId="0" applyNumberFormat="1" applyFont="1" applyBorder="1" applyAlignment="1">
      <alignment horizontal="center"/>
    </xf>
    <xf numFmtId="174" fontId="13" fillId="0" borderId="50" xfId="0" quotePrefix="1" applyNumberFormat="1" applyFont="1" applyBorder="1" applyAlignment="1">
      <alignment horizontal="center"/>
    </xf>
    <xf numFmtId="0" fontId="13" fillId="0" borderId="33" xfId="0" applyFont="1" applyBorder="1" applyAlignment="1">
      <alignment horizontal="center"/>
    </xf>
    <xf numFmtId="171" fontId="13" fillId="0" borderId="86" xfId="0" applyNumberFormat="1" applyFont="1" applyBorder="1" applyAlignment="1">
      <alignment horizontal="center"/>
    </xf>
    <xf numFmtId="0" fontId="30" fillId="0" borderId="16" xfId="0" applyFont="1" applyBorder="1"/>
    <xf numFmtId="0" fontId="31" fillId="0" borderId="11" xfId="0" applyFont="1" applyBorder="1"/>
    <xf numFmtId="0" fontId="32" fillId="0" borderId="11" xfId="0" applyFont="1" applyBorder="1"/>
    <xf numFmtId="0" fontId="31" fillId="0" borderId="15" xfId="0" applyFont="1" applyBorder="1" applyAlignment="1">
      <alignment horizontal="center"/>
    </xf>
    <xf numFmtId="0" fontId="31" fillId="0" borderId="27" xfId="0" applyFont="1" applyBorder="1" applyAlignment="1">
      <alignment horizontal="center"/>
    </xf>
    <xf numFmtId="0" fontId="31" fillId="0" borderId="92" xfId="0" applyFont="1" applyBorder="1" applyAlignment="1">
      <alignment horizontal="center"/>
    </xf>
    <xf numFmtId="0" fontId="31" fillId="0" borderId="25" xfId="0" applyFont="1" applyBorder="1" applyAlignment="1">
      <alignment horizontal="center"/>
    </xf>
    <xf numFmtId="0" fontId="31" fillId="0" borderId="61" xfId="0" applyFont="1" applyBorder="1"/>
    <xf numFmtId="0" fontId="31" fillId="0" borderId="92" xfId="0" applyFont="1" applyBorder="1"/>
    <xf numFmtId="0" fontId="31" fillId="0" borderId="25" xfId="0" applyFont="1" applyBorder="1"/>
    <xf numFmtId="0" fontId="31" fillId="0" borderId="10" xfId="0" applyFont="1" applyBorder="1" applyAlignment="1">
      <alignment horizontal="center"/>
    </xf>
    <xf numFmtId="0" fontId="31" fillId="0" borderId="0" xfId="0" applyFont="1" applyAlignment="1">
      <alignment horizontal="center"/>
    </xf>
    <xf numFmtId="174" fontId="31" fillId="0" borderId="86" xfId="0" applyNumberFormat="1" applyFont="1" applyBorder="1" applyAlignment="1">
      <alignment horizontal="center"/>
    </xf>
    <xf numFmtId="0" fontId="31" fillId="0" borderId="12" xfId="0" applyFont="1" applyBorder="1"/>
    <xf numFmtId="0" fontId="31" fillId="0" borderId="13" xfId="0" applyFont="1" applyBorder="1" applyAlignment="1">
      <alignment horizontal="center"/>
    </xf>
    <xf numFmtId="0" fontId="31" fillId="0" borderId="14" xfId="0" applyFont="1" applyBorder="1" applyAlignment="1">
      <alignment horizontal="center"/>
    </xf>
    <xf numFmtId="0" fontId="31" fillId="0" borderId="82" xfId="0" applyFont="1" applyBorder="1" applyAlignment="1">
      <alignment horizontal="center"/>
    </xf>
    <xf numFmtId="0" fontId="31" fillId="0" borderId="17" xfId="0" applyFont="1" applyBorder="1" applyAlignment="1">
      <alignment horizontal="center"/>
    </xf>
    <xf numFmtId="0" fontId="31" fillId="0" borderId="63" xfId="0" applyFont="1" applyBorder="1"/>
    <xf numFmtId="0" fontId="31" fillId="0" borderId="82" xfId="0" applyFont="1" applyBorder="1"/>
    <xf numFmtId="0" fontId="31" fillId="0" borderId="17" xfId="0" applyFont="1" applyBorder="1"/>
    <xf numFmtId="174" fontId="31" fillId="0" borderId="62" xfId="0" applyNumberFormat="1" applyFont="1" applyBorder="1" applyAlignment="1">
      <alignment horizontal="center"/>
    </xf>
    <xf numFmtId="0" fontId="33" fillId="0" borderId="86" xfId="0" applyFont="1" applyBorder="1" applyAlignment="1">
      <alignment horizontal="center"/>
    </xf>
    <xf numFmtId="0" fontId="33" fillId="0" borderId="62" xfId="0" applyFont="1" applyBorder="1" applyAlignment="1">
      <alignment horizontal="center"/>
    </xf>
    <xf numFmtId="165" fontId="13" fillId="39" borderId="62" xfId="1" applyNumberFormat="1" applyFont="1" applyFill="1" applyBorder="1" applyAlignment="1">
      <alignment horizontal="left" vertical="top" wrapText="1"/>
    </xf>
    <xf numFmtId="165" fontId="17" fillId="39" borderId="62" xfId="1" applyNumberFormat="1" applyFont="1" applyFill="1" applyBorder="1" applyAlignment="1">
      <alignment horizontal="left" vertical="top" wrapText="1"/>
    </xf>
    <xf numFmtId="169" fontId="13" fillId="39" borderId="22" xfId="0" applyNumberFormat="1" applyFont="1" applyFill="1" applyBorder="1" applyAlignment="1">
      <alignment horizontal="center"/>
    </xf>
    <xf numFmtId="169" fontId="13" fillId="39" borderId="62" xfId="0" applyNumberFormat="1" applyFont="1" applyFill="1" applyBorder="1" applyAlignment="1">
      <alignment horizontal="center"/>
    </xf>
    <xf numFmtId="0" fontId="13" fillId="39" borderId="22" xfId="0" applyFont="1" applyFill="1" applyBorder="1" applyAlignment="1">
      <alignment horizontal="center"/>
    </xf>
    <xf numFmtId="0" fontId="13" fillId="39" borderId="23" xfId="0" applyFont="1" applyFill="1" applyBorder="1" applyAlignment="1">
      <alignment horizontal="center"/>
    </xf>
    <xf numFmtId="175" fontId="13" fillId="39" borderId="22" xfId="0" applyNumberFormat="1" applyFont="1" applyFill="1" applyBorder="1"/>
    <xf numFmtId="175" fontId="13" fillId="39" borderId="23" xfId="0" applyNumberFormat="1" applyFont="1" applyFill="1" applyBorder="1"/>
    <xf numFmtId="169" fontId="15" fillId="39" borderId="25" xfId="0" applyNumberFormat="1" applyFont="1" applyFill="1" applyBorder="1"/>
    <xf numFmtId="169" fontId="15" fillId="39" borderId="61" xfId="0" applyNumberFormat="1" applyFont="1" applyFill="1" applyBorder="1"/>
    <xf numFmtId="169" fontId="15" fillId="39" borderId="0" xfId="0" applyNumberFormat="1" applyFont="1" applyFill="1" applyAlignment="1">
      <alignment horizontal="center"/>
    </xf>
    <xf numFmtId="169" fontId="15" fillId="39" borderId="23" xfId="0" applyNumberFormat="1" applyFont="1" applyFill="1" applyBorder="1"/>
    <xf numFmtId="14" fontId="13" fillId="39" borderId="22" xfId="0" applyNumberFormat="1" applyFont="1" applyFill="1" applyBorder="1" applyAlignment="1">
      <alignment horizontal="center"/>
    </xf>
    <xf numFmtId="14" fontId="13" fillId="39" borderId="62" xfId="0" applyNumberFormat="1" applyFont="1" applyFill="1" applyBorder="1" applyAlignment="1">
      <alignment horizontal="center"/>
    </xf>
    <xf numFmtId="14" fontId="13" fillId="39" borderId="0" xfId="0" applyNumberFormat="1" applyFont="1" applyFill="1" applyAlignment="1">
      <alignment horizontal="center"/>
    </xf>
    <xf numFmtId="14" fontId="13" fillId="39" borderId="23" xfId="0" applyNumberFormat="1" applyFont="1" applyFill="1" applyBorder="1" applyAlignment="1">
      <alignment horizontal="center"/>
    </xf>
    <xf numFmtId="169" fontId="15" fillId="39" borderId="22" xfId="0" applyNumberFormat="1" applyFont="1" applyFill="1" applyBorder="1"/>
    <xf numFmtId="169" fontId="15" fillId="39" borderId="62" xfId="0" applyNumberFormat="1" applyFont="1" applyFill="1" applyBorder="1"/>
    <xf numFmtId="169" fontId="15" fillId="39" borderId="22" xfId="0" applyNumberFormat="1" applyFont="1" applyFill="1" applyBorder="1" applyAlignment="1">
      <alignment horizontal="center"/>
    </xf>
    <xf numFmtId="169" fontId="15" fillId="39" borderId="62" xfId="0" applyNumberFormat="1" applyFont="1" applyFill="1" applyBorder="1" applyAlignment="1">
      <alignment horizontal="center"/>
    </xf>
    <xf numFmtId="0" fontId="15" fillId="39" borderId="22" xfId="0" applyFont="1" applyFill="1" applyBorder="1" applyAlignment="1">
      <alignment horizontal="center"/>
    </xf>
    <xf numFmtId="0" fontId="15" fillId="39" borderId="23" xfId="0" applyFont="1" applyFill="1" applyBorder="1" applyAlignment="1">
      <alignment horizontal="center"/>
    </xf>
    <xf numFmtId="164" fontId="13" fillId="39" borderId="22" xfId="1" applyFont="1" applyFill="1" applyBorder="1" applyAlignment="1">
      <alignment horizontal="center"/>
    </xf>
    <xf numFmtId="164" fontId="13" fillId="39" borderId="62" xfId="1" applyFont="1" applyFill="1" applyBorder="1" applyAlignment="1">
      <alignment horizontal="center"/>
    </xf>
    <xf numFmtId="169" fontId="13" fillId="39" borderId="22" xfId="0" applyNumberFormat="1" applyFont="1" applyFill="1" applyBorder="1"/>
    <xf numFmtId="169" fontId="13" fillId="39" borderId="62" xfId="0" applyNumberFormat="1" applyFont="1" applyFill="1" applyBorder="1"/>
    <xf numFmtId="164" fontId="13" fillId="39" borderId="23" xfId="1" applyFont="1" applyFill="1" applyBorder="1" applyAlignment="1">
      <alignment horizontal="center"/>
    </xf>
    <xf numFmtId="169" fontId="13" fillId="39" borderId="23" xfId="0" applyNumberFormat="1" applyFont="1" applyFill="1" applyBorder="1"/>
    <xf numFmtId="0" fontId="15" fillId="0" borderId="16" xfId="0" applyFont="1" applyBorder="1" applyAlignment="1">
      <alignment wrapText="1"/>
    </xf>
    <xf numFmtId="0" fontId="13" fillId="0" borderId="92" xfId="0" applyFont="1" applyBorder="1"/>
    <xf numFmtId="174" fontId="13" fillId="0" borderId="63" xfId="0" applyNumberFormat="1" applyFont="1" applyBorder="1"/>
    <xf numFmtId="174" fontId="13" fillId="0" borderId="82" xfId="0" applyNumberFormat="1" applyFont="1" applyBorder="1"/>
    <xf numFmtId="0" fontId="7" fillId="0" borderId="0" xfId="2" applyAlignment="1" applyProtection="1">
      <alignment vertical="center"/>
    </xf>
    <xf numFmtId="0" fontId="7" fillId="0" borderId="0" xfId="2" applyAlignment="1" applyProtection="1"/>
    <xf numFmtId="175" fontId="13" fillId="0" borderId="22" xfId="1" applyNumberFormat="1" applyFont="1" applyBorder="1" applyAlignment="1" applyProtection="1">
      <alignment horizontal="center"/>
      <protection locked="0"/>
    </xf>
    <xf numFmtId="175" fontId="13" fillId="0" borderId="22" xfId="1" applyNumberFormat="1" applyFont="1" applyBorder="1" applyProtection="1">
      <protection locked="0"/>
    </xf>
    <xf numFmtId="175" fontId="13" fillId="0" borderId="0" xfId="1" applyNumberFormat="1" applyFont="1" applyProtection="1">
      <protection locked="0"/>
    </xf>
    <xf numFmtId="0" fontId="17" fillId="0" borderId="15" xfId="0" applyFont="1" applyBorder="1" applyAlignment="1">
      <alignment horizontal="left"/>
    </xf>
    <xf numFmtId="0" fontId="17" fillId="0" borderId="26" xfId="0" applyFont="1" applyBorder="1" applyAlignment="1">
      <alignment horizontal="center"/>
    </xf>
    <xf numFmtId="0" fontId="58" fillId="0" borderId="11" xfId="0" applyFont="1" applyBorder="1"/>
    <xf numFmtId="0" fontId="59" fillId="0" borderId="10" xfId="0" applyFont="1" applyBorder="1" applyAlignment="1">
      <alignment horizontal="center"/>
    </xf>
    <xf numFmtId="0" fontId="60" fillId="0" borderId="86" xfId="0" applyFont="1" applyBorder="1" applyAlignment="1">
      <alignment horizontal="center"/>
    </xf>
    <xf numFmtId="0" fontId="60" fillId="0" borderId="62" xfId="0" applyFont="1" applyBorder="1" applyAlignment="1">
      <alignment horizontal="center"/>
    </xf>
    <xf numFmtId="0" fontId="61" fillId="0" borderId="0" xfId="0" applyFont="1"/>
    <xf numFmtId="0" fontId="13" fillId="0" borderId="92" xfId="0" applyFont="1" applyBorder="1" applyAlignment="1">
      <alignment horizontal="center"/>
    </xf>
    <xf numFmtId="0" fontId="13" fillId="0" borderId="82" xfId="0" applyFont="1" applyBorder="1" applyAlignment="1">
      <alignment horizontal="center"/>
    </xf>
    <xf numFmtId="171" fontId="13" fillId="39" borderId="22" xfId="1" applyNumberFormat="1" applyFont="1" applyFill="1" applyBorder="1" applyAlignment="1">
      <alignment horizontal="center"/>
    </xf>
    <xf numFmtId="171" fontId="13" fillId="39" borderId="53" xfId="1" applyNumberFormat="1" applyFont="1" applyFill="1" applyBorder="1" applyAlignment="1">
      <alignment horizontal="center"/>
    </xf>
    <xf numFmtId="171" fontId="13" fillId="39" borderId="62" xfId="1" applyNumberFormat="1" applyFont="1" applyFill="1" applyBorder="1" applyAlignment="1">
      <alignment horizontal="center"/>
    </xf>
    <xf numFmtId="171" fontId="13" fillId="39" borderId="0" xfId="1" applyNumberFormat="1" applyFont="1" applyFill="1" applyAlignment="1">
      <alignment horizontal="center"/>
    </xf>
    <xf numFmtId="0" fontId="13" fillId="39" borderId="0" xfId="0" applyFont="1" applyFill="1" applyAlignment="1">
      <alignment horizontal="center"/>
    </xf>
    <xf numFmtId="0" fontId="13" fillId="39" borderId="0" xfId="0" applyFont="1" applyFill="1"/>
    <xf numFmtId="0" fontId="13" fillId="39" borderId="23" xfId="0" applyFont="1" applyFill="1" applyBorder="1"/>
    <xf numFmtId="0" fontId="13" fillId="39" borderId="14" xfId="0" applyFont="1" applyFill="1" applyBorder="1" applyAlignment="1">
      <alignment horizontal="center"/>
    </xf>
    <xf numFmtId="0" fontId="13" fillId="39" borderId="14" xfId="0" applyFont="1" applyFill="1" applyBorder="1"/>
    <xf numFmtId="0" fontId="13" fillId="39" borderId="24" xfId="0" applyFont="1" applyFill="1" applyBorder="1"/>
    <xf numFmtId="174" fontId="13" fillId="0" borderId="29" xfId="0" applyNumberFormat="1" applyFont="1" applyBorder="1" applyAlignment="1">
      <alignment horizontal="center"/>
    </xf>
    <xf numFmtId="174" fontId="13" fillId="0" borderId="25" xfId="0" applyNumberFormat="1" applyFont="1" applyBorder="1" applyAlignment="1">
      <alignment horizontal="center"/>
    </xf>
    <xf numFmtId="174" fontId="13" fillId="0" borderId="52" xfId="0" applyNumberFormat="1" applyFont="1" applyBorder="1" applyAlignment="1">
      <alignment horizontal="center"/>
    </xf>
    <xf numFmtId="174" fontId="13" fillId="0" borderId="61" xfId="0" applyNumberFormat="1" applyFont="1" applyBorder="1" applyAlignment="1">
      <alignment horizontal="center"/>
    </xf>
    <xf numFmtId="174" fontId="13" fillId="0" borderId="50" xfId="0" applyNumberFormat="1" applyFont="1" applyBorder="1" applyAlignment="1">
      <alignment horizontal="center"/>
    </xf>
    <xf numFmtId="174" fontId="13" fillId="0" borderId="17" xfId="0" applyNumberFormat="1" applyFont="1" applyBorder="1" applyAlignment="1">
      <alignment horizontal="center"/>
    </xf>
    <xf numFmtId="174" fontId="13" fillId="0" borderId="64" xfId="0" applyNumberFormat="1" applyFont="1" applyBorder="1"/>
    <xf numFmtId="0" fontId="17" fillId="0" borderId="29" xfId="0" applyFont="1" applyBorder="1" applyAlignment="1">
      <alignment horizontal="center"/>
    </xf>
    <xf numFmtId="0" fontId="17" fillId="0" borderId="25" xfId="0" applyFont="1" applyBorder="1" applyAlignment="1">
      <alignment horizontal="center"/>
    </xf>
    <xf numFmtId="169" fontId="13" fillId="0" borderId="61" xfId="0" applyNumberFormat="1" applyFont="1" applyBorder="1"/>
    <xf numFmtId="174" fontId="13" fillId="39" borderId="33" xfId="0" applyNumberFormat="1" applyFont="1" applyFill="1" applyBorder="1" applyAlignment="1">
      <alignment horizontal="center"/>
    </xf>
    <xf numFmtId="174" fontId="13" fillId="39" borderId="22" xfId="0" applyNumberFormat="1" applyFont="1" applyFill="1" applyBorder="1" applyAlignment="1">
      <alignment horizontal="center"/>
    </xf>
    <xf numFmtId="174" fontId="13" fillId="39" borderId="62" xfId="0" applyNumberFormat="1" applyFont="1" applyFill="1" applyBorder="1"/>
    <xf numFmtId="174" fontId="13" fillId="39" borderId="33" xfId="0" applyNumberFormat="1" applyFont="1" applyFill="1" applyBorder="1"/>
    <xf numFmtId="174" fontId="13" fillId="39" borderId="22" xfId="0" applyNumberFormat="1" applyFont="1" applyFill="1" applyBorder="1"/>
    <xf numFmtId="0" fontId="13" fillId="0" borderId="93" xfId="0" applyFont="1" applyBorder="1" applyAlignment="1">
      <alignment horizontal="center"/>
    </xf>
    <xf numFmtId="0" fontId="13" fillId="0" borderId="94" xfId="0" applyFont="1" applyBorder="1" applyAlignment="1">
      <alignment horizontal="center"/>
    </xf>
    <xf numFmtId="169" fontId="13" fillId="0" borderId="95" xfId="0" applyNumberFormat="1" applyFont="1" applyBorder="1"/>
    <xf numFmtId="169" fontId="13" fillId="0" borderId="93" xfId="0" applyNumberFormat="1" applyFont="1" applyBorder="1"/>
    <xf numFmtId="169" fontId="13" fillId="0" borderId="94" xfId="0" applyNumberFormat="1" applyFont="1" applyBorder="1"/>
    <xf numFmtId="169" fontId="13" fillId="0" borderId="96" xfId="0" applyNumberFormat="1" applyFont="1" applyBorder="1"/>
    <xf numFmtId="169" fontId="13" fillId="0" borderId="97" xfId="0" applyNumberFormat="1" applyFont="1" applyBorder="1"/>
    <xf numFmtId="169" fontId="13" fillId="0" borderId="98" xfId="0" applyNumberFormat="1" applyFont="1" applyBorder="1"/>
    <xf numFmtId="174" fontId="15" fillId="0" borderId="99" xfId="0" applyNumberFormat="1" applyFont="1" applyBorder="1"/>
    <xf numFmtId="174" fontId="15" fillId="0" borderId="100" xfId="0" applyNumberFormat="1" applyFont="1" applyBorder="1"/>
    <xf numFmtId="174" fontId="15" fillId="0" borderId="101" xfId="0" applyNumberFormat="1" applyFont="1" applyBorder="1"/>
    <xf numFmtId="49" fontId="15" fillId="0" borderId="16" xfId="0" applyNumberFormat="1" applyFont="1" applyBorder="1" applyAlignment="1">
      <alignment horizontal="center" vertical="center" wrapText="1"/>
    </xf>
    <xf numFmtId="0" fontId="15" fillId="0" borderId="29" xfId="0" applyFont="1" applyBorder="1" applyAlignment="1">
      <alignment vertical="center"/>
    </xf>
    <xf numFmtId="0" fontId="15" fillId="0" borderId="50" xfId="0" applyFont="1" applyBorder="1" applyAlignment="1">
      <alignment vertical="center"/>
    </xf>
    <xf numFmtId="0" fontId="13" fillId="0" borderId="49" xfId="0" applyFont="1" applyBorder="1" applyAlignment="1">
      <alignment horizontal="center"/>
    </xf>
    <xf numFmtId="0" fontId="13" fillId="0" borderId="42" xfId="0" applyFont="1" applyBorder="1" applyAlignment="1">
      <alignment horizontal="center"/>
    </xf>
    <xf numFmtId="174" fontId="13" fillId="0" borderId="86" xfId="0" applyNumberFormat="1" applyFont="1" applyBorder="1" applyAlignment="1">
      <alignment horizontal="right"/>
    </xf>
    <xf numFmtId="174" fontId="13" fillId="0" borderId="56" xfId="0" applyNumberFormat="1" applyFont="1" applyBorder="1" applyAlignment="1">
      <alignment horizontal="right"/>
    </xf>
    <xf numFmtId="0" fontId="15" fillId="0" borderId="61" xfId="0" applyFont="1" applyBorder="1" applyAlignment="1">
      <alignment horizontal="center"/>
    </xf>
    <xf numFmtId="174" fontId="15" fillId="0" borderId="75" xfId="0" applyNumberFormat="1" applyFont="1" applyBorder="1" applyAlignment="1">
      <alignment horizontal="right"/>
    </xf>
    <xf numFmtId="0" fontId="8" fillId="0" borderId="0" xfId="6" applyFont="1"/>
    <xf numFmtId="168" fontId="13" fillId="0" borderId="62" xfId="0" applyNumberFormat="1" applyFont="1" applyBorder="1" applyAlignment="1">
      <alignment horizontal="center" vertical="top" wrapText="1"/>
    </xf>
    <xf numFmtId="169" fontId="15" fillId="0" borderId="46" xfId="0" applyNumberFormat="1" applyFont="1" applyBorder="1"/>
    <xf numFmtId="175" fontId="15" fillId="0" borderId="46" xfId="0" applyNumberFormat="1" applyFont="1" applyBorder="1"/>
    <xf numFmtId="0" fontId="15" fillId="0" borderId="46" xfId="0" applyFont="1" applyBorder="1"/>
    <xf numFmtId="0" fontId="15" fillId="0" borderId="45" xfId="0" applyFont="1" applyBorder="1"/>
    <xf numFmtId="169" fontId="15" fillId="0" borderId="47" xfId="0" applyNumberFormat="1" applyFont="1" applyBorder="1"/>
    <xf numFmtId="0" fontId="15" fillId="0" borderId="92" xfId="0" applyFont="1" applyBorder="1" applyAlignment="1">
      <alignment horizontal="center"/>
    </xf>
    <xf numFmtId="0" fontId="15" fillId="0" borderId="86" xfId="0" applyFont="1" applyBorder="1" applyAlignment="1">
      <alignment horizontal="center"/>
    </xf>
    <xf numFmtId="169" fontId="15" fillId="0" borderId="89" xfId="0" applyNumberFormat="1" applyFont="1" applyBorder="1"/>
    <xf numFmtId="169" fontId="15" fillId="0" borderId="45" xfId="0" applyNumberFormat="1" applyFont="1" applyBorder="1"/>
    <xf numFmtId="0" fontId="15" fillId="0" borderId="86" xfId="0" applyFont="1" applyBorder="1" applyAlignment="1">
      <alignment horizontal="center" vertical="center" wrapText="1"/>
    </xf>
    <xf numFmtId="0" fontId="15" fillId="0" borderId="33" xfId="0" applyFont="1" applyBorder="1" applyAlignment="1">
      <alignment horizontal="left" indent="1"/>
    </xf>
    <xf numFmtId="0" fontId="15" fillId="0" borderId="11" xfId="0" applyFont="1" applyBorder="1" applyAlignment="1">
      <alignment horizontal="left" vertical="center"/>
    </xf>
    <xf numFmtId="0" fontId="15" fillId="0" borderId="33" xfId="0" applyFont="1" applyBorder="1" applyAlignment="1">
      <alignment vertical="center"/>
    </xf>
    <xf numFmtId="0" fontId="15" fillId="0" borderId="27" xfId="0" applyFont="1" applyBorder="1" applyAlignment="1">
      <alignment horizontal="left" vertical="center"/>
    </xf>
    <xf numFmtId="0" fontId="13" fillId="0" borderId="29" xfId="0" applyFont="1" applyBorder="1" applyAlignment="1">
      <alignment horizontal="center"/>
    </xf>
    <xf numFmtId="174" fontId="15" fillId="0" borderId="89" xfId="0" applyNumberFormat="1" applyFont="1" applyBorder="1"/>
    <xf numFmtId="174" fontId="15" fillId="0" borderId="87" xfId="0" applyNumberFormat="1" applyFont="1" applyBorder="1"/>
    <xf numFmtId="174" fontId="13" fillId="0" borderId="52" xfId="0" applyNumberFormat="1" applyFont="1" applyBorder="1"/>
    <xf numFmtId="0" fontId="15" fillId="0" borderId="77" xfId="0" applyFont="1" applyBorder="1" applyAlignment="1">
      <alignment horizontal="center" vertical="center" wrapText="1"/>
    </xf>
    <xf numFmtId="174" fontId="15" fillId="0" borderId="76" xfId="0" applyNumberFormat="1" applyFont="1" applyBorder="1"/>
    <xf numFmtId="174" fontId="15" fillId="0" borderId="77" xfId="0" applyNumberFormat="1" applyFont="1" applyBorder="1"/>
    <xf numFmtId="174" fontId="15" fillId="0" borderId="15" xfId="0" applyNumberFormat="1" applyFont="1" applyBorder="1"/>
    <xf numFmtId="174" fontId="13" fillId="0" borderId="15" xfId="0" applyNumberFormat="1" applyFont="1" applyBorder="1"/>
    <xf numFmtId="0" fontId="62" fillId="40" borderId="0" xfId="0" applyFont="1" applyFill="1"/>
    <xf numFmtId="0" fontId="63" fillId="40" borderId="0" xfId="0" applyFont="1" applyFill="1" applyAlignment="1">
      <alignment horizontal="right"/>
    </xf>
    <xf numFmtId="0" fontId="36" fillId="40" borderId="0" xfId="0" applyFont="1" applyFill="1"/>
    <xf numFmtId="0" fontId="64" fillId="40" borderId="0" xfId="0" applyFont="1" applyFill="1"/>
    <xf numFmtId="0" fontId="65" fillId="40" borderId="0" xfId="0" applyFont="1" applyFill="1" applyAlignment="1">
      <alignment horizontal="right"/>
    </xf>
    <xf numFmtId="49" fontId="64" fillId="40" borderId="0" xfId="0" applyNumberFormat="1" applyFont="1" applyFill="1" applyAlignment="1">
      <alignment horizontal="right"/>
    </xf>
    <xf numFmtId="49" fontId="65" fillId="40" borderId="0" xfId="0" applyNumberFormat="1" applyFont="1" applyFill="1" applyAlignment="1">
      <alignment horizontal="right"/>
    </xf>
    <xf numFmtId="0" fontId="64" fillId="40" borderId="0" xfId="0" applyFont="1" applyFill="1" applyAlignment="1">
      <alignment horizontal="right"/>
    </xf>
    <xf numFmtId="0" fontId="12" fillId="40" borderId="0" xfId="0" applyFont="1" applyFill="1" applyProtection="1">
      <protection locked="0"/>
    </xf>
    <xf numFmtId="0" fontId="15" fillId="0" borderId="0" xfId="0" applyFont="1" applyAlignment="1">
      <alignment horizontal="center" vertical="center"/>
    </xf>
    <xf numFmtId="0" fontId="15" fillId="0" borderId="0" xfId="0" applyFont="1" applyAlignment="1">
      <alignment horizontal="center" vertical="top" wrapText="1"/>
    </xf>
    <xf numFmtId="0" fontId="13" fillId="0" borderId="0" xfId="0" applyFont="1" applyAlignment="1">
      <alignment horizontal="left" indent="1"/>
    </xf>
    <xf numFmtId="173" fontId="13" fillId="0" borderId="0" xfId="1" applyNumberFormat="1" applyFont="1"/>
    <xf numFmtId="170" fontId="15" fillId="0" borderId="0" xfId="0" applyNumberFormat="1" applyFont="1"/>
    <xf numFmtId="0" fontId="13" fillId="0" borderId="0" xfId="0" quotePrefix="1" applyFont="1" applyAlignment="1">
      <alignment horizontal="center"/>
    </xf>
    <xf numFmtId="175" fontId="13" fillId="0" borderId="0" xfId="0" applyNumberFormat="1" applyFont="1" applyProtection="1">
      <protection locked="0"/>
    </xf>
    <xf numFmtId="0" fontId="13" fillId="0" borderId="0" xfId="1" applyNumberFormat="1" applyFont="1" applyAlignment="1" applyProtection="1">
      <alignment horizontal="center"/>
      <protection locked="0"/>
    </xf>
    <xf numFmtId="173" fontId="13" fillId="0" borderId="0" xfId="1" applyNumberFormat="1" applyFont="1" applyProtection="1">
      <protection locked="0"/>
    </xf>
    <xf numFmtId="173" fontId="13" fillId="0" borderId="0" xfId="0" applyNumberFormat="1" applyFont="1" applyProtection="1">
      <protection locked="0"/>
    </xf>
    <xf numFmtId="0" fontId="15" fillId="0" borderId="0" xfId="0" applyFont="1" applyAlignment="1">
      <alignment horizontal="center"/>
    </xf>
    <xf numFmtId="173" fontId="15" fillId="0" borderId="0" xfId="0" applyNumberFormat="1" applyFont="1" applyProtection="1">
      <protection locked="0"/>
    </xf>
    <xf numFmtId="177" fontId="13" fillId="0" borderId="0" xfId="1" applyNumberFormat="1" applyFont="1" applyProtection="1">
      <protection locked="0"/>
    </xf>
    <xf numFmtId="171" fontId="13" fillId="0" borderId="0" xfId="7" applyNumberFormat="1" applyFont="1" applyAlignment="1" applyProtection="1">
      <alignment horizontal="center"/>
      <protection locked="0"/>
    </xf>
    <xf numFmtId="174" fontId="13" fillId="0" borderId="0" xfId="1" applyNumberFormat="1" applyFont="1" applyProtection="1">
      <protection locked="0"/>
    </xf>
    <xf numFmtId="0" fontId="15" fillId="0" borderId="52" xfId="0" applyFont="1" applyBorder="1" applyAlignment="1">
      <alignment horizontal="center" vertical="center" wrapText="1"/>
    </xf>
    <xf numFmtId="0" fontId="6" fillId="28" borderId="0" xfId="0" applyFont="1" applyFill="1" applyAlignment="1">
      <alignment horizontal="left" indent="1"/>
    </xf>
    <xf numFmtId="0" fontId="3" fillId="0" borderId="0" xfId="0" applyFont="1" applyAlignment="1">
      <alignment horizontal="left" indent="1"/>
    </xf>
    <xf numFmtId="0" fontId="15" fillId="0" borderId="45" xfId="0" applyFont="1" applyBorder="1" applyAlignment="1" applyProtection="1">
      <alignment vertical="top"/>
      <protection locked="0"/>
    </xf>
    <xf numFmtId="0" fontId="13" fillId="0" borderId="45" xfId="0" applyFont="1" applyBorder="1" applyAlignment="1" applyProtection="1">
      <alignment vertical="top" wrapText="1"/>
      <protection locked="0"/>
    </xf>
    <xf numFmtId="0" fontId="13" fillId="0" borderId="102" xfId="0" applyFont="1" applyBorder="1" applyAlignment="1" applyProtection="1">
      <alignment vertical="top" wrapText="1"/>
      <protection locked="0"/>
    </xf>
    <xf numFmtId="0" fontId="15" fillId="0" borderId="14" xfId="0" applyFont="1" applyBorder="1"/>
    <xf numFmtId="0" fontId="15" fillId="0" borderId="82" xfId="0" applyFont="1" applyBorder="1"/>
    <xf numFmtId="0" fontId="15" fillId="0" borderId="48" xfId="0" applyFont="1" applyBorder="1" applyAlignment="1" applyProtection="1">
      <alignment vertical="top"/>
      <protection locked="0"/>
    </xf>
    <xf numFmtId="0" fontId="15" fillId="0" borderId="102" xfId="0" applyFont="1" applyBorder="1" applyAlignment="1" applyProtection="1">
      <alignment horizontal="center" vertical="top" wrapText="1"/>
      <protection locked="0"/>
    </xf>
    <xf numFmtId="0" fontId="64" fillId="40" borderId="0" xfId="0" applyFont="1" applyFill="1" applyProtection="1">
      <protection locked="0"/>
    </xf>
    <xf numFmtId="0" fontId="64" fillId="40" borderId="11" xfId="0" applyFont="1" applyFill="1" applyBorder="1" applyAlignment="1" applyProtection="1">
      <alignment horizontal="left" indent="1"/>
      <protection locked="0"/>
    </xf>
    <xf numFmtId="0" fontId="18" fillId="0" borderId="61" xfId="0" applyFont="1" applyBorder="1" applyAlignment="1">
      <alignment horizontal="center"/>
    </xf>
    <xf numFmtId="0" fontId="18" fillId="0" borderId="62" xfId="0" applyFont="1" applyBorder="1" applyAlignment="1">
      <alignment horizontal="center"/>
    </xf>
    <xf numFmtId="0" fontId="8" fillId="0" borderId="14" xfId="0" applyFont="1" applyBorder="1" applyAlignment="1">
      <alignment horizontal="center"/>
    </xf>
    <xf numFmtId="0" fontId="13" fillId="0" borderId="26" xfId="0" applyFont="1" applyBorder="1" applyAlignment="1">
      <alignment horizontal="left" vertical="top" wrapText="1"/>
    </xf>
    <xf numFmtId="0" fontId="17" fillId="0" borderId="23" xfId="0" applyFont="1" applyBorder="1" applyAlignment="1">
      <alignment horizontal="left" wrapText="1"/>
    </xf>
    <xf numFmtId="0" fontId="13" fillId="0" borderId="23" xfId="0" applyFont="1" applyBorder="1" applyAlignment="1">
      <alignment horizontal="left" vertical="top" wrapText="1"/>
    </xf>
    <xf numFmtId="0" fontId="13" fillId="0" borderId="85" xfId="0" applyFont="1" applyBorder="1" applyAlignment="1">
      <alignment horizontal="center" vertical="top" wrapText="1"/>
    </xf>
    <xf numFmtId="0" fontId="13" fillId="0" borderId="58" xfId="0" applyFont="1" applyBorder="1" applyAlignment="1">
      <alignment horizontal="left" vertical="top" wrapText="1"/>
    </xf>
    <xf numFmtId="0" fontId="15" fillId="0" borderId="11" xfId="0" applyFont="1" applyBorder="1" applyAlignment="1" applyProtection="1">
      <alignment horizontal="left" vertical="top" wrapText="1" indent="1"/>
      <protection locked="0"/>
    </xf>
    <xf numFmtId="0" fontId="13" fillId="0" borderId="10" xfId="0" applyFont="1" applyBorder="1" applyAlignment="1" applyProtection="1">
      <alignment horizontal="center" vertical="top" wrapText="1"/>
      <protection locked="0"/>
    </xf>
    <xf numFmtId="0" fontId="13" fillId="0" borderId="23" xfId="0" applyFont="1" applyBorder="1" applyAlignment="1" applyProtection="1">
      <alignment horizontal="left" vertical="top" wrapText="1"/>
      <protection locked="0"/>
    </xf>
    <xf numFmtId="165" fontId="13" fillId="0" borderId="11" xfId="1" applyNumberFormat="1" applyFont="1" applyBorder="1" applyAlignment="1">
      <alignment horizontal="center" vertical="top" wrapText="1"/>
    </xf>
    <xf numFmtId="165" fontId="13" fillId="0" borderId="22" xfId="1" applyNumberFormat="1" applyFont="1" applyBorder="1" applyAlignment="1">
      <alignment horizontal="center" vertical="top" wrapText="1"/>
    </xf>
    <xf numFmtId="165" fontId="13" fillId="0" borderId="53" xfId="1" applyNumberFormat="1" applyFont="1" applyBorder="1" applyAlignment="1">
      <alignment horizontal="center" vertical="top" wrapText="1"/>
    </xf>
    <xf numFmtId="165" fontId="13" fillId="0" borderId="10" xfId="1" applyNumberFormat="1" applyFont="1" applyBorder="1" applyAlignment="1">
      <alignment horizontal="center" vertical="top" wrapText="1"/>
    </xf>
    <xf numFmtId="165" fontId="13" fillId="0" borderId="0" xfId="1" applyNumberFormat="1" applyFont="1" applyAlignment="1">
      <alignment horizontal="center" vertical="top" wrapText="1"/>
    </xf>
    <xf numFmtId="165" fontId="13" fillId="0" borderId="23" xfId="1" applyNumberFormat="1" applyFont="1" applyBorder="1" applyAlignment="1">
      <alignment horizontal="center" vertical="top" wrapText="1"/>
    </xf>
    <xf numFmtId="0" fontId="15" fillId="0" borderId="54" xfId="0" applyFont="1" applyBorder="1" applyAlignment="1" applyProtection="1">
      <alignment horizontal="left" vertical="top" wrapText="1" indent="1"/>
      <protection locked="0"/>
    </xf>
    <xf numFmtId="0" fontId="13" fillId="0" borderId="85" xfId="0" applyFont="1" applyBorder="1" applyAlignment="1" applyProtection="1">
      <alignment horizontal="center" vertical="top" wrapText="1"/>
      <protection locked="0"/>
    </xf>
    <xf numFmtId="0" fontId="13" fillId="0" borderId="58" xfId="0" applyFont="1" applyBorder="1" applyAlignment="1" applyProtection="1">
      <alignment horizontal="left" vertical="top" wrapText="1"/>
      <protection locked="0"/>
    </xf>
    <xf numFmtId="165" fontId="13" fillId="0" borderId="76" xfId="1" applyNumberFormat="1" applyFont="1" applyBorder="1" applyAlignment="1">
      <alignment horizontal="left" vertical="top" wrapText="1"/>
    </xf>
    <xf numFmtId="165" fontId="13" fillId="0" borderId="75" xfId="1" applyNumberFormat="1" applyFont="1" applyBorder="1" applyAlignment="1">
      <alignment horizontal="left" vertical="top" wrapText="1"/>
    </xf>
    <xf numFmtId="165" fontId="13" fillId="0" borderId="48" xfId="1" applyNumberFormat="1" applyFont="1" applyBorder="1" applyAlignment="1">
      <alignment horizontal="center" vertical="top" wrapText="1"/>
    </xf>
    <xf numFmtId="165" fontId="13" fillId="0" borderId="46" xfId="1" applyNumberFormat="1" applyFont="1" applyBorder="1" applyAlignment="1">
      <alignment horizontal="center" vertical="top" wrapText="1"/>
    </xf>
    <xf numFmtId="165" fontId="13" fillId="0" borderId="89" xfId="1" applyNumberFormat="1" applyFont="1" applyBorder="1" applyAlignment="1">
      <alignment horizontal="center" vertical="top" wrapText="1"/>
    </xf>
    <xf numFmtId="165" fontId="13" fillId="0" borderId="76" xfId="1" applyNumberFormat="1" applyFont="1" applyBorder="1" applyAlignment="1">
      <alignment horizontal="center" vertical="top" wrapText="1"/>
    </xf>
    <xf numFmtId="165" fontId="13" fillId="0" borderId="45" xfId="1" applyNumberFormat="1" applyFont="1" applyBorder="1" applyAlignment="1">
      <alignment horizontal="center" vertical="top" wrapText="1"/>
    </xf>
    <xf numFmtId="165" fontId="13" fillId="0" borderId="47" xfId="1" applyNumberFormat="1" applyFont="1" applyBorder="1" applyAlignment="1">
      <alignment horizontal="center" vertical="top" wrapText="1"/>
    </xf>
    <xf numFmtId="0" fontId="13" fillId="0" borderId="13" xfId="0" applyFont="1" applyBorder="1" applyAlignment="1">
      <alignment horizontal="center" vertical="top" wrapText="1"/>
    </xf>
    <xf numFmtId="0" fontId="13" fillId="0" borderId="24" xfId="0" applyFont="1" applyBorder="1" applyAlignment="1">
      <alignment horizontal="left" vertical="top" wrapText="1"/>
    </xf>
    <xf numFmtId="0" fontId="27" fillId="0" borderId="0" xfId="0" applyFont="1"/>
    <xf numFmtId="174" fontId="8" fillId="0" borderId="15" xfId="0" applyNumberFormat="1" applyFont="1" applyBorder="1" applyAlignment="1" applyProtection="1">
      <alignment horizontal="center"/>
      <protection locked="0"/>
    </xf>
    <xf numFmtId="0" fontId="13" fillId="0" borderId="27" xfId="0" applyFont="1" applyBorder="1"/>
    <xf numFmtId="0" fontId="13" fillId="0" borderId="26" xfId="0" applyFont="1" applyBorder="1"/>
    <xf numFmtId="0" fontId="13" fillId="0" borderId="13" xfId="0" applyFont="1" applyBorder="1" applyAlignment="1">
      <alignment horizontal="center"/>
    </xf>
    <xf numFmtId="0" fontId="15" fillId="0" borderId="33" xfId="0" applyFont="1" applyBorder="1" applyAlignment="1">
      <alignment horizontal="center" vertical="center" wrapText="1"/>
    </xf>
    <xf numFmtId="0" fontId="13" fillId="0" borderId="10" xfId="0" applyFont="1" applyBorder="1" applyAlignment="1">
      <alignment horizontal="center"/>
    </xf>
    <xf numFmtId="174" fontId="8" fillId="0" borderId="25" xfId="0" applyNumberFormat="1" applyFont="1" applyBorder="1" applyProtection="1">
      <protection locked="0"/>
    </xf>
    <xf numFmtId="174" fontId="8" fillId="0" borderId="61" xfId="0" applyNumberFormat="1" applyFont="1" applyBorder="1" applyProtection="1">
      <protection locked="0"/>
    </xf>
    <xf numFmtId="0" fontId="21" fillId="0" borderId="0" xfId="0" applyFont="1" applyAlignment="1">
      <alignment horizontal="left"/>
    </xf>
    <xf numFmtId="0" fontId="18" fillId="0" borderId="0" xfId="0" applyFont="1" applyAlignment="1">
      <alignment horizontal="right" indent="1"/>
    </xf>
    <xf numFmtId="0" fontId="15" fillId="0" borderId="0" xfId="0" applyFont="1" applyAlignment="1">
      <alignment horizontal="left"/>
    </xf>
    <xf numFmtId="0" fontId="13" fillId="0" borderId="59" xfId="0" applyFont="1" applyBorder="1"/>
    <xf numFmtId="174" fontId="15" fillId="38" borderId="14" xfId="0" applyNumberFormat="1" applyFont="1" applyFill="1" applyBorder="1" applyProtection="1">
      <protection locked="0"/>
    </xf>
    <xf numFmtId="174" fontId="15" fillId="0" borderId="0" xfId="0" applyNumberFormat="1" applyFont="1" applyProtection="1">
      <protection locked="0"/>
    </xf>
    <xf numFmtId="0" fontId="15" fillId="0" borderId="18" xfId="0" applyFont="1" applyBorder="1" applyAlignment="1">
      <alignment horizontal="center" vertical="top" wrapText="1"/>
    </xf>
    <xf numFmtId="0" fontId="15" fillId="0" borderId="21" xfId="0" applyFont="1" applyBorder="1" applyAlignment="1">
      <alignment horizontal="center" vertical="top" wrapText="1"/>
    </xf>
    <xf numFmtId="0" fontId="15" fillId="0" borderId="103" xfId="0" applyFont="1" applyBorder="1" applyAlignment="1">
      <alignment horizontal="center" vertical="top" wrapText="1"/>
    </xf>
    <xf numFmtId="0" fontId="15" fillId="0" borderId="71" xfId="0" applyFont="1" applyBorder="1" applyAlignment="1">
      <alignment horizontal="center" vertical="top" wrapText="1"/>
    </xf>
    <xf numFmtId="0" fontId="15" fillId="0" borderId="87" xfId="0" applyFont="1" applyBorder="1" applyAlignment="1">
      <alignment horizontal="center" vertical="top" wrapText="1"/>
    </xf>
    <xf numFmtId="0" fontId="15" fillId="0" borderId="77" xfId="0" applyFont="1" applyBorder="1" applyAlignment="1">
      <alignment horizontal="center" vertical="top" wrapText="1"/>
    </xf>
    <xf numFmtId="0" fontId="15" fillId="0" borderId="42" xfId="0" applyFont="1" applyBorder="1" applyAlignment="1">
      <alignment horizontal="center" vertical="top" wrapText="1"/>
    </xf>
    <xf numFmtId="0" fontId="15" fillId="0" borderId="73" xfId="0" applyFont="1" applyBorder="1" applyAlignment="1">
      <alignment horizontal="center" vertical="top" wrapText="1"/>
    </xf>
    <xf numFmtId="0" fontId="13" fillId="0" borderId="58" xfId="0" applyFont="1" applyBorder="1" applyAlignment="1">
      <alignment horizontal="center"/>
    </xf>
    <xf numFmtId="0" fontId="13" fillId="0" borderId="24" xfId="0" applyFont="1" applyBorder="1" applyAlignment="1">
      <alignment horizontal="center"/>
    </xf>
    <xf numFmtId="0" fontId="13" fillId="0" borderId="11" xfId="0" applyFont="1" applyBorder="1" applyAlignment="1" applyProtection="1">
      <alignment horizontal="left" vertical="top" wrapText="1" indent="1"/>
      <protection locked="0"/>
    </xf>
    <xf numFmtId="0" fontId="18" fillId="0" borderId="54" xfId="0" applyFont="1" applyBorder="1" applyAlignment="1" applyProtection="1">
      <alignment horizontal="left" vertical="top" wrapText="1" indent="1"/>
      <protection locked="0"/>
    </xf>
    <xf numFmtId="0" fontId="13" fillId="0" borderId="15" xfId="0" applyFont="1" applyBorder="1" applyAlignment="1">
      <alignment horizontal="center" wrapText="1"/>
    </xf>
    <xf numFmtId="0" fontId="13" fillId="0" borderId="10" xfId="0" applyFont="1" applyBorder="1" applyAlignment="1">
      <alignment horizontal="center" wrapText="1"/>
    </xf>
    <xf numFmtId="174" fontId="13" fillId="0" borderId="86" xfId="0" applyNumberFormat="1" applyFont="1" applyBorder="1"/>
    <xf numFmtId="0" fontId="15" fillId="0" borderId="25" xfId="0" applyFont="1" applyBorder="1" applyAlignment="1">
      <alignment vertical="center" wrapText="1"/>
    </xf>
    <xf numFmtId="0" fontId="15" fillId="0" borderId="61" xfId="0" applyFont="1" applyBorder="1" applyAlignment="1">
      <alignment vertical="center" wrapText="1"/>
    </xf>
    <xf numFmtId="0" fontId="15" fillId="0" borderId="92" xfId="0" applyFont="1" applyBorder="1" applyAlignment="1">
      <alignment vertical="center" wrapText="1"/>
    </xf>
    <xf numFmtId="0" fontId="16" fillId="0" borderId="12" xfId="0" applyFont="1" applyBorder="1"/>
    <xf numFmtId="0" fontId="18" fillId="0" borderId="17" xfId="0" applyFont="1" applyBorder="1" applyAlignment="1">
      <alignment horizontal="center"/>
    </xf>
    <xf numFmtId="168" fontId="18" fillId="0" borderId="17" xfId="7" applyNumberFormat="1" applyFont="1" applyBorder="1" applyAlignment="1">
      <alignment horizontal="center"/>
    </xf>
    <xf numFmtId="168" fontId="18" fillId="0" borderId="24" xfId="7" applyNumberFormat="1" applyFont="1" applyBorder="1" applyAlignment="1">
      <alignment horizontal="center"/>
    </xf>
    <xf numFmtId="168" fontId="18" fillId="0" borderId="12" xfId="7" applyNumberFormat="1" applyFont="1" applyBorder="1" applyAlignment="1">
      <alignment horizontal="center"/>
    </xf>
    <xf numFmtId="168" fontId="18" fillId="0" borderId="14" xfId="7" applyNumberFormat="1" applyFont="1" applyBorder="1" applyAlignment="1">
      <alignment horizontal="center"/>
    </xf>
    <xf numFmtId="168" fontId="18" fillId="0" borderId="50" xfId="7" applyNumberFormat="1" applyFont="1" applyBorder="1" applyAlignment="1">
      <alignment horizontal="center"/>
    </xf>
    <xf numFmtId="0" fontId="16" fillId="0" borderId="16" xfId="0" applyFont="1" applyBorder="1"/>
    <xf numFmtId="168" fontId="18" fillId="0" borderId="25" xfId="7" applyNumberFormat="1" applyFont="1" applyBorder="1" applyAlignment="1">
      <alignment horizontal="center"/>
    </xf>
    <xf numFmtId="168" fontId="18" fillId="0" borderId="26" xfId="7" applyNumberFormat="1" applyFont="1" applyBorder="1" applyAlignment="1">
      <alignment horizontal="center"/>
    </xf>
    <xf numFmtId="168" fontId="18" fillId="0" borderId="16" xfId="7" applyNumberFormat="1" applyFont="1" applyBorder="1" applyAlignment="1">
      <alignment horizontal="center"/>
    </xf>
    <xf numFmtId="168" fontId="18" fillId="0" borderId="27" xfId="7" applyNumberFormat="1" applyFont="1" applyBorder="1" applyAlignment="1">
      <alignment horizontal="center"/>
    </xf>
    <xf numFmtId="168" fontId="18" fillId="0" borderId="29" xfId="7" applyNumberFormat="1" applyFont="1" applyBorder="1" applyAlignment="1">
      <alignment horizontal="center"/>
    </xf>
    <xf numFmtId="9" fontId="13" fillId="0" borderId="0" xfId="7" applyFont="1" applyAlignment="1" applyProtection="1">
      <alignment horizontal="center"/>
      <protection locked="0"/>
    </xf>
    <xf numFmtId="0" fontId="13" fillId="0" borderId="53" xfId="0" applyFont="1" applyBorder="1" applyAlignment="1" applyProtection="1">
      <alignment horizontal="center"/>
      <protection locked="0"/>
    </xf>
    <xf numFmtId="0" fontId="15" fillId="0" borderId="25" xfId="0" applyFont="1" applyBorder="1" applyAlignment="1">
      <alignment horizontal="center" wrapText="1"/>
    </xf>
    <xf numFmtId="174" fontId="15" fillId="0" borderId="10" xfId="0" applyNumberFormat="1" applyFont="1" applyBorder="1" applyAlignment="1">
      <alignment horizontal="right"/>
    </xf>
    <xf numFmtId="174" fontId="15" fillId="0" borderId="68" xfId="0" applyNumberFormat="1" applyFont="1" applyBorder="1" applyAlignment="1">
      <alignment horizontal="right"/>
    </xf>
    <xf numFmtId="174" fontId="15" fillId="0" borderId="53" xfId="0" applyNumberFormat="1" applyFont="1" applyBorder="1" applyAlignment="1">
      <alignment horizontal="right"/>
    </xf>
    <xf numFmtId="174" fontId="15" fillId="0" borderId="86" xfId="0" applyNumberFormat="1" applyFont="1" applyBorder="1" applyAlignment="1">
      <alignment horizontal="right"/>
    </xf>
    <xf numFmtId="174" fontId="15" fillId="0" borderId="62" xfId="0" applyNumberFormat="1" applyFont="1" applyBorder="1" applyAlignment="1">
      <alignment horizontal="right"/>
    </xf>
    <xf numFmtId="174" fontId="13" fillId="0" borderId="83" xfId="0" applyNumberFormat="1" applyFont="1" applyBorder="1"/>
    <xf numFmtId="0" fontId="15" fillId="0" borderId="87" xfId="0" applyFont="1" applyBorder="1" applyAlignment="1">
      <alignment horizontal="center" vertical="center" wrapText="1"/>
    </xf>
    <xf numFmtId="175" fontId="13" fillId="38" borderId="11" xfId="0" applyNumberFormat="1" applyFont="1" applyFill="1" applyBorder="1" applyProtection="1">
      <protection locked="0"/>
    </xf>
    <xf numFmtId="175" fontId="13" fillId="0" borderId="30" xfId="0" applyNumberFormat="1" applyFont="1" applyBorder="1"/>
    <xf numFmtId="175" fontId="13" fillId="0" borderId="35" xfId="0" applyNumberFormat="1" applyFont="1" applyBorder="1"/>
    <xf numFmtId="175" fontId="13" fillId="0" borderId="36" xfId="0" applyNumberFormat="1" applyFont="1" applyBorder="1"/>
    <xf numFmtId="175" fontId="13" fillId="0" borderId="34" xfId="0" applyNumberFormat="1" applyFont="1" applyBorder="1"/>
    <xf numFmtId="175" fontId="13" fillId="0" borderId="37" xfId="0" applyNumberFormat="1" applyFont="1" applyBorder="1"/>
    <xf numFmtId="175" fontId="13" fillId="0" borderId="46" xfId="0" applyNumberFormat="1" applyFont="1" applyBorder="1"/>
    <xf numFmtId="175" fontId="13" fillId="0" borderId="47" xfId="0" applyNumberFormat="1" applyFont="1" applyBorder="1"/>
    <xf numFmtId="175" fontId="13" fillId="0" borderId="48" xfId="0" applyNumberFormat="1" applyFont="1" applyBorder="1"/>
    <xf numFmtId="175" fontId="13" fillId="0" borderId="45" xfId="0" applyNumberFormat="1" applyFont="1" applyBorder="1"/>
    <xf numFmtId="175" fontId="13" fillId="0" borderId="49" xfId="0" applyNumberFormat="1" applyFont="1" applyBorder="1"/>
    <xf numFmtId="175" fontId="15" fillId="0" borderId="30" xfId="0" applyNumberFormat="1" applyFont="1" applyBorder="1"/>
    <xf numFmtId="175" fontId="15" fillId="0" borderId="35" xfId="0" applyNumberFormat="1" applyFont="1" applyBorder="1"/>
    <xf numFmtId="175" fontId="15" fillId="0" borderId="36" xfId="0" applyNumberFormat="1" applyFont="1" applyBorder="1"/>
    <xf numFmtId="175" fontId="15" fillId="0" borderId="34" xfId="0" applyNumberFormat="1" applyFont="1" applyBorder="1"/>
    <xf numFmtId="175" fontId="15" fillId="0" borderId="37" xfId="0" applyNumberFormat="1" applyFont="1" applyBorder="1"/>
    <xf numFmtId="175" fontId="13" fillId="0" borderId="22" xfId="0" applyNumberFormat="1" applyFont="1" applyBorder="1"/>
    <xf numFmtId="175" fontId="13" fillId="0" borderId="23" xfId="0" applyNumberFormat="1" applyFont="1" applyBorder="1"/>
    <xf numFmtId="175" fontId="13" fillId="0" borderId="11" xfId="0" applyNumberFormat="1" applyFont="1" applyBorder="1"/>
    <xf numFmtId="175" fontId="13" fillId="0" borderId="0" xfId="0" applyNumberFormat="1" applyFont="1"/>
    <xf numFmtId="175" fontId="13" fillId="0" borderId="33" xfId="0" applyNumberFormat="1" applyFont="1" applyBorder="1"/>
    <xf numFmtId="175" fontId="13" fillId="38" borderId="54" xfId="0" applyNumberFormat="1" applyFont="1" applyFill="1" applyBorder="1" applyProtection="1">
      <protection locked="0"/>
    </xf>
    <xf numFmtId="175" fontId="13" fillId="38" borderId="59" xfId="0" applyNumberFormat="1" applyFont="1" applyFill="1" applyBorder="1" applyProtection="1">
      <protection locked="0"/>
    </xf>
    <xf numFmtId="0" fontId="15" fillId="0" borderId="22" xfId="0" applyFont="1" applyBorder="1"/>
    <xf numFmtId="0" fontId="15" fillId="0" borderId="23" xfId="0" applyFont="1" applyBorder="1"/>
    <xf numFmtId="0" fontId="13" fillId="0" borderId="0" xfId="0" applyFont="1" applyAlignment="1">
      <alignment horizontal="left" indent="2"/>
    </xf>
    <xf numFmtId="0" fontId="31" fillId="0" borderId="11" xfId="0" applyFont="1" applyBorder="1" applyAlignment="1">
      <alignment horizontal="center"/>
    </xf>
    <xf numFmtId="0" fontId="15" fillId="0" borderId="17" xfId="0" quotePrefix="1" applyFont="1" applyBorder="1" applyAlignment="1">
      <alignment horizontal="center" vertical="center" wrapText="1"/>
    </xf>
    <xf numFmtId="0" fontId="15" fillId="0" borderId="25" xfId="0" applyFont="1" applyBorder="1" applyAlignment="1">
      <alignment horizontal="right" wrapText="1"/>
    </xf>
    <xf numFmtId="0" fontId="10" fillId="0" borderId="12" xfId="0" applyFont="1" applyBorder="1" applyAlignment="1">
      <alignment horizontal="left"/>
    </xf>
    <xf numFmtId="0" fontId="15" fillId="0" borderId="18" xfId="0" applyFont="1" applyBorder="1" applyAlignment="1">
      <alignment horizontal="centerContinuous" vertical="center" wrapText="1"/>
    </xf>
    <xf numFmtId="165" fontId="13" fillId="0" borderId="25" xfId="1" applyNumberFormat="1" applyFont="1" applyBorder="1" applyAlignment="1">
      <alignment vertical="top" wrapText="1"/>
    </xf>
    <xf numFmtId="165" fontId="13" fillId="0" borderId="26" xfId="1" applyNumberFormat="1" applyFont="1" applyBorder="1" applyAlignment="1">
      <alignment vertical="top" wrapText="1"/>
    </xf>
    <xf numFmtId="165" fontId="13" fillId="0" borderId="16" xfId="1" applyNumberFormat="1" applyFont="1" applyBorder="1" applyAlignment="1">
      <alignment vertical="top" wrapText="1"/>
    </xf>
    <xf numFmtId="0" fontId="13" fillId="0" borderId="11" xfId="0" applyFont="1" applyBorder="1" applyAlignment="1">
      <alignment horizontal="left" wrapText="1" indent="2"/>
    </xf>
    <xf numFmtId="165" fontId="13" fillId="0" borderId="22" xfId="1" applyNumberFormat="1" applyFont="1" applyBorder="1" applyAlignment="1">
      <alignment vertical="top" wrapText="1"/>
    </xf>
    <xf numFmtId="165" fontId="13" fillId="0" borderId="23" xfId="1" applyNumberFormat="1" applyFont="1" applyBorder="1" applyAlignment="1">
      <alignment vertical="top" wrapText="1"/>
    </xf>
    <xf numFmtId="165" fontId="13" fillId="0" borderId="11" xfId="1" applyNumberFormat="1" applyFont="1" applyBorder="1" applyAlignment="1">
      <alignment vertical="top" wrapText="1"/>
    </xf>
    <xf numFmtId="0" fontId="16" fillId="0" borderId="11" xfId="0" applyFont="1" applyBorder="1" applyAlignment="1">
      <alignment horizontal="left" wrapText="1" indent="1"/>
    </xf>
    <xf numFmtId="178" fontId="13" fillId="0" borderId="33" xfId="1" applyNumberFormat="1" applyFont="1" applyBorder="1" applyAlignment="1">
      <alignment vertical="top" wrapText="1"/>
    </xf>
    <xf numFmtId="165" fontId="15" fillId="0" borderId="22" xfId="1" applyNumberFormat="1" applyFont="1" applyBorder="1" applyAlignment="1">
      <alignment vertical="top" wrapText="1"/>
    </xf>
    <xf numFmtId="165" fontId="15" fillId="0" borderId="23" xfId="1" applyNumberFormat="1" applyFont="1" applyBorder="1" applyAlignment="1">
      <alignment vertical="top" wrapText="1"/>
    </xf>
    <xf numFmtId="165" fontId="15" fillId="0" borderId="11" xfId="1" applyNumberFormat="1" applyFont="1" applyBorder="1" applyAlignment="1">
      <alignment vertical="top" wrapText="1"/>
    </xf>
    <xf numFmtId="0" fontId="13" fillId="0" borderId="11" xfId="0" applyFont="1" applyBorder="1" applyAlignment="1">
      <alignment horizontal="left" vertical="top" wrapText="1" indent="2"/>
    </xf>
    <xf numFmtId="165" fontId="13" fillId="0" borderId="17" xfId="1" applyNumberFormat="1" applyFont="1" applyBorder="1" applyAlignment="1">
      <alignment horizontal="center" vertical="top" wrapText="1"/>
    </xf>
    <xf numFmtId="165" fontId="13" fillId="0" borderId="24" xfId="1" applyNumberFormat="1" applyFont="1" applyBorder="1" applyAlignment="1">
      <alignment horizontal="center" vertical="top" wrapText="1"/>
    </xf>
    <xf numFmtId="165" fontId="13" fillId="0" borderId="12" xfId="1" applyNumberFormat="1" applyFont="1" applyBorder="1" applyAlignment="1">
      <alignment horizontal="center" vertical="top" wrapText="1"/>
    </xf>
    <xf numFmtId="0" fontId="18" fillId="0" borderId="0" xfId="4" applyFont="1" applyAlignment="1" applyProtection="1">
      <alignment horizont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Continuous" vertical="center" wrapText="1"/>
      <protection locked="0"/>
    </xf>
    <xf numFmtId="0" fontId="13" fillId="0" borderId="0" xfId="0" applyFont="1" applyAlignment="1" applyProtection="1">
      <alignment horizontal="center" vertical="top" wrapText="1"/>
      <protection locked="0"/>
    </xf>
    <xf numFmtId="165" fontId="13" fillId="0" borderId="0" xfId="1" applyNumberFormat="1" applyFont="1" applyAlignment="1" applyProtection="1">
      <alignment vertical="top" wrapText="1"/>
      <protection locked="0"/>
    </xf>
    <xf numFmtId="0" fontId="13" fillId="0" borderId="0" xfId="0" applyFont="1" applyAlignment="1" applyProtection="1">
      <alignment horizontal="left" indent="1"/>
      <protection locked="0"/>
    </xf>
    <xf numFmtId="0" fontId="17" fillId="0" borderId="0" xfId="0" applyFont="1" applyAlignment="1" applyProtection="1">
      <alignment horizontal="left" wrapText="1"/>
      <protection locked="0"/>
    </xf>
    <xf numFmtId="0" fontId="18" fillId="0" borderId="0" xfId="1" applyNumberFormat="1" applyFont="1" applyAlignment="1" applyProtection="1">
      <alignment vertical="top" wrapText="1"/>
      <protection locked="0"/>
    </xf>
    <xf numFmtId="0" fontId="13" fillId="0" borderId="0" xfId="1" applyNumberFormat="1" applyFont="1" applyProtection="1">
      <protection locked="0"/>
    </xf>
    <xf numFmtId="0" fontId="13" fillId="0" borderId="0" xfId="1" applyNumberFormat="1" applyFont="1"/>
    <xf numFmtId="0" fontId="13" fillId="0" borderId="0" xfId="1" applyNumberFormat="1" applyFont="1" applyAlignment="1" applyProtection="1">
      <alignment vertical="top" wrapText="1"/>
      <protection locked="0"/>
    </xf>
    <xf numFmtId="0" fontId="13" fillId="0" borderId="0" xfId="7" applyNumberFormat="1" applyFont="1" applyAlignment="1" applyProtection="1">
      <alignment horizontal="center"/>
      <protection locked="0"/>
    </xf>
    <xf numFmtId="0" fontId="13" fillId="0" borderId="0" xfId="0" applyFont="1" applyAlignment="1">
      <alignment horizontal="left" wrapText="1" indent="2"/>
    </xf>
    <xf numFmtId="165" fontId="13" fillId="0" borderId="0" xfId="1" applyNumberFormat="1" applyFont="1" applyAlignment="1">
      <alignment vertical="top" wrapText="1"/>
    </xf>
    <xf numFmtId="0" fontId="16" fillId="0" borderId="0" xfId="0" applyFont="1" applyAlignment="1">
      <alignment horizontal="left" indent="1"/>
    </xf>
    <xf numFmtId="0" fontId="16" fillId="0" borderId="0" xfId="0" applyFont="1" applyAlignment="1">
      <alignment horizontal="left" wrapText="1" indent="1"/>
    </xf>
    <xf numFmtId="0" fontId="17" fillId="0" borderId="0" xfId="0" applyFont="1" applyAlignment="1">
      <alignment horizontal="left" wrapText="1"/>
    </xf>
    <xf numFmtId="0" fontId="18" fillId="0" borderId="17" xfId="1" applyNumberFormat="1" applyFont="1" applyBorder="1" applyAlignment="1" applyProtection="1">
      <alignment vertical="top" wrapText="1"/>
      <protection locked="0"/>
    </xf>
    <xf numFmtId="165" fontId="13" fillId="0" borderId="17" xfId="1" applyNumberFormat="1" applyFont="1" applyBorder="1" applyAlignment="1">
      <alignment vertical="top" wrapText="1"/>
    </xf>
    <xf numFmtId="165" fontId="13" fillId="0" borderId="24" xfId="1" applyNumberFormat="1" applyFont="1" applyBorder="1" applyAlignment="1">
      <alignment vertical="top" wrapText="1"/>
    </xf>
    <xf numFmtId="165" fontId="13" fillId="0" borderId="12" xfId="1" applyNumberFormat="1" applyFont="1" applyBorder="1" applyAlignment="1">
      <alignment vertical="top"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3" fillId="0" borderId="11" xfId="0" applyFont="1" applyBorder="1" applyProtection="1">
      <protection locked="0"/>
    </xf>
    <xf numFmtId="0" fontId="13" fillId="0" borderId="11" xfId="0" applyFont="1" applyBorder="1" applyAlignment="1" applyProtection="1">
      <alignment horizontal="left" wrapText="1" indent="2"/>
      <protection locked="0"/>
    </xf>
    <xf numFmtId="0" fontId="13" fillId="0" borderId="68" xfId="0" applyFont="1" applyBorder="1" applyAlignment="1">
      <alignment horizontal="left" vertical="top" wrapText="1"/>
    </xf>
    <xf numFmtId="0" fontId="13" fillId="0" borderId="53" xfId="0" quotePrefix="1" applyFont="1" applyBorder="1" applyAlignment="1">
      <alignment horizontal="center" vertical="center" wrapText="1"/>
    </xf>
    <xf numFmtId="169" fontId="15" fillId="0" borderId="22" xfId="0" applyNumberFormat="1" applyFont="1" applyBorder="1" applyProtection="1">
      <protection locked="0"/>
    </xf>
    <xf numFmtId="169" fontId="15" fillId="0" borderId="62" xfId="0" applyNumberFormat="1" applyFont="1" applyBorder="1" applyProtection="1">
      <protection locked="0"/>
    </xf>
    <xf numFmtId="169" fontId="15" fillId="0" borderId="53" xfId="0" applyNumberFormat="1" applyFont="1" applyBorder="1" applyProtection="1">
      <protection locked="0"/>
    </xf>
    <xf numFmtId="169" fontId="15" fillId="0" borderId="33" xfId="0" applyNumberFormat="1" applyFont="1" applyBorder="1" applyProtection="1">
      <protection locked="0"/>
    </xf>
    <xf numFmtId="174" fontId="13" fillId="0" borderId="39" xfId="0" applyNumberFormat="1" applyFont="1" applyBorder="1"/>
    <xf numFmtId="174" fontId="13" fillId="0" borderId="62" xfId="1" applyNumberFormat="1" applyFont="1" applyBorder="1"/>
    <xf numFmtId="174" fontId="13" fillId="0" borderId="87" xfId="0" applyNumberFormat="1" applyFont="1" applyBorder="1"/>
    <xf numFmtId="174" fontId="13" fillId="0" borderId="42" xfId="0" applyNumberFormat="1" applyFont="1" applyBorder="1"/>
    <xf numFmtId="174" fontId="13" fillId="0" borderId="73" xfId="0" applyNumberFormat="1" applyFont="1" applyBorder="1"/>
    <xf numFmtId="169" fontId="13" fillId="0" borderId="86" xfId="0" applyNumberFormat="1" applyFont="1" applyBorder="1"/>
    <xf numFmtId="174" fontId="15" fillId="0" borderId="88" xfId="0" applyNumberFormat="1" applyFont="1" applyBorder="1"/>
    <xf numFmtId="174" fontId="15" fillId="0" borderId="84" xfId="0" applyNumberFormat="1" applyFont="1" applyBorder="1"/>
    <xf numFmtId="0" fontId="15" fillId="0" borderId="42" xfId="0" applyFont="1" applyBorder="1" applyAlignment="1">
      <alignment horizontal="center" vertical="center" wrapText="1"/>
    </xf>
    <xf numFmtId="174" fontId="18" fillId="0" borderId="53" xfId="0" applyNumberFormat="1" applyFont="1" applyBorder="1"/>
    <xf numFmtId="174" fontId="18" fillId="0" borderId="0" xfId="0" applyNumberFormat="1" applyFont="1"/>
    <xf numFmtId="174" fontId="15" fillId="0" borderId="56" xfId="0" applyNumberFormat="1" applyFont="1" applyBorder="1" applyAlignment="1">
      <alignment vertical="center"/>
    </xf>
    <xf numFmtId="174" fontId="15" fillId="0" borderId="84" xfId="0" applyNumberFormat="1" applyFont="1" applyBorder="1" applyAlignment="1">
      <alignment vertical="center"/>
    </xf>
    <xf numFmtId="0" fontId="18" fillId="0" borderId="11" xfId="0" applyFont="1" applyBorder="1" applyAlignment="1">
      <alignment horizontal="left"/>
    </xf>
    <xf numFmtId="171" fontId="13" fillId="0" borderId="82" xfId="0" applyNumberFormat="1" applyFont="1" applyBorder="1" applyAlignment="1">
      <alignment horizontal="center"/>
    </xf>
    <xf numFmtId="174" fontId="15" fillId="0" borderId="63" xfId="0" applyNumberFormat="1" applyFont="1" applyBorder="1"/>
    <xf numFmtId="0" fontId="3" fillId="38" borderId="15" xfId="0" applyFont="1" applyFill="1" applyBorder="1" applyAlignment="1" applyProtection="1">
      <alignment horizontal="center"/>
      <protection locked="0"/>
    </xf>
    <xf numFmtId="0" fontId="3" fillId="38" borderId="27" xfId="0" applyFont="1" applyFill="1" applyBorder="1" applyProtection="1">
      <protection locked="0"/>
    </xf>
    <xf numFmtId="0" fontId="3" fillId="38" borderId="26" xfId="0" applyFont="1" applyFill="1" applyBorder="1" applyProtection="1">
      <protection locked="0"/>
    </xf>
    <xf numFmtId="0" fontId="3" fillId="38" borderId="10" xfId="0" applyFont="1" applyFill="1" applyBorder="1" applyAlignment="1" applyProtection="1">
      <alignment horizontal="center"/>
      <protection locked="0"/>
    </xf>
    <xf numFmtId="0" fontId="3" fillId="38" borderId="0" xfId="0" applyFont="1" applyFill="1" applyProtection="1">
      <protection locked="0"/>
    </xf>
    <xf numFmtId="0" fontId="3" fillId="38" borderId="23" xfId="0" applyFont="1" applyFill="1" applyBorder="1" applyProtection="1">
      <protection locked="0"/>
    </xf>
    <xf numFmtId="0" fontId="3" fillId="38" borderId="0" xfId="0" applyFont="1" applyFill="1" applyAlignment="1" applyProtection="1">
      <alignment horizontal="center"/>
      <protection locked="0"/>
    </xf>
    <xf numFmtId="0" fontId="3" fillId="38" borderId="0" xfId="0" applyFont="1" applyFill="1" applyAlignment="1" applyProtection="1">
      <alignment horizontal="left"/>
      <protection locked="0"/>
    </xf>
    <xf numFmtId="0" fontId="11" fillId="38" borderId="32" xfId="0" applyFont="1" applyFill="1" applyBorder="1" applyProtection="1">
      <protection locked="0"/>
    </xf>
    <xf numFmtId="0" fontId="12" fillId="38" borderId="0" xfId="0" applyFont="1" applyFill="1" applyAlignment="1" applyProtection="1">
      <alignment horizontal="left" indent="1"/>
      <protection locked="0"/>
    </xf>
    <xf numFmtId="174" fontId="13" fillId="38" borderId="22" xfId="0" applyNumberFormat="1" applyFont="1" applyFill="1" applyBorder="1" applyProtection="1">
      <protection locked="0"/>
    </xf>
    <xf numFmtId="174" fontId="13" fillId="38" borderId="53" xfId="0" applyNumberFormat="1" applyFont="1" applyFill="1" applyBorder="1" applyProtection="1">
      <protection locked="0"/>
    </xf>
    <xf numFmtId="174" fontId="13" fillId="38" borderId="33" xfId="0" applyNumberFormat="1" applyFont="1" applyFill="1" applyBorder="1" applyProtection="1">
      <protection locked="0"/>
    </xf>
    <xf numFmtId="174" fontId="13" fillId="38" borderId="62" xfId="0" applyNumberFormat="1" applyFont="1" applyFill="1" applyBorder="1" applyProtection="1">
      <protection locked="0"/>
    </xf>
    <xf numFmtId="174" fontId="13" fillId="38" borderId="86" xfId="0" applyNumberFormat="1" applyFont="1" applyFill="1" applyBorder="1" applyProtection="1">
      <protection locked="0"/>
    </xf>
    <xf numFmtId="174" fontId="13" fillId="38" borderId="30" xfId="0" applyNumberFormat="1" applyFont="1" applyFill="1" applyBorder="1" applyProtection="1">
      <protection locked="0"/>
    </xf>
    <xf numFmtId="174" fontId="13" fillId="38" borderId="23" xfId="0" applyNumberFormat="1" applyFont="1" applyFill="1" applyBorder="1" applyAlignment="1" applyProtection="1">
      <alignment horizontal="right"/>
      <protection locked="0"/>
    </xf>
    <xf numFmtId="174" fontId="13" fillId="38" borderId="11" xfId="0" applyNumberFormat="1" applyFont="1" applyFill="1" applyBorder="1" applyAlignment="1" applyProtection="1">
      <alignment horizontal="right"/>
      <protection locked="0"/>
    </xf>
    <xf numFmtId="174" fontId="13" fillId="38" borderId="33" xfId="0" applyNumberFormat="1" applyFont="1" applyFill="1" applyBorder="1" applyAlignment="1" applyProtection="1">
      <alignment horizontal="right"/>
      <protection locked="0"/>
    </xf>
    <xf numFmtId="174" fontId="13" fillId="38" borderId="23" xfId="0" applyNumberFormat="1" applyFont="1" applyFill="1" applyBorder="1" applyProtection="1">
      <protection locked="0"/>
    </xf>
    <xf numFmtId="174" fontId="13" fillId="38" borderId="11" xfId="0" applyNumberFormat="1" applyFont="1" applyFill="1" applyBorder="1" applyProtection="1">
      <protection locked="0"/>
    </xf>
    <xf numFmtId="174" fontId="13" fillId="38" borderId="0" xfId="0" applyNumberFormat="1" applyFont="1" applyFill="1" applyProtection="1">
      <protection locked="0"/>
    </xf>
    <xf numFmtId="174" fontId="13" fillId="38" borderId="10" xfId="0" applyNumberFormat="1" applyFont="1" applyFill="1" applyBorder="1" applyProtection="1">
      <protection locked="0"/>
    </xf>
    <xf numFmtId="174" fontId="13" fillId="38" borderId="22" xfId="1" applyNumberFormat="1" applyFont="1" applyFill="1" applyBorder="1" applyProtection="1">
      <protection locked="0"/>
    </xf>
    <xf numFmtId="174" fontId="13" fillId="38" borderId="62" xfId="1" applyNumberFormat="1" applyFont="1" applyFill="1" applyBorder="1" applyProtection="1">
      <protection locked="0"/>
    </xf>
    <xf numFmtId="174" fontId="13" fillId="38" borderId="86" xfId="1" applyNumberFormat="1" applyFont="1" applyFill="1" applyBorder="1" applyProtection="1">
      <protection locked="0"/>
    </xf>
    <xf numFmtId="174" fontId="13" fillId="38" borderId="23" xfId="1" applyNumberFormat="1" applyFont="1" applyFill="1" applyBorder="1" applyProtection="1">
      <protection locked="0"/>
    </xf>
    <xf numFmtId="174" fontId="13" fillId="38" borderId="11" xfId="1" applyNumberFormat="1" applyFont="1" applyFill="1" applyBorder="1" applyProtection="1">
      <protection locked="0"/>
    </xf>
    <xf numFmtId="174" fontId="13" fillId="38" borderId="0" xfId="1" applyNumberFormat="1" applyFont="1" applyFill="1" applyProtection="1">
      <protection locked="0"/>
    </xf>
    <xf numFmtId="174" fontId="13" fillId="38" borderId="33" xfId="1" applyNumberFormat="1" applyFont="1" applyFill="1" applyBorder="1" applyProtection="1">
      <protection locked="0"/>
    </xf>
    <xf numFmtId="174" fontId="15" fillId="38" borderId="11" xfId="1" applyNumberFormat="1" applyFont="1" applyFill="1" applyBorder="1" applyProtection="1">
      <protection locked="0"/>
    </xf>
    <xf numFmtId="174" fontId="15" fillId="38" borderId="22" xfId="1" applyNumberFormat="1" applyFont="1" applyFill="1" applyBorder="1" applyProtection="1">
      <protection locked="0"/>
    </xf>
    <xf numFmtId="174" fontId="15" fillId="38" borderId="23" xfId="1" applyNumberFormat="1" applyFont="1" applyFill="1" applyBorder="1" applyProtection="1">
      <protection locked="0"/>
    </xf>
    <xf numFmtId="174" fontId="15" fillId="38" borderId="33" xfId="1" applyNumberFormat="1" applyFont="1" applyFill="1" applyBorder="1" applyProtection="1">
      <protection locked="0"/>
    </xf>
    <xf numFmtId="174" fontId="15" fillId="38" borderId="22" xfId="0" applyNumberFormat="1" applyFont="1" applyFill="1" applyBorder="1" applyProtection="1">
      <protection locked="0"/>
    </xf>
    <xf numFmtId="174" fontId="15" fillId="38" borderId="23" xfId="0" applyNumberFormat="1" applyFont="1" applyFill="1" applyBorder="1" applyProtection="1">
      <protection locked="0"/>
    </xf>
    <xf numFmtId="174" fontId="15" fillId="38" borderId="11" xfId="0" applyNumberFormat="1" applyFont="1" applyFill="1" applyBorder="1" applyProtection="1">
      <protection locked="0"/>
    </xf>
    <xf numFmtId="174" fontId="15" fillId="38" borderId="56" xfId="0" applyNumberFormat="1" applyFont="1" applyFill="1" applyBorder="1" applyProtection="1">
      <protection locked="0"/>
    </xf>
    <xf numFmtId="174" fontId="15" fillId="38" borderId="57" xfId="0" applyNumberFormat="1" applyFont="1" applyFill="1" applyBorder="1" applyProtection="1">
      <protection locked="0"/>
    </xf>
    <xf numFmtId="174" fontId="15" fillId="38" borderId="84" xfId="0" applyNumberFormat="1" applyFont="1" applyFill="1" applyBorder="1" applyProtection="1">
      <protection locked="0"/>
    </xf>
    <xf numFmtId="174" fontId="13" fillId="38" borderId="57" xfId="0" applyNumberFormat="1" applyFont="1" applyFill="1" applyBorder="1" applyProtection="1">
      <protection locked="0"/>
    </xf>
    <xf numFmtId="174" fontId="13" fillId="38" borderId="84" xfId="0" applyNumberFormat="1" applyFont="1" applyFill="1" applyBorder="1" applyProtection="1">
      <protection locked="0"/>
    </xf>
    <xf numFmtId="174" fontId="13" fillId="38" borderId="56" xfId="0" applyNumberFormat="1" applyFont="1" applyFill="1" applyBorder="1" applyProtection="1">
      <protection locked="0"/>
    </xf>
    <xf numFmtId="174" fontId="13" fillId="38" borderId="58" xfId="0" applyNumberFormat="1" applyFont="1" applyFill="1" applyBorder="1" applyProtection="1">
      <protection locked="0"/>
    </xf>
    <xf numFmtId="0" fontId="13" fillId="38" borderId="0" xfId="0" applyFont="1" applyFill="1" applyProtection="1">
      <protection locked="0"/>
    </xf>
    <xf numFmtId="0" fontId="20" fillId="38" borderId="0" xfId="0" applyFont="1" applyFill="1" applyProtection="1">
      <protection locked="0"/>
    </xf>
    <xf numFmtId="175" fontId="13" fillId="38" borderId="62" xfId="0" applyNumberFormat="1" applyFont="1" applyFill="1" applyBorder="1" applyProtection="1">
      <protection locked="0"/>
    </xf>
    <xf numFmtId="175" fontId="13" fillId="38" borderId="11" xfId="1" applyNumberFormat="1" applyFont="1" applyFill="1" applyBorder="1" applyProtection="1">
      <protection locked="0"/>
    </xf>
    <xf numFmtId="175" fontId="13" fillId="38" borderId="22" xfId="1" applyNumberFormat="1" applyFont="1" applyFill="1" applyBorder="1" applyProtection="1">
      <protection locked="0"/>
    </xf>
    <xf numFmtId="175" fontId="13" fillId="38" borderId="23" xfId="1" applyNumberFormat="1" applyFont="1" applyFill="1" applyBorder="1" applyProtection="1">
      <protection locked="0"/>
    </xf>
    <xf numFmtId="175" fontId="13" fillId="38" borderId="0" xfId="1" applyNumberFormat="1" applyFont="1" applyFill="1" applyProtection="1">
      <protection locked="0"/>
    </xf>
    <xf numFmtId="175" fontId="13" fillId="38" borderId="54" xfId="1" applyNumberFormat="1" applyFont="1" applyFill="1" applyBorder="1" applyProtection="1">
      <protection locked="0"/>
    </xf>
    <xf numFmtId="169" fontId="13" fillId="38" borderId="22" xfId="0" applyNumberFormat="1" applyFont="1" applyFill="1" applyBorder="1" applyProtection="1">
      <protection locked="0"/>
    </xf>
    <xf numFmtId="169" fontId="13" fillId="38" borderId="23" xfId="0" applyNumberFormat="1" applyFont="1" applyFill="1" applyBorder="1" applyProtection="1">
      <protection locked="0"/>
    </xf>
    <xf numFmtId="169" fontId="13" fillId="38" borderId="11" xfId="0" applyNumberFormat="1" applyFont="1" applyFill="1" applyBorder="1" applyProtection="1">
      <protection locked="0"/>
    </xf>
    <xf numFmtId="169" fontId="13" fillId="38" borderId="0" xfId="0" applyNumberFormat="1" applyFont="1" applyFill="1" applyProtection="1">
      <protection locked="0"/>
    </xf>
    <xf numFmtId="169" fontId="13" fillId="38" borderId="33" xfId="0" applyNumberFormat="1" applyFont="1" applyFill="1" applyBorder="1" applyProtection="1">
      <protection locked="0"/>
    </xf>
    <xf numFmtId="169" fontId="15" fillId="38" borderId="22" xfId="0" applyNumberFormat="1" applyFont="1" applyFill="1" applyBorder="1" applyProtection="1">
      <protection locked="0"/>
    </xf>
    <xf numFmtId="169" fontId="15" fillId="38" borderId="23" xfId="0" applyNumberFormat="1" applyFont="1" applyFill="1" applyBorder="1" applyProtection="1">
      <protection locked="0"/>
    </xf>
    <xf numFmtId="169" fontId="15" fillId="38" borderId="11" xfId="0" applyNumberFormat="1" applyFont="1" applyFill="1" applyBorder="1" applyProtection="1">
      <protection locked="0"/>
    </xf>
    <xf numFmtId="169" fontId="15" fillId="38" borderId="0" xfId="0" applyNumberFormat="1" applyFont="1" applyFill="1" applyProtection="1">
      <protection locked="0"/>
    </xf>
    <xf numFmtId="169" fontId="15" fillId="38" borderId="33" xfId="0" applyNumberFormat="1" applyFont="1" applyFill="1" applyBorder="1" applyProtection="1">
      <protection locked="0"/>
    </xf>
    <xf numFmtId="0" fontId="18" fillId="38" borderId="11" xfId="0" applyFont="1" applyFill="1" applyBorder="1" applyAlignment="1" applyProtection="1">
      <alignment horizontal="left" indent="1"/>
      <protection locked="0"/>
    </xf>
    <xf numFmtId="0" fontId="13" fillId="38" borderId="11" xfId="0" applyFont="1" applyFill="1" applyBorder="1" applyAlignment="1" applyProtection="1">
      <alignment horizontal="left" indent="1"/>
      <protection locked="0"/>
    </xf>
    <xf numFmtId="174" fontId="15" fillId="38" borderId="33" xfId="0" applyNumberFormat="1" applyFont="1" applyFill="1" applyBorder="1" applyProtection="1">
      <protection locked="0"/>
    </xf>
    <xf numFmtId="174" fontId="13" fillId="38" borderId="104" xfId="0" applyNumberFormat="1" applyFont="1" applyFill="1" applyBorder="1" applyProtection="1">
      <protection locked="0"/>
    </xf>
    <xf numFmtId="0" fontId="13" fillId="38" borderId="12" xfId="0" applyFont="1" applyFill="1" applyBorder="1" applyProtection="1">
      <protection locked="0"/>
    </xf>
    <xf numFmtId="174" fontId="13" fillId="38" borderId="25" xfId="0" applyNumberFormat="1" applyFont="1" applyFill="1" applyBorder="1" applyProtection="1">
      <protection locked="0"/>
    </xf>
    <xf numFmtId="174" fontId="13" fillId="38" borderId="26" xfId="0" applyNumberFormat="1" applyFont="1" applyFill="1" applyBorder="1" applyProtection="1">
      <protection locked="0"/>
    </xf>
    <xf numFmtId="174" fontId="13" fillId="38" borderId="16" xfId="0" applyNumberFormat="1" applyFont="1" applyFill="1" applyBorder="1" applyProtection="1">
      <protection locked="0"/>
    </xf>
    <xf numFmtId="174" fontId="13" fillId="38" borderId="27" xfId="0" applyNumberFormat="1" applyFont="1" applyFill="1" applyBorder="1" applyProtection="1">
      <protection locked="0"/>
    </xf>
    <xf numFmtId="174" fontId="13" fillId="38" borderId="29" xfId="0" applyNumberFormat="1" applyFont="1" applyFill="1" applyBorder="1" applyProtection="1">
      <protection locked="0"/>
    </xf>
    <xf numFmtId="174" fontId="13" fillId="38" borderId="17" xfId="0" applyNumberFormat="1" applyFont="1" applyFill="1" applyBorder="1" applyProtection="1">
      <protection locked="0"/>
    </xf>
    <xf numFmtId="174" fontId="13" fillId="38" borderId="24" xfId="0" applyNumberFormat="1" applyFont="1" applyFill="1" applyBorder="1" applyProtection="1">
      <protection locked="0"/>
    </xf>
    <xf numFmtId="174" fontId="13" fillId="38" borderId="12" xfId="0" applyNumberFormat="1" applyFont="1" applyFill="1" applyBorder="1" applyProtection="1">
      <protection locked="0"/>
    </xf>
    <xf numFmtId="174" fontId="13" fillId="38" borderId="14" xfId="0" applyNumberFormat="1" applyFont="1" applyFill="1" applyBorder="1" applyProtection="1">
      <protection locked="0"/>
    </xf>
    <xf numFmtId="174" fontId="13" fillId="38" borderId="50" xfId="0" applyNumberFormat="1" applyFont="1" applyFill="1" applyBorder="1" applyProtection="1">
      <protection locked="0"/>
    </xf>
    <xf numFmtId="0" fontId="13" fillId="38" borderId="11" xfId="0" applyFont="1" applyFill="1" applyBorder="1" applyAlignment="1" applyProtection="1">
      <alignment vertical="top" wrapText="1"/>
      <protection locked="0"/>
    </xf>
    <xf numFmtId="0" fontId="13" fillId="38" borderId="22" xfId="0" applyFont="1" applyFill="1" applyBorder="1" applyAlignment="1" applyProtection="1">
      <alignment vertical="top" wrapText="1"/>
      <protection locked="0"/>
    </xf>
    <xf numFmtId="174" fontId="13" fillId="38" borderId="22" xfId="0" applyNumberFormat="1" applyFont="1" applyFill="1" applyBorder="1" applyAlignment="1" applyProtection="1">
      <alignment vertical="top" wrapText="1"/>
      <protection locked="0"/>
    </xf>
    <xf numFmtId="174" fontId="13" fillId="38" borderId="23" xfId="0" applyNumberFormat="1" applyFont="1" applyFill="1" applyBorder="1" applyAlignment="1" applyProtection="1">
      <alignment vertical="top" wrapText="1"/>
      <protection locked="0"/>
    </xf>
    <xf numFmtId="174" fontId="13" fillId="38" borderId="11" xfId="0" applyNumberFormat="1" applyFont="1" applyFill="1" applyBorder="1" applyAlignment="1" applyProtection="1">
      <alignment vertical="top" wrapText="1"/>
      <protection locked="0"/>
    </xf>
    <xf numFmtId="174" fontId="13" fillId="38" borderId="0" xfId="0" applyNumberFormat="1" applyFont="1" applyFill="1" applyAlignment="1" applyProtection="1">
      <alignment vertical="top" wrapText="1"/>
      <protection locked="0"/>
    </xf>
    <xf numFmtId="174" fontId="13" fillId="38" borderId="33" xfId="0" applyNumberFormat="1" applyFont="1" applyFill="1" applyBorder="1" applyAlignment="1" applyProtection="1">
      <alignment vertical="top" wrapText="1"/>
      <protection locked="0"/>
    </xf>
    <xf numFmtId="174" fontId="13" fillId="38" borderId="46" xfId="0" applyNumberFormat="1" applyFont="1" applyFill="1" applyBorder="1" applyAlignment="1" applyProtection="1">
      <alignment vertical="top" wrapText="1"/>
      <protection locked="0"/>
    </xf>
    <xf numFmtId="174" fontId="13" fillId="38" borderId="47" xfId="0" applyNumberFormat="1" applyFont="1" applyFill="1" applyBorder="1" applyAlignment="1" applyProtection="1">
      <alignment vertical="top" wrapText="1"/>
      <protection locked="0"/>
    </xf>
    <xf numFmtId="174" fontId="13" fillId="38" borderId="48" xfId="0" applyNumberFormat="1" applyFont="1" applyFill="1" applyBorder="1" applyAlignment="1" applyProtection="1">
      <alignment vertical="top" wrapText="1"/>
      <protection locked="0"/>
    </xf>
    <xf numFmtId="174" fontId="13" fillId="38" borderId="45" xfId="0" applyNumberFormat="1" applyFont="1" applyFill="1" applyBorder="1" applyAlignment="1" applyProtection="1">
      <alignment vertical="top" wrapText="1"/>
      <protection locked="0"/>
    </xf>
    <xf numFmtId="174" fontId="13" fillId="38" borderId="49" xfId="0" applyNumberFormat="1" applyFont="1" applyFill="1" applyBorder="1" applyAlignment="1" applyProtection="1">
      <alignment vertical="top" wrapText="1"/>
      <protection locked="0"/>
    </xf>
    <xf numFmtId="0" fontId="15" fillId="38" borderId="22" xfId="0" applyFont="1" applyFill="1" applyBorder="1" applyAlignment="1" applyProtection="1">
      <alignment horizontal="center" vertical="top" wrapText="1"/>
      <protection locked="0"/>
    </xf>
    <xf numFmtId="0" fontId="15" fillId="38" borderId="23" xfId="0" applyFont="1" applyFill="1" applyBorder="1" applyAlignment="1" applyProtection="1">
      <alignment horizontal="left" vertical="top" wrapText="1"/>
      <protection locked="0"/>
    </xf>
    <xf numFmtId="168" fontId="13" fillId="38" borderId="23" xfId="7" applyNumberFormat="1" applyFont="1" applyFill="1" applyBorder="1" applyAlignment="1" applyProtection="1">
      <alignment horizontal="center" vertical="top" wrapText="1"/>
      <protection locked="0"/>
    </xf>
    <xf numFmtId="168" fontId="13" fillId="38" borderId="10" xfId="7" applyNumberFormat="1" applyFont="1" applyFill="1" applyBorder="1" applyAlignment="1" applyProtection="1">
      <alignment horizontal="center" vertical="top" wrapText="1"/>
      <protection locked="0"/>
    </xf>
    <xf numFmtId="168" fontId="13" fillId="38" borderId="15" xfId="7" applyNumberFormat="1" applyFont="1" applyFill="1" applyBorder="1" applyAlignment="1" applyProtection="1">
      <alignment horizontal="center" vertical="top" wrapText="1"/>
      <protection locked="0"/>
    </xf>
    <xf numFmtId="0" fontId="13" fillId="38" borderId="10" xfId="0" applyFont="1" applyFill="1" applyBorder="1" applyAlignment="1" applyProtection="1">
      <alignment horizontal="left" vertical="top" wrapText="1"/>
      <protection locked="0"/>
    </xf>
    <xf numFmtId="0" fontId="13" fillId="38" borderId="23" xfId="0" applyFont="1" applyFill="1" applyBorder="1" applyAlignment="1" applyProtection="1">
      <alignment horizontal="left" vertical="top" wrapText="1"/>
      <protection locked="0"/>
    </xf>
    <xf numFmtId="0" fontId="18" fillId="38" borderId="13" xfId="0" applyFont="1" applyFill="1" applyBorder="1" applyAlignment="1" applyProtection="1">
      <alignment horizontal="left" wrapText="1"/>
      <protection locked="0"/>
    </xf>
    <xf numFmtId="0" fontId="15" fillId="38" borderId="13" xfId="0" applyFont="1" applyFill="1" applyBorder="1" applyAlignment="1" applyProtection="1">
      <alignment horizontal="left" vertical="top" wrapText="1"/>
      <protection locked="0"/>
    </xf>
    <xf numFmtId="0" fontId="13" fillId="38" borderId="28" xfId="0" applyFont="1" applyFill="1" applyBorder="1" applyAlignment="1" applyProtection="1">
      <alignment horizontal="left" vertical="top" wrapText="1"/>
      <protection locked="0"/>
    </xf>
    <xf numFmtId="168" fontId="13" fillId="38" borderId="35" xfId="7" applyNumberFormat="1" applyFont="1" applyFill="1" applyBorder="1" applyAlignment="1" applyProtection="1">
      <alignment horizontal="center" vertical="top" wrapText="1"/>
      <protection locked="0"/>
    </xf>
    <xf numFmtId="168" fontId="13" fillId="38" borderId="28" xfId="7" applyNumberFormat="1" applyFont="1" applyFill="1" applyBorder="1" applyAlignment="1" applyProtection="1">
      <alignment horizontal="center" vertical="top" wrapText="1"/>
      <protection locked="0"/>
    </xf>
    <xf numFmtId="0" fontId="15" fillId="38" borderId="28" xfId="0" applyFont="1" applyFill="1" applyBorder="1" applyAlignment="1" applyProtection="1">
      <alignment horizontal="left" vertical="top" wrapText="1"/>
      <protection locked="0"/>
    </xf>
    <xf numFmtId="0" fontId="15" fillId="38" borderId="32" xfId="0" applyFont="1" applyFill="1" applyBorder="1" applyAlignment="1" applyProtection="1">
      <alignment horizontal="left" vertical="top" wrapText="1"/>
      <protection locked="0"/>
    </xf>
    <xf numFmtId="0" fontId="13" fillId="38" borderId="13" xfId="0" applyFont="1" applyFill="1" applyBorder="1" applyAlignment="1" applyProtection="1">
      <alignment horizontal="left" vertical="top" wrapText="1"/>
      <protection locked="0"/>
    </xf>
    <xf numFmtId="168" fontId="13" fillId="38" borderId="24" xfId="7" applyNumberFormat="1" applyFont="1" applyFill="1" applyBorder="1" applyAlignment="1" applyProtection="1">
      <alignment horizontal="center" vertical="top" wrapText="1"/>
      <protection locked="0"/>
    </xf>
    <xf numFmtId="168" fontId="13" fillId="38" borderId="13" xfId="7" applyNumberFormat="1" applyFont="1" applyFill="1" applyBorder="1" applyAlignment="1" applyProtection="1">
      <alignment horizontal="center" vertical="top" wrapText="1"/>
      <protection locked="0"/>
    </xf>
    <xf numFmtId="0" fontId="15" fillId="38" borderId="32" xfId="0" applyFont="1" applyFill="1" applyBorder="1" applyAlignment="1" applyProtection="1">
      <alignment horizontal="left" wrapText="1" indent="1"/>
      <protection locked="0"/>
    </xf>
    <xf numFmtId="175" fontId="13" fillId="38" borderId="86" xfId="7" applyNumberFormat="1" applyFont="1" applyFill="1" applyBorder="1" applyAlignment="1" applyProtection="1">
      <alignment horizontal="center" vertical="top" wrapText="1"/>
      <protection locked="0"/>
    </xf>
    <xf numFmtId="175" fontId="13" fillId="38" borderId="22" xfId="7" applyNumberFormat="1" applyFont="1" applyFill="1" applyBorder="1" applyAlignment="1" applyProtection="1">
      <alignment horizontal="center" vertical="top" wrapText="1"/>
      <protection locked="0"/>
    </xf>
    <xf numFmtId="175" fontId="13" fillId="38" borderId="23" xfId="7" applyNumberFormat="1" applyFont="1" applyFill="1" applyBorder="1" applyAlignment="1" applyProtection="1">
      <alignment horizontal="center" vertical="top" wrapText="1"/>
      <protection locked="0"/>
    </xf>
    <xf numFmtId="175" fontId="13" fillId="38" borderId="11" xfId="7" applyNumberFormat="1" applyFont="1" applyFill="1" applyBorder="1" applyAlignment="1" applyProtection="1">
      <alignment horizontal="center" vertical="top" wrapText="1"/>
      <protection locked="0"/>
    </xf>
    <xf numFmtId="175" fontId="13" fillId="38" borderId="0" xfId="7" applyNumberFormat="1" applyFont="1" applyFill="1" applyAlignment="1" applyProtection="1">
      <alignment horizontal="center" vertical="top" wrapText="1"/>
      <protection locked="0"/>
    </xf>
    <xf numFmtId="175" fontId="13" fillId="38" borderId="29" xfId="7" applyNumberFormat="1" applyFont="1" applyFill="1" applyBorder="1" applyAlignment="1" applyProtection="1">
      <alignment horizontal="center" vertical="top" wrapText="1"/>
      <protection locked="0"/>
    </xf>
    <xf numFmtId="0" fontId="18" fillId="38" borderId="32" xfId="0" applyFont="1" applyFill="1" applyBorder="1" applyAlignment="1" applyProtection="1">
      <alignment horizontal="left" wrapText="1" indent="1"/>
      <protection locked="0"/>
    </xf>
    <xf numFmtId="175" fontId="13" fillId="38" borderId="33" xfId="7" applyNumberFormat="1" applyFont="1" applyFill="1" applyBorder="1" applyAlignment="1" applyProtection="1">
      <alignment horizontal="center" vertical="top" wrapText="1"/>
      <protection locked="0"/>
    </xf>
    <xf numFmtId="0" fontId="18" fillId="38" borderId="15" xfId="0" applyFont="1" applyFill="1" applyBorder="1" applyAlignment="1" applyProtection="1">
      <alignment horizontal="left" wrapText="1" indent="1"/>
      <protection locked="0"/>
    </xf>
    <xf numFmtId="0" fontId="13" fillId="38" borderId="26" xfId="0" applyFont="1" applyFill="1" applyBorder="1" applyAlignment="1" applyProtection="1">
      <alignment horizontal="left" vertical="top" wrapText="1"/>
      <protection locked="0"/>
    </xf>
    <xf numFmtId="175" fontId="13" fillId="38" borderId="92" xfId="7" applyNumberFormat="1" applyFont="1" applyFill="1" applyBorder="1" applyAlignment="1" applyProtection="1">
      <alignment horizontal="center" vertical="top" wrapText="1"/>
      <protection locked="0"/>
    </xf>
    <xf numFmtId="175" fontId="13" fillId="38" borderId="25" xfId="7" applyNumberFormat="1" applyFont="1" applyFill="1" applyBorder="1" applyAlignment="1" applyProtection="1">
      <alignment horizontal="center" vertical="top" wrapText="1"/>
      <protection locked="0"/>
    </xf>
    <xf numFmtId="175" fontId="13" fillId="38" borderId="26" xfId="7" applyNumberFormat="1" applyFont="1" applyFill="1" applyBorder="1" applyAlignment="1" applyProtection="1">
      <alignment horizontal="center" vertical="top" wrapText="1"/>
      <protection locked="0"/>
    </xf>
    <xf numFmtId="175" fontId="13" fillId="38" borderId="16" xfId="7" applyNumberFormat="1" applyFont="1" applyFill="1" applyBorder="1" applyAlignment="1" applyProtection="1">
      <alignment horizontal="center" vertical="top" wrapText="1"/>
      <protection locked="0"/>
    </xf>
    <xf numFmtId="175" fontId="13" fillId="38" borderId="27" xfId="7" applyNumberFormat="1" applyFont="1" applyFill="1" applyBorder="1" applyAlignment="1" applyProtection="1">
      <alignment horizontal="center" vertical="top" wrapText="1"/>
      <protection locked="0"/>
    </xf>
    <xf numFmtId="0" fontId="13" fillId="38" borderId="23" xfId="0" applyFont="1" applyFill="1" applyBorder="1" applyAlignment="1" applyProtection="1">
      <alignment horizontal="left" wrapText="1"/>
      <protection locked="0"/>
    </xf>
    <xf numFmtId="175" fontId="13" fillId="38" borderId="86" xfId="0" applyNumberFormat="1" applyFont="1" applyFill="1" applyBorder="1" applyAlignment="1" applyProtection="1">
      <alignment horizontal="center" vertical="top" wrapText="1"/>
      <protection locked="0"/>
    </xf>
    <xf numFmtId="175" fontId="13" fillId="38" borderId="22" xfId="0" applyNumberFormat="1" applyFont="1" applyFill="1" applyBorder="1" applyAlignment="1" applyProtection="1">
      <alignment horizontal="center" vertical="top" wrapText="1"/>
      <protection locked="0"/>
    </xf>
    <xf numFmtId="175" fontId="13" fillId="38" borderId="23" xfId="0" applyNumberFormat="1" applyFont="1" applyFill="1" applyBorder="1" applyAlignment="1" applyProtection="1">
      <alignment horizontal="center" vertical="top" wrapText="1"/>
      <protection locked="0"/>
    </xf>
    <xf numFmtId="175" fontId="13" fillId="38" borderId="11" xfId="0" applyNumberFormat="1" applyFont="1" applyFill="1" applyBorder="1" applyAlignment="1" applyProtection="1">
      <alignment horizontal="center" vertical="top" wrapText="1"/>
      <protection locked="0"/>
    </xf>
    <xf numFmtId="175" fontId="13" fillId="38" borderId="0" xfId="0" applyNumberFormat="1" applyFont="1" applyFill="1" applyAlignment="1" applyProtection="1">
      <alignment horizontal="center" vertical="top" wrapText="1"/>
      <protection locked="0"/>
    </xf>
    <xf numFmtId="175" fontId="13" fillId="38" borderId="33" xfId="0" applyNumberFormat="1" applyFont="1" applyFill="1" applyBorder="1" applyAlignment="1" applyProtection="1">
      <alignment horizontal="center" vertical="top" wrapText="1"/>
      <protection locked="0"/>
    </xf>
    <xf numFmtId="0" fontId="15" fillId="38" borderId="15" xfId="0" applyFont="1" applyFill="1" applyBorder="1" applyAlignment="1" applyProtection="1">
      <alignment horizontal="left" vertical="top" wrapText="1"/>
      <protection locked="0"/>
    </xf>
    <xf numFmtId="175" fontId="13" fillId="38" borderId="92" xfId="1" applyNumberFormat="1" applyFont="1" applyFill="1" applyBorder="1" applyAlignment="1" applyProtection="1">
      <alignment horizontal="center" vertical="top" wrapText="1"/>
      <protection locked="0"/>
    </xf>
    <xf numFmtId="175" fontId="13" fillId="38" borderId="25" xfId="1" applyNumberFormat="1" applyFont="1" applyFill="1" applyBorder="1" applyAlignment="1" applyProtection="1">
      <alignment horizontal="center" vertical="top" wrapText="1"/>
      <protection locked="0"/>
    </xf>
    <xf numFmtId="175" fontId="13" fillId="38" borderId="26" xfId="1" applyNumberFormat="1" applyFont="1" applyFill="1" applyBorder="1" applyAlignment="1" applyProtection="1">
      <alignment horizontal="center" vertical="top" wrapText="1"/>
      <protection locked="0"/>
    </xf>
    <xf numFmtId="175" fontId="13" fillId="38" borderId="16" xfId="1" applyNumberFormat="1" applyFont="1" applyFill="1" applyBorder="1" applyAlignment="1" applyProtection="1">
      <alignment horizontal="center" vertical="top" wrapText="1"/>
      <protection locked="0"/>
    </xf>
    <xf numFmtId="175" fontId="13" fillId="38" borderId="27" xfId="1" applyNumberFormat="1" applyFont="1" applyFill="1" applyBorder="1" applyAlignment="1" applyProtection="1">
      <alignment horizontal="center" vertical="top" wrapText="1"/>
      <protection locked="0"/>
    </xf>
    <xf numFmtId="175" fontId="13" fillId="38" borderId="29" xfId="1" applyNumberFormat="1" applyFont="1" applyFill="1" applyBorder="1" applyAlignment="1" applyProtection="1">
      <alignment horizontal="center" vertical="top" wrapText="1"/>
      <protection locked="0"/>
    </xf>
    <xf numFmtId="175" fontId="13" fillId="38" borderId="86" xfId="1" applyNumberFormat="1" applyFont="1" applyFill="1" applyBorder="1" applyAlignment="1" applyProtection="1">
      <alignment horizontal="center" vertical="top" wrapText="1"/>
      <protection locked="0"/>
    </xf>
    <xf numFmtId="175" fontId="13" fillId="38" borderId="22" xfId="1" applyNumberFormat="1" applyFont="1" applyFill="1" applyBorder="1" applyAlignment="1" applyProtection="1">
      <alignment horizontal="center" vertical="top" wrapText="1"/>
      <protection locked="0"/>
    </xf>
    <xf numFmtId="175" fontId="13" fillId="38" borderId="23" xfId="1" applyNumberFormat="1" applyFont="1" applyFill="1" applyBorder="1" applyAlignment="1" applyProtection="1">
      <alignment horizontal="center" vertical="top" wrapText="1"/>
      <protection locked="0"/>
    </xf>
    <xf numFmtId="175" fontId="13" fillId="38" borderId="11" xfId="1" applyNumberFormat="1" applyFont="1" applyFill="1" applyBorder="1" applyAlignment="1" applyProtection="1">
      <alignment horizontal="center" vertical="top" wrapText="1"/>
      <protection locked="0"/>
    </xf>
    <xf numFmtId="175" fontId="13" fillId="38" borderId="0" xfId="1" applyNumberFormat="1" applyFont="1" applyFill="1" applyAlignment="1" applyProtection="1">
      <alignment horizontal="center" vertical="top" wrapText="1"/>
      <protection locked="0"/>
    </xf>
    <xf numFmtId="175" fontId="13" fillId="38" borderId="33" xfId="1" applyNumberFormat="1" applyFont="1" applyFill="1" applyBorder="1" applyAlignment="1" applyProtection="1">
      <alignment horizontal="center" vertical="top" wrapText="1"/>
      <protection locked="0"/>
    </xf>
    <xf numFmtId="0" fontId="13" fillId="38" borderId="24" xfId="0" applyFont="1" applyFill="1" applyBorder="1" applyAlignment="1" applyProtection="1">
      <alignment horizontal="left" vertical="top" wrapText="1"/>
      <protection locked="0"/>
    </xf>
    <xf numFmtId="175" fontId="13" fillId="38" borderId="82" xfId="0" applyNumberFormat="1" applyFont="1" applyFill="1" applyBorder="1" applyAlignment="1" applyProtection="1">
      <alignment horizontal="center" vertical="top" wrapText="1"/>
      <protection locked="0"/>
    </xf>
    <xf numFmtId="175" fontId="13" fillId="38" borderId="17" xfId="0" applyNumberFormat="1" applyFont="1" applyFill="1" applyBorder="1" applyAlignment="1" applyProtection="1">
      <alignment horizontal="center" vertical="top" wrapText="1"/>
      <protection locked="0"/>
    </xf>
    <xf numFmtId="175" fontId="13" fillId="38" borderId="24" xfId="0" applyNumberFormat="1" applyFont="1" applyFill="1" applyBorder="1" applyAlignment="1" applyProtection="1">
      <alignment horizontal="center" vertical="top" wrapText="1"/>
      <protection locked="0"/>
    </xf>
    <xf numFmtId="175" fontId="13" fillId="38" borderId="12" xfId="0" applyNumberFormat="1" applyFont="1" applyFill="1" applyBorder="1" applyAlignment="1" applyProtection="1">
      <alignment horizontal="center" vertical="top" wrapText="1"/>
      <protection locked="0"/>
    </xf>
    <xf numFmtId="175" fontId="13" fillId="38" borderId="14" xfId="0" applyNumberFormat="1" applyFont="1" applyFill="1" applyBorder="1" applyAlignment="1" applyProtection="1">
      <alignment horizontal="center" vertical="top" wrapText="1"/>
      <protection locked="0"/>
    </xf>
    <xf numFmtId="175" fontId="13" fillId="38" borderId="50" xfId="0" applyNumberFormat="1" applyFont="1" applyFill="1" applyBorder="1" applyAlignment="1" applyProtection="1">
      <alignment horizontal="center" vertical="top" wrapText="1"/>
      <protection locked="0"/>
    </xf>
    <xf numFmtId="0" fontId="13" fillId="38" borderId="33" xfId="7" applyNumberFormat="1" applyFont="1" applyFill="1" applyBorder="1" applyAlignment="1" applyProtection="1">
      <alignment horizontal="center" vertical="top" wrapText="1"/>
      <protection locked="0"/>
    </xf>
    <xf numFmtId="0" fontId="13" fillId="38" borderId="22" xfId="0" applyFont="1" applyFill="1" applyBorder="1" applyAlignment="1" applyProtection="1">
      <alignment horizontal="center" vertical="top" wrapText="1"/>
      <protection locked="0"/>
    </xf>
    <xf numFmtId="0" fontId="13" fillId="38" borderId="23" xfId="0" applyFont="1" applyFill="1" applyBorder="1" applyAlignment="1" applyProtection="1">
      <alignment horizontal="center" vertical="top" wrapText="1"/>
      <protection locked="0"/>
    </xf>
    <xf numFmtId="0" fontId="13" fillId="38" borderId="11" xfId="0" applyFont="1" applyFill="1" applyBorder="1" applyAlignment="1" applyProtection="1">
      <alignment horizontal="center" vertical="top" wrapText="1"/>
      <protection locked="0"/>
    </xf>
    <xf numFmtId="0" fontId="13" fillId="38" borderId="0" xfId="0" applyFont="1" applyFill="1" applyAlignment="1" applyProtection="1">
      <alignment horizontal="center" vertical="top" wrapText="1"/>
      <protection locked="0"/>
    </xf>
    <xf numFmtId="168" fontId="13" fillId="38" borderId="33" xfId="7" applyNumberFormat="1" applyFont="1" applyFill="1" applyBorder="1" applyAlignment="1" applyProtection="1">
      <alignment horizontal="center" vertical="top" wrapText="1"/>
      <protection locked="0"/>
    </xf>
    <xf numFmtId="168" fontId="13" fillId="38" borderId="22" xfId="7" applyNumberFormat="1" applyFont="1" applyFill="1" applyBorder="1" applyAlignment="1" applyProtection="1">
      <alignment horizontal="center" vertical="top" wrapText="1"/>
      <protection locked="0"/>
    </xf>
    <xf numFmtId="168" fontId="13" fillId="38" borderId="11" xfId="7" applyNumberFormat="1" applyFont="1" applyFill="1" applyBorder="1" applyAlignment="1" applyProtection="1">
      <alignment horizontal="center" vertical="top" wrapText="1"/>
      <protection locked="0"/>
    </xf>
    <xf numFmtId="168" fontId="13" fillId="38" borderId="0" xfId="7" applyNumberFormat="1" applyFont="1" applyFill="1" applyAlignment="1" applyProtection="1">
      <alignment horizontal="center" vertical="top" wrapText="1"/>
      <protection locked="0"/>
    </xf>
    <xf numFmtId="168" fontId="13" fillId="38" borderId="33" xfId="0" applyNumberFormat="1" applyFont="1" applyFill="1" applyBorder="1" applyAlignment="1" applyProtection="1">
      <alignment horizontal="center" vertical="top" wrapText="1"/>
      <protection locked="0"/>
    </xf>
    <xf numFmtId="168" fontId="13" fillId="38" borderId="22" xfId="0" applyNumberFormat="1" applyFont="1" applyFill="1" applyBorder="1" applyAlignment="1" applyProtection="1">
      <alignment horizontal="center" vertical="top" wrapText="1"/>
      <protection locked="0"/>
    </xf>
    <xf numFmtId="168" fontId="13" fillId="38" borderId="23" xfId="0" applyNumberFormat="1" applyFont="1" applyFill="1" applyBorder="1" applyAlignment="1" applyProtection="1">
      <alignment horizontal="center" vertical="top" wrapText="1"/>
      <protection locked="0"/>
    </xf>
    <xf numFmtId="168" fontId="13" fillId="38" borderId="11" xfId="0" applyNumberFormat="1" applyFont="1" applyFill="1" applyBorder="1" applyAlignment="1" applyProtection="1">
      <alignment horizontal="center" vertical="top" wrapText="1"/>
      <protection locked="0"/>
    </xf>
    <xf numFmtId="168" fontId="13" fillId="38" borderId="0" xfId="0" applyNumberFormat="1" applyFont="1" applyFill="1" applyAlignment="1" applyProtection="1">
      <alignment horizontal="center" vertical="top" wrapText="1"/>
      <protection locked="0"/>
    </xf>
    <xf numFmtId="0" fontId="13" fillId="38" borderId="33" xfId="0" applyFont="1" applyFill="1" applyBorder="1" applyAlignment="1" applyProtection="1">
      <alignment horizontal="right" wrapText="1"/>
      <protection locked="0"/>
    </xf>
    <xf numFmtId="0" fontId="13" fillId="38" borderId="22" xfId="0" applyFont="1" applyFill="1" applyBorder="1" applyAlignment="1" applyProtection="1">
      <alignment horizontal="right" wrapText="1"/>
      <protection locked="0"/>
    </xf>
    <xf numFmtId="0" fontId="13" fillId="38" borderId="23" xfId="0" applyFont="1" applyFill="1" applyBorder="1" applyAlignment="1" applyProtection="1">
      <alignment horizontal="right" wrapText="1"/>
      <protection locked="0"/>
    </xf>
    <xf numFmtId="0" fontId="13" fillId="38" borderId="0" xfId="0" applyFont="1" applyFill="1" applyAlignment="1" applyProtection="1">
      <alignment horizontal="right" wrapText="1"/>
      <protection locked="0"/>
    </xf>
    <xf numFmtId="0" fontId="13" fillId="38" borderId="86" xfId="0" applyFont="1" applyFill="1" applyBorder="1" applyAlignment="1" applyProtection="1">
      <alignment horizontal="right" wrapText="1"/>
      <protection locked="0"/>
    </xf>
    <xf numFmtId="174" fontId="13" fillId="38" borderId="86" xfId="0" applyNumberFormat="1" applyFont="1" applyFill="1" applyBorder="1" applyAlignment="1" applyProtection="1">
      <alignment horizontal="right"/>
      <protection locked="0"/>
    </xf>
    <xf numFmtId="168" fontId="13" fillId="38" borderId="32" xfId="0" applyNumberFormat="1" applyFont="1" applyFill="1" applyBorder="1" applyAlignment="1" applyProtection="1">
      <alignment horizontal="center"/>
      <protection locked="0"/>
    </xf>
    <xf numFmtId="174" fontId="13" fillId="38" borderId="62" xfId="1" applyNumberFormat="1" applyFont="1" applyFill="1" applyBorder="1" applyAlignment="1" applyProtection="1">
      <alignment horizontal="left" vertical="top" wrapText="1"/>
      <protection locked="0"/>
    </xf>
    <xf numFmtId="174" fontId="13" fillId="38" borderId="11" xfId="0" applyNumberFormat="1" applyFont="1" applyFill="1" applyBorder="1" applyAlignment="1" applyProtection="1">
      <alignment horizontal="center" vertical="top" wrapText="1"/>
      <protection locked="0"/>
    </xf>
    <xf numFmtId="174" fontId="13" fillId="38" borderId="22" xfId="0" applyNumberFormat="1" applyFont="1" applyFill="1" applyBorder="1" applyAlignment="1" applyProtection="1">
      <alignment horizontal="center" vertical="top" wrapText="1"/>
      <protection locked="0"/>
    </xf>
    <xf numFmtId="174" fontId="13" fillId="38" borderId="53" xfId="0" applyNumberFormat="1" applyFont="1" applyFill="1" applyBorder="1" applyAlignment="1" applyProtection="1">
      <alignment horizontal="center" vertical="top" wrapText="1"/>
      <protection locked="0"/>
    </xf>
    <xf numFmtId="174" fontId="13" fillId="38" borderId="10" xfId="0" applyNumberFormat="1" applyFont="1" applyFill="1" applyBorder="1" applyAlignment="1" applyProtection="1">
      <alignment horizontal="center" vertical="top" wrapText="1"/>
      <protection locked="0"/>
    </xf>
    <xf numFmtId="174" fontId="13" fillId="38" borderId="0" xfId="0" applyNumberFormat="1" applyFont="1" applyFill="1" applyAlignment="1" applyProtection="1">
      <alignment horizontal="center" vertical="top" wrapText="1"/>
      <protection locked="0"/>
    </xf>
    <xf numFmtId="174" fontId="13" fillId="38" borderId="23" xfId="0" applyNumberFormat="1" applyFont="1" applyFill="1" applyBorder="1" applyAlignment="1" applyProtection="1">
      <alignment horizontal="center" vertical="top" wrapText="1"/>
      <protection locked="0"/>
    </xf>
    <xf numFmtId="174" fontId="13" fillId="38" borderId="11" xfId="7" applyNumberFormat="1" applyFont="1" applyFill="1" applyBorder="1" applyAlignment="1" applyProtection="1">
      <alignment horizontal="center" vertical="top" wrapText="1"/>
      <protection locked="0"/>
    </xf>
    <xf numFmtId="174" fontId="13" fillId="38" borderId="22" xfId="7" applyNumberFormat="1" applyFont="1" applyFill="1" applyBorder="1" applyAlignment="1" applyProtection="1">
      <alignment horizontal="center" vertical="top" wrapText="1"/>
      <protection locked="0"/>
    </xf>
    <xf numFmtId="174" fontId="13" fillId="38" borderId="53" xfId="7" applyNumberFormat="1" applyFont="1" applyFill="1" applyBorder="1" applyAlignment="1" applyProtection="1">
      <alignment horizontal="center" vertical="top" wrapText="1"/>
      <protection locked="0"/>
    </xf>
    <xf numFmtId="174" fontId="13" fillId="38" borderId="10" xfId="7" applyNumberFormat="1" applyFont="1" applyFill="1" applyBorder="1" applyAlignment="1" applyProtection="1">
      <alignment horizontal="center" vertical="top" wrapText="1"/>
      <protection locked="0"/>
    </xf>
    <xf numFmtId="174" fontId="13" fillId="38" borderId="0" xfId="7" applyNumberFormat="1" applyFont="1" applyFill="1" applyAlignment="1" applyProtection="1">
      <alignment horizontal="center" vertical="top" wrapText="1"/>
      <protection locked="0"/>
    </xf>
    <xf numFmtId="174" fontId="13" fillId="38" borderId="23" xfId="7" applyNumberFormat="1" applyFont="1" applyFill="1" applyBorder="1" applyAlignment="1" applyProtection="1">
      <alignment horizontal="center" vertical="top" wrapText="1"/>
      <protection locked="0"/>
    </xf>
    <xf numFmtId="0" fontId="13" fillId="38" borderId="58" xfId="0" applyFont="1" applyFill="1" applyBorder="1" applyAlignment="1" applyProtection="1">
      <alignment horizontal="left" vertical="top" wrapText="1"/>
      <protection locked="0"/>
    </xf>
    <xf numFmtId="174" fontId="13" fillId="38" borderId="84" xfId="7" applyNumberFormat="1" applyFont="1" applyFill="1" applyBorder="1" applyAlignment="1" applyProtection="1">
      <alignment horizontal="center" vertical="top" wrapText="1"/>
      <protection locked="0"/>
    </xf>
    <xf numFmtId="174" fontId="13" fillId="38" borderId="54" xfId="7" applyNumberFormat="1" applyFont="1" applyFill="1" applyBorder="1" applyAlignment="1" applyProtection="1">
      <alignment horizontal="center" vertical="top" wrapText="1"/>
      <protection locked="0"/>
    </xf>
    <xf numFmtId="174" fontId="13" fillId="38" borderId="57" xfId="7" applyNumberFormat="1" applyFont="1" applyFill="1" applyBorder="1" applyAlignment="1" applyProtection="1">
      <alignment horizontal="center" vertical="top" wrapText="1"/>
      <protection locked="0"/>
    </xf>
    <xf numFmtId="174" fontId="13" fillId="38" borderId="55" xfId="7" applyNumberFormat="1" applyFont="1" applyFill="1" applyBorder="1" applyAlignment="1" applyProtection="1">
      <alignment horizontal="center" vertical="top" wrapText="1"/>
      <protection locked="0"/>
    </xf>
    <xf numFmtId="174" fontId="13" fillId="38" borderId="85" xfId="7" applyNumberFormat="1" applyFont="1" applyFill="1" applyBorder="1" applyAlignment="1" applyProtection="1">
      <alignment horizontal="center" vertical="top" wrapText="1"/>
      <protection locked="0"/>
    </xf>
    <xf numFmtId="174" fontId="13" fillId="38" borderId="59" xfId="7" applyNumberFormat="1" applyFont="1" applyFill="1" applyBorder="1" applyAlignment="1" applyProtection="1">
      <alignment horizontal="center" vertical="top" wrapText="1"/>
      <protection locked="0"/>
    </xf>
    <xf numFmtId="174" fontId="13" fillId="38" borderId="58" xfId="7" applyNumberFormat="1" applyFont="1" applyFill="1" applyBorder="1" applyAlignment="1" applyProtection="1">
      <alignment horizontal="center" vertical="top" wrapText="1"/>
      <protection locked="0"/>
    </xf>
    <xf numFmtId="175" fontId="13" fillId="38" borderId="62" xfId="1" applyNumberFormat="1" applyFont="1" applyFill="1" applyBorder="1" applyAlignment="1" applyProtection="1">
      <alignment horizontal="left" vertical="top" wrapText="1"/>
      <protection locked="0"/>
    </xf>
    <xf numFmtId="175" fontId="13" fillId="38" borderId="53" xfId="7" applyNumberFormat="1" applyFont="1" applyFill="1" applyBorder="1" applyAlignment="1" applyProtection="1">
      <alignment horizontal="center" vertical="top" wrapText="1"/>
      <protection locked="0"/>
    </xf>
    <xf numFmtId="175" fontId="13" fillId="38" borderId="10" xfId="7" applyNumberFormat="1" applyFont="1" applyFill="1" applyBorder="1" applyAlignment="1" applyProtection="1">
      <alignment horizontal="center" vertical="top" wrapText="1"/>
      <protection locked="0"/>
    </xf>
    <xf numFmtId="175" fontId="13" fillId="38" borderId="84" xfId="1" applyNumberFormat="1" applyFont="1" applyFill="1" applyBorder="1" applyAlignment="1" applyProtection="1">
      <alignment horizontal="left" vertical="top" wrapText="1"/>
      <protection locked="0"/>
    </xf>
    <xf numFmtId="175" fontId="13" fillId="38" borderId="54" xfId="0" applyNumberFormat="1" applyFont="1" applyFill="1" applyBorder="1" applyAlignment="1" applyProtection="1">
      <alignment horizontal="center" vertical="top" wrapText="1"/>
      <protection locked="0"/>
    </xf>
    <xf numFmtId="175" fontId="13" fillId="38" borderId="57" xfId="0" applyNumberFormat="1" applyFont="1" applyFill="1" applyBorder="1" applyAlignment="1" applyProtection="1">
      <alignment horizontal="center" vertical="top" wrapText="1"/>
      <protection locked="0"/>
    </xf>
    <xf numFmtId="175" fontId="13" fillId="38" borderId="55" xfId="0" applyNumberFormat="1" applyFont="1" applyFill="1" applyBorder="1" applyAlignment="1" applyProtection="1">
      <alignment horizontal="center" vertical="top" wrapText="1"/>
      <protection locked="0"/>
    </xf>
    <xf numFmtId="175" fontId="13" fillId="38" borderId="85" xfId="0" applyNumberFormat="1" applyFont="1" applyFill="1" applyBorder="1" applyAlignment="1" applyProtection="1">
      <alignment horizontal="center" vertical="top" wrapText="1"/>
      <protection locked="0"/>
    </xf>
    <xf numFmtId="175" fontId="13" fillId="38" borderId="59" xfId="0" applyNumberFormat="1" applyFont="1" applyFill="1" applyBorder="1" applyAlignment="1" applyProtection="1">
      <alignment horizontal="center" vertical="top" wrapText="1"/>
      <protection locked="0"/>
    </xf>
    <xf numFmtId="175" fontId="13" fillId="38" borderId="58" xfId="0" applyNumberFormat="1" applyFont="1" applyFill="1" applyBorder="1" applyAlignment="1" applyProtection="1">
      <alignment horizontal="center" vertical="top" wrapText="1"/>
      <protection locked="0"/>
    </xf>
    <xf numFmtId="0" fontId="13" fillId="38" borderId="11" xfId="0" applyFont="1" applyFill="1" applyBorder="1" applyAlignment="1" applyProtection="1">
      <alignment horizontal="left" vertical="top" wrapText="1" indent="1"/>
      <protection locked="0"/>
    </xf>
    <xf numFmtId="165" fontId="13" fillId="38" borderId="62" xfId="1" applyNumberFormat="1" applyFont="1" applyFill="1" applyBorder="1" applyAlignment="1" applyProtection="1">
      <alignment horizontal="left" vertical="top" wrapText="1"/>
      <protection locked="0"/>
    </xf>
    <xf numFmtId="2" fontId="13" fillId="38" borderId="11" xfId="1" applyNumberFormat="1" applyFont="1" applyFill="1" applyBorder="1" applyAlignment="1" applyProtection="1">
      <alignment horizontal="center" vertical="top" wrapText="1"/>
      <protection locked="0"/>
    </xf>
    <xf numFmtId="2" fontId="13" fillId="38" borderId="22" xfId="1" applyNumberFormat="1" applyFont="1" applyFill="1" applyBorder="1" applyAlignment="1" applyProtection="1">
      <alignment horizontal="center" vertical="top" wrapText="1"/>
      <protection locked="0"/>
    </xf>
    <xf numFmtId="2" fontId="13" fillId="38" borderId="53" xfId="1" applyNumberFormat="1" applyFont="1" applyFill="1" applyBorder="1" applyAlignment="1" applyProtection="1">
      <alignment horizontal="center" vertical="top" wrapText="1"/>
      <protection locked="0"/>
    </xf>
    <xf numFmtId="2" fontId="13" fillId="38" borderId="10" xfId="1" applyNumberFormat="1" applyFont="1" applyFill="1" applyBorder="1" applyAlignment="1" applyProtection="1">
      <alignment horizontal="center" vertical="top" wrapText="1"/>
      <protection locked="0"/>
    </xf>
    <xf numFmtId="2" fontId="13" fillId="38" borderId="0" xfId="1" applyNumberFormat="1" applyFont="1" applyFill="1" applyAlignment="1" applyProtection="1">
      <alignment horizontal="center" vertical="top" wrapText="1"/>
      <protection locked="0"/>
    </xf>
    <xf numFmtId="2" fontId="13" fillId="38" borderId="23" xfId="1" applyNumberFormat="1" applyFont="1" applyFill="1" applyBorder="1" applyAlignment="1" applyProtection="1">
      <alignment horizontal="center" vertical="top" wrapText="1"/>
      <protection locked="0"/>
    </xf>
    <xf numFmtId="0" fontId="13" fillId="38" borderId="54" xfId="0" applyFont="1" applyFill="1" applyBorder="1" applyAlignment="1" applyProtection="1">
      <alignment horizontal="left" vertical="top" wrapText="1" indent="1"/>
      <protection locked="0"/>
    </xf>
    <xf numFmtId="165" fontId="13" fillId="38" borderId="84" xfId="1" applyNumberFormat="1" applyFont="1" applyFill="1" applyBorder="1" applyAlignment="1" applyProtection="1">
      <alignment horizontal="left" vertical="top" wrapText="1"/>
      <protection locked="0"/>
    </xf>
    <xf numFmtId="165" fontId="13" fillId="38" borderId="57" xfId="1" applyNumberFormat="1" applyFont="1" applyFill="1" applyBorder="1" applyProtection="1">
      <protection locked="0"/>
    </xf>
    <xf numFmtId="165" fontId="13" fillId="38" borderId="55" xfId="1" applyNumberFormat="1" applyFont="1" applyFill="1" applyBorder="1" applyProtection="1">
      <protection locked="0"/>
    </xf>
    <xf numFmtId="165" fontId="13" fillId="38" borderId="85" xfId="1" applyNumberFormat="1" applyFont="1" applyFill="1" applyBorder="1" applyProtection="1">
      <protection locked="0"/>
    </xf>
    <xf numFmtId="165" fontId="13" fillId="38" borderId="104" xfId="1" applyNumberFormat="1" applyFont="1" applyFill="1" applyBorder="1" applyProtection="1">
      <protection locked="0"/>
    </xf>
    <xf numFmtId="165" fontId="13" fillId="38" borderId="84" xfId="1" applyNumberFormat="1" applyFont="1" applyFill="1" applyBorder="1" applyProtection="1">
      <protection locked="0"/>
    </xf>
    <xf numFmtId="165" fontId="13" fillId="38" borderId="11" xfId="1" applyNumberFormat="1" applyFont="1" applyFill="1" applyBorder="1" applyAlignment="1" applyProtection="1">
      <alignment horizontal="center" vertical="top" wrapText="1"/>
      <protection locked="0"/>
    </xf>
    <xf numFmtId="165" fontId="13" fillId="38" borderId="22" xfId="1" applyNumberFormat="1" applyFont="1" applyFill="1" applyBorder="1" applyAlignment="1" applyProtection="1">
      <alignment horizontal="center" vertical="top" wrapText="1"/>
      <protection locked="0"/>
    </xf>
    <xf numFmtId="165" fontId="13" fillId="38" borderId="53" xfId="1" applyNumberFormat="1" applyFont="1" applyFill="1" applyBorder="1" applyAlignment="1" applyProtection="1">
      <alignment horizontal="center" vertical="top" wrapText="1"/>
      <protection locked="0"/>
    </xf>
    <xf numFmtId="165" fontId="13" fillId="38" borderId="10" xfId="1" applyNumberFormat="1" applyFont="1" applyFill="1" applyBorder="1" applyAlignment="1" applyProtection="1">
      <alignment horizontal="center" vertical="top" wrapText="1"/>
      <protection locked="0"/>
    </xf>
    <xf numFmtId="165" fontId="13" fillId="38" borderId="0" xfId="1" applyNumberFormat="1" applyFont="1" applyFill="1" applyAlignment="1" applyProtection="1">
      <alignment horizontal="center" vertical="top" wrapText="1"/>
      <protection locked="0"/>
    </xf>
    <xf numFmtId="165" fontId="13" fillId="38" borderId="23" xfId="1" applyNumberFormat="1" applyFont="1" applyFill="1" applyBorder="1" applyAlignment="1" applyProtection="1">
      <alignment horizontal="center" vertical="top" wrapText="1"/>
      <protection locked="0"/>
    </xf>
    <xf numFmtId="165" fontId="13" fillId="38" borderId="85" xfId="1" applyNumberFormat="1" applyFont="1" applyFill="1" applyBorder="1" applyAlignment="1" applyProtection="1">
      <alignment horizontal="left" vertical="top" wrapText="1"/>
      <protection locked="0"/>
    </xf>
    <xf numFmtId="165" fontId="13" fillId="38" borderId="54" xfId="1" applyNumberFormat="1" applyFont="1" applyFill="1" applyBorder="1" applyAlignment="1" applyProtection="1">
      <alignment horizontal="center" vertical="top" wrapText="1"/>
      <protection locked="0"/>
    </xf>
    <xf numFmtId="165" fontId="13" fillId="38" borderId="57" xfId="1" applyNumberFormat="1" applyFont="1" applyFill="1" applyBorder="1" applyAlignment="1" applyProtection="1">
      <alignment horizontal="center" vertical="top" wrapText="1"/>
      <protection locked="0"/>
    </xf>
    <xf numFmtId="165" fontId="13" fillId="38" borderId="55" xfId="1" applyNumberFormat="1" applyFont="1" applyFill="1" applyBorder="1" applyAlignment="1" applyProtection="1">
      <alignment horizontal="center" vertical="top" wrapText="1"/>
      <protection locked="0"/>
    </xf>
    <xf numFmtId="165" fontId="13" fillId="38" borderId="85" xfId="1" applyNumberFormat="1" applyFont="1" applyFill="1" applyBorder="1" applyAlignment="1" applyProtection="1">
      <alignment horizontal="center" vertical="top" wrapText="1"/>
      <protection locked="0"/>
    </xf>
    <xf numFmtId="165" fontId="13" fillId="38" borderId="59" xfId="1" applyNumberFormat="1" applyFont="1" applyFill="1" applyBorder="1" applyAlignment="1" applyProtection="1">
      <alignment horizontal="center" vertical="top" wrapText="1"/>
      <protection locked="0"/>
    </xf>
    <xf numFmtId="165" fontId="13" fillId="38" borderId="58" xfId="1" applyNumberFormat="1" applyFont="1" applyFill="1" applyBorder="1" applyAlignment="1" applyProtection="1">
      <alignment horizontal="center" vertical="top" wrapText="1"/>
      <protection locked="0"/>
    </xf>
    <xf numFmtId="165" fontId="13" fillId="38" borderId="10" xfId="1" applyNumberFormat="1" applyFont="1" applyFill="1" applyBorder="1" applyAlignment="1" applyProtection="1">
      <alignment horizontal="left" vertical="top" wrapText="1"/>
      <protection locked="0"/>
    </xf>
    <xf numFmtId="168" fontId="13" fillId="38" borderId="53" xfId="0" applyNumberFormat="1" applyFont="1" applyFill="1" applyBorder="1" applyAlignment="1" applyProtection="1">
      <alignment horizontal="center" vertical="top" wrapText="1"/>
      <protection locked="0"/>
    </xf>
    <xf numFmtId="168" fontId="13" fillId="38" borderId="10" xfId="0" applyNumberFormat="1" applyFont="1" applyFill="1" applyBorder="1" applyAlignment="1" applyProtection="1">
      <alignment horizontal="center" vertical="top" wrapText="1"/>
      <protection locked="0"/>
    </xf>
    <xf numFmtId="168" fontId="13" fillId="38" borderId="11" xfId="1" applyNumberFormat="1" applyFont="1" applyFill="1" applyBorder="1" applyAlignment="1" applyProtection="1">
      <alignment horizontal="center" vertical="top" wrapText="1"/>
      <protection locked="0"/>
    </xf>
    <xf numFmtId="168" fontId="13" fillId="38" borderId="22" xfId="1" applyNumberFormat="1" applyFont="1" applyFill="1" applyBorder="1" applyAlignment="1" applyProtection="1">
      <alignment horizontal="center" vertical="top" wrapText="1"/>
      <protection locked="0"/>
    </xf>
    <xf numFmtId="168" fontId="13" fillId="38" borderId="53" xfId="1" applyNumberFormat="1" applyFont="1" applyFill="1" applyBorder="1" applyAlignment="1" applyProtection="1">
      <alignment horizontal="center" vertical="top" wrapText="1"/>
      <protection locked="0"/>
    </xf>
    <xf numFmtId="168" fontId="13" fillId="38" borderId="0" xfId="1" applyNumberFormat="1" applyFont="1" applyFill="1" applyAlignment="1" applyProtection="1">
      <alignment horizontal="center" vertical="top" wrapText="1"/>
      <protection locked="0"/>
    </xf>
    <xf numFmtId="168" fontId="13" fillId="38" borderId="23" xfId="1" applyNumberFormat="1" applyFont="1" applyFill="1" applyBorder="1" applyAlignment="1" applyProtection="1">
      <alignment horizontal="center" vertical="top" wrapText="1"/>
      <protection locked="0"/>
    </xf>
    <xf numFmtId="174" fontId="15" fillId="38" borderId="10" xfId="0" applyNumberFormat="1" applyFont="1" applyFill="1" applyBorder="1" applyProtection="1">
      <protection locked="0"/>
    </xf>
    <xf numFmtId="0" fontId="18" fillId="38" borderId="0" xfId="0" applyFont="1" applyFill="1" applyProtection="1">
      <protection locked="0"/>
    </xf>
    <xf numFmtId="0" fontId="15" fillId="38" borderId="0" xfId="0" applyFont="1" applyFill="1" applyAlignment="1" applyProtection="1">
      <alignment horizontal="center"/>
      <protection locked="0"/>
    </xf>
    <xf numFmtId="0" fontId="13" fillId="38" borderId="0" xfId="0" applyFont="1" applyFill="1" applyAlignment="1" applyProtection="1">
      <alignment horizontal="center"/>
      <protection locked="0"/>
    </xf>
    <xf numFmtId="0" fontId="13" fillId="38" borderId="22" xfId="0" applyFont="1" applyFill="1" applyBorder="1" applyAlignment="1" applyProtection="1">
      <alignment horizontal="center"/>
      <protection locked="0"/>
    </xf>
    <xf numFmtId="0" fontId="13" fillId="38" borderId="62" xfId="0" applyFont="1" applyFill="1" applyBorder="1" applyAlignment="1" applyProtection="1">
      <alignment horizontal="center"/>
      <protection locked="0"/>
    </xf>
    <xf numFmtId="0" fontId="13" fillId="38" borderId="23" xfId="0" applyFont="1" applyFill="1" applyBorder="1" applyAlignment="1" applyProtection="1">
      <alignment horizontal="center"/>
      <protection locked="0"/>
    </xf>
    <xf numFmtId="175" fontId="15" fillId="38" borderId="22" xfId="0" applyNumberFormat="1" applyFont="1" applyFill="1" applyBorder="1" applyProtection="1">
      <protection locked="0"/>
    </xf>
    <xf numFmtId="175" fontId="15" fillId="38" borderId="62" xfId="0" applyNumberFormat="1" applyFont="1" applyFill="1" applyBorder="1" applyProtection="1">
      <protection locked="0"/>
    </xf>
    <xf numFmtId="175" fontId="15" fillId="38" borderId="23" xfId="0" applyNumberFormat="1" applyFont="1" applyFill="1" applyBorder="1" applyProtection="1">
      <protection locked="0"/>
    </xf>
    <xf numFmtId="14" fontId="13" fillId="38" borderId="22" xfId="0" applyNumberFormat="1" applyFont="1" applyFill="1" applyBorder="1" applyAlignment="1" applyProtection="1">
      <alignment horizontal="center"/>
      <protection locked="0"/>
    </xf>
    <xf numFmtId="14" fontId="13" fillId="38" borderId="23" xfId="0" applyNumberFormat="1" applyFont="1" applyFill="1" applyBorder="1" applyAlignment="1" applyProtection="1">
      <alignment horizontal="center"/>
      <protection locked="0"/>
    </xf>
    <xf numFmtId="14" fontId="13" fillId="38" borderId="11" xfId="0" applyNumberFormat="1" applyFont="1" applyFill="1" applyBorder="1" applyAlignment="1" applyProtection="1">
      <alignment horizontal="center"/>
      <protection locked="0"/>
    </xf>
    <xf numFmtId="0" fontId="15" fillId="38" borderId="22" xfId="0" applyFont="1" applyFill="1" applyBorder="1" applyAlignment="1" applyProtection="1">
      <alignment horizontal="center"/>
      <protection locked="0"/>
    </xf>
    <xf numFmtId="0" fontId="15" fillId="38" borderId="23" xfId="0" applyFont="1" applyFill="1" applyBorder="1" applyAlignment="1" applyProtection="1">
      <alignment horizontal="center"/>
      <protection locked="0"/>
    </xf>
    <xf numFmtId="0" fontId="15" fillId="38" borderId="11" xfId="0" applyFont="1" applyFill="1" applyBorder="1" applyAlignment="1" applyProtection="1">
      <alignment horizontal="center"/>
      <protection locked="0"/>
    </xf>
    <xf numFmtId="0" fontId="13" fillId="38" borderId="11" xfId="0" applyFont="1" applyFill="1" applyBorder="1" applyAlignment="1" applyProtection="1">
      <alignment horizontal="center"/>
      <protection locked="0"/>
    </xf>
    <xf numFmtId="175" fontId="15" fillId="38" borderId="22" xfId="1" applyNumberFormat="1" applyFont="1" applyFill="1" applyBorder="1" applyProtection="1">
      <protection locked="0"/>
    </xf>
    <xf numFmtId="175" fontId="15" fillId="38" borderId="23" xfId="1" applyNumberFormat="1" applyFont="1" applyFill="1" applyBorder="1" applyProtection="1">
      <protection locked="0"/>
    </xf>
    <xf numFmtId="173" fontId="13" fillId="38" borderId="22" xfId="1" applyNumberFormat="1" applyFont="1" applyFill="1" applyBorder="1" applyProtection="1">
      <protection locked="0"/>
    </xf>
    <xf numFmtId="173" fontId="13" fillId="38" borderId="23" xfId="1" applyNumberFormat="1" applyFont="1" applyFill="1" applyBorder="1" applyProtection="1">
      <protection locked="0"/>
    </xf>
    <xf numFmtId="173" fontId="13" fillId="38" borderId="11" xfId="1" applyNumberFormat="1" applyFont="1" applyFill="1" applyBorder="1" applyProtection="1">
      <protection locked="0"/>
    </xf>
    <xf numFmtId="175" fontId="13" fillId="38" borderId="62" xfId="1" applyNumberFormat="1" applyFont="1" applyFill="1" applyBorder="1" applyProtection="1">
      <protection locked="0"/>
    </xf>
    <xf numFmtId="173" fontId="13" fillId="38" borderId="62" xfId="1" applyNumberFormat="1" applyFont="1" applyFill="1" applyBorder="1" applyProtection="1">
      <protection locked="0"/>
    </xf>
    <xf numFmtId="173" fontId="13" fillId="38" borderId="0" xfId="1" applyNumberFormat="1" applyFont="1" applyFill="1" applyProtection="1">
      <protection locked="0"/>
    </xf>
    <xf numFmtId="173" fontId="13" fillId="38" borderId="22" xfId="0" applyNumberFormat="1" applyFont="1" applyFill="1" applyBorder="1" applyProtection="1">
      <protection locked="0"/>
    </xf>
    <xf numFmtId="173" fontId="13" fillId="38" borderId="23" xfId="0" applyNumberFormat="1" applyFont="1" applyFill="1" applyBorder="1" applyProtection="1">
      <protection locked="0"/>
    </xf>
    <xf numFmtId="173" fontId="13" fillId="38" borderId="11" xfId="0" applyNumberFormat="1" applyFont="1" applyFill="1" applyBorder="1" applyProtection="1">
      <protection locked="0"/>
    </xf>
    <xf numFmtId="173" fontId="13" fillId="38" borderId="62" xfId="0" applyNumberFormat="1" applyFont="1" applyFill="1" applyBorder="1" applyProtection="1">
      <protection locked="0"/>
    </xf>
    <xf numFmtId="173" fontId="13" fillId="38" borderId="0" xfId="0" applyNumberFormat="1" applyFont="1" applyFill="1" applyProtection="1">
      <protection locked="0"/>
    </xf>
    <xf numFmtId="173" fontId="15" fillId="38" borderId="22" xfId="0" applyNumberFormat="1" applyFont="1" applyFill="1" applyBorder="1" applyProtection="1">
      <protection locked="0"/>
    </xf>
    <xf numFmtId="173" fontId="15" fillId="38" borderId="23" xfId="0" applyNumberFormat="1" applyFont="1" applyFill="1" applyBorder="1" applyProtection="1">
      <protection locked="0"/>
    </xf>
    <xf numFmtId="164" fontId="13" fillId="38" borderId="22" xfId="1" applyFont="1" applyFill="1" applyBorder="1" applyProtection="1">
      <protection locked="0"/>
    </xf>
    <xf numFmtId="164" fontId="13" fillId="38" borderId="23" xfId="1" applyFont="1" applyFill="1" applyBorder="1" applyProtection="1">
      <protection locked="0"/>
    </xf>
    <xf numFmtId="164" fontId="13" fillId="38" borderId="11" xfId="1" applyFont="1" applyFill="1" applyBorder="1" applyProtection="1">
      <protection locked="0"/>
    </xf>
    <xf numFmtId="164" fontId="13" fillId="38" borderId="62" xfId="1" applyFont="1" applyFill="1" applyBorder="1" applyProtection="1">
      <protection locked="0"/>
    </xf>
    <xf numFmtId="164" fontId="13" fillId="38" borderId="0" xfId="1" applyFont="1" applyFill="1" applyProtection="1">
      <protection locked="0"/>
    </xf>
    <xf numFmtId="0" fontId="13" fillId="38" borderId="0" xfId="1" applyNumberFormat="1" applyFont="1" applyFill="1" applyAlignment="1" applyProtection="1">
      <alignment horizontal="center"/>
      <protection locked="0"/>
    </xf>
    <xf numFmtId="0" fontId="13" fillId="38" borderId="23" xfId="1" applyNumberFormat="1" applyFont="1" applyFill="1" applyBorder="1" applyAlignment="1" applyProtection="1">
      <alignment horizontal="center"/>
      <protection locked="0"/>
    </xf>
    <xf numFmtId="0" fontId="13" fillId="38" borderId="11" xfId="1" applyNumberFormat="1" applyFont="1" applyFill="1" applyBorder="1" applyAlignment="1" applyProtection="1">
      <alignment horizontal="center"/>
      <protection locked="0"/>
    </xf>
    <xf numFmtId="171" fontId="13" fillId="38" borderId="22" xfId="0" applyNumberFormat="1" applyFont="1" applyFill="1" applyBorder="1" applyAlignment="1" applyProtection="1">
      <alignment horizontal="center"/>
      <protection locked="0"/>
    </xf>
    <xf numFmtId="171" fontId="13" fillId="38" borderId="23" xfId="0" applyNumberFormat="1" applyFont="1" applyFill="1" applyBorder="1" applyAlignment="1" applyProtection="1">
      <alignment horizontal="center"/>
      <protection locked="0"/>
    </xf>
    <xf numFmtId="171" fontId="13" fillId="38" borderId="11" xfId="0" applyNumberFormat="1" applyFont="1" applyFill="1" applyBorder="1" applyAlignment="1" applyProtection="1">
      <alignment horizontal="center"/>
      <protection locked="0"/>
    </xf>
    <xf numFmtId="171" fontId="13" fillId="38" borderId="0" xfId="0" applyNumberFormat="1" applyFont="1" applyFill="1" applyAlignment="1" applyProtection="1">
      <alignment horizontal="center"/>
      <protection locked="0"/>
    </xf>
    <xf numFmtId="171" fontId="13" fillId="38" borderId="22" xfId="7" applyNumberFormat="1" applyFont="1" applyFill="1" applyBorder="1" applyAlignment="1" applyProtection="1">
      <alignment horizontal="center"/>
      <protection locked="0"/>
    </xf>
    <xf numFmtId="171" fontId="13" fillId="38" borderId="23" xfId="7" applyNumberFormat="1" applyFont="1" applyFill="1" applyBorder="1" applyAlignment="1" applyProtection="1">
      <alignment horizontal="center"/>
      <protection locked="0"/>
    </xf>
    <xf numFmtId="171" fontId="13" fillId="38" borderId="11" xfId="7" applyNumberFormat="1" applyFont="1" applyFill="1" applyBorder="1" applyAlignment="1" applyProtection="1">
      <alignment horizontal="center"/>
      <protection locked="0"/>
    </xf>
    <xf numFmtId="171" fontId="13" fillId="38" borderId="62" xfId="7" applyNumberFormat="1" applyFont="1" applyFill="1" applyBorder="1" applyAlignment="1" applyProtection="1">
      <alignment horizontal="center"/>
      <protection locked="0"/>
    </xf>
    <xf numFmtId="171" fontId="13" fillId="38" borderId="0" xfId="7" applyNumberFormat="1" applyFont="1" applyFill="1" applyAlignment="1" applyProtection="1">
      <alignment horizontal="center"/>
      <protection locked="0"/>
    </xf>
    <xf numFmtId="174" fontId="13" fillId="38" borderId="22" xfId="7" applyNumberFormat="1" applyFont="1" applyFill="1" applyBorder="1" applyAlignment="1" applyProtection="1">
      <alignment horizontal="center"/>
      <protection locked="0"/>
    </xf>
    <xf numFmtId="174" fontId="13" fillId="38" borderId="23" xfId="7" applyNumberFormat="1" applyFont="1" applyFill="1" applyBorder="1" applyAlignment="1" applyProtection="1">
      <alignment horizontal="center"/>
      <protection locked="0"/>
    </xf>
    <xf numFmtId="174" fontId="13" fillId="38" borderId="11" xfId="7" applyNumberFormat="1" applyFont="1" applyFill="1" applyBorder="1" applyAlignment="1" applyProtection="1">
      <alignment horizontal="center"/>
      <protection locked="0"/>
    </xf>
    <xf numFmtId="174" fontId="13" fillId="38" borderId="62" xfId="7" applyNumberFormat="1" applyFont="1" applyFill="1" applyBorder="1" applyAlignment="1" applyProtection="1">
      <alignment horizontal="center"/>
      <protection locked="0"/>
    </xf>
    <xf numFmtId="174" fontId="13" fillId="38" borderId="0" xfId="7" applyNumberFormat="1" applyFont="1" applyFill="1" applyAlignment="1" applyProtection="1">
      <alignment horizontal="center"/>
      <protection locked="0"/>
    </xf>
    <xf numFmtId="174" fontId="13" fillId="38" borderId="30" xfId="7" applyNumberFormat="1" applyFont="1" applyFill="1" applyBorder="1" applyAlignment="1" applyProtection="1">
      <alignment horizontal="center"/>
      <protection locked="0"/>
    </xf>
    <xf numFmtId="174" fontId="13" fillId="38" borderId="35" xfId="7" applyNumberFormat="1" applyFont="1" applyFill="1" applyBorder="1" applyAlignment="1" applyProtection="1">
      <alignment horizontal="center"/>
      <protection locked="0"/>
    </xf>
    <xf numFmtId="174" fontId="13" fillId="38" borderId="36" xfId="7" applyNumberFormat="1" applyFont="1" applyFill="1" applyBorder="1" applyAlignment="1" applyProtection="1">
      <alignment horizontal="center"/>
      <protection locked="0"/>
    </xf>
    <xf numFmtId="174" fontId="13" fillId="38" borderId="67" xfId="7" applyNumberFormat="1" applyFont="1" applyFill="1" applyBorder="1" applyAlignment="1" applyProtection="1">
      <alignment horizontal="center"/>
      <protection locked="0"/>
    </xf>
    <xf numFmtId="174" fontId="13" fillId="38" borderId="34" xfId="7" applyNumberFormat="1" applyFont="1" applyFill="1" applyBorder="1" applyAlignment="1" applyProtection="1">
      <alignment horizontal="center"/>
      <protection locked="0"/>
    </xf>
    <xf numFmtId="174" fontId="13" fillId="38" borderId="35" xfId="0" applyNumberFormat="1" applyFont="1" applyFill="1" applyBorder="1" applyProtection="1">
      <protection locked="0"/>
    </xf>
    <xf numFmtId="174" fontId="13" fillId="38" borderId="57" xfId="7" applyNumberFormat="1" applyFont="1" applyFill="1" applyBorder="1" applyAlignment="1" applyProtection="1">
      <alignment horizontal="center"/>
      <protection locked="0"/>
    </xf>
    <xf numFmtId="174" fontId="13" fillId="38" borderId="58" xfId="7" applyNumberFormat="1" applyFont="1" applyFill="1" applyBorder="1" applyAlignment="1" applyProtection="1">
      <alignment horizontal="center"/>
      <protection locked="0"/>
    </xf>
    <xf numFmtId="174" fontId="13" fillId="38" borderId="54" xfId="7" applyNumberFormat="1" applyFont="1" applyFill="1" applyBorder="1" applyAlignment="1" applyProtection="1">
      <alignment horizontal="center"/>
      <protection locked="0"/>
    </xf>
    <xf numFmtId="174" fontId="13" fillId="38" borderId="84" xfId="7" applyNumberFormat="1" applyFont="1" applyFill="1" applyBorder="1" applyAlignment="1" applyProtection="1">
      <alignment horizontal="center"/>
      <protection locked="0"/>
    </xf>
    <xf numFmtId="174" fontId="13" fillId="38" borderId="59" xfId="7" applyNumberFormat="1" applyFont="1" applyFill="1" applyBorder="1" applyAlignment="1" applyProtection="1">
      <alignment horizontal="center"/>
      <protection locked="0"/>
    </xf>
    <xf numFmtId="0" fontId="13" fillId="38" borderId="22" xfId="1" applyNumberFormat="1" applyFont="1" applyFill="1" applyBorder="1" applyAlignment="1" applyProtection="1">
      <alignment horizontal="center"/>
      <protection locked="0"/>
    </xf>
    <xf numFmtId="0" fontId="13" fillId="38" borderId="62" xfId="1" applyNumberFormat="1" applyFont="1" applyFill="1" applyBorder="1" applyAlignment="1" applyProtection="1">
      <alignment horizontal="center"/>
      <protection locked="0"/>
    </xf>
    <xf numFmtId="173" fontId="15" fillId="38" borderId="62" xfId="0" applyNumberFormat="1" applyFont="1" applyFill="1" applyBorder="1" applyProtection="1">
      <protection locked="0"/>
    </xf>
    <xf numFmtId="177" fontId="13" fillId="38" borderId="22" xfId="1" applyNumberFormat="1" applyFont="1" applyFill="1" applyBorder="1" applyProtection="1">
      <protection locked="0"/>
    </xf>
    <xf numFmtId="177" fontId="13" fillId="38" borderId="62" xfId="1" applyNumberFormat="1" applyFont="1" applyFill="1" applyBorder="1" applyProtection="1">
      <protection locked="0"/>
    </xf>
    <xf numFmtId="174" fontId="13" fillId="38" borderId="30" xfId="1" applyNumberFormat="1" applyFont="1" applyFill="1" applyBorder="1" applyProtection="1">
      <protection locked="0"/>
    </xf>
    <xf numFmtId="174" fontId="13" fillId="38" borderId="67" xfId="1" applyNumberFormat="1" applyFont="1" applyFill="1" applyBorder="1" applyProtection="1">
      <protection locked="0"/>
    </xf>
    <xf numFmtId="165" fontId="13" fillId="38" borderId="22" xfId="1" applyNumberFormat="1" applyFont="1" applyFill="1" applyBorder="1" applyAlignment="1" applyProtection="1">
      <alignment vertical="top" wrapText="1"/>
      <protection locked="0"/>
    </xf>
    <xf numFmtId="181" fontId="13" fillId="38" borderId="22" xfId="1" applyNumberFormat="1" applyFont="1" applyFill="1" applyBorder="1" applyAlignment="1" applyProtection="1">
      <alignment vertical="top" wrapText="1"/>
      <protection locked="0"/>
    </xf>
    <xf numFmtId="181" fontId="13" fillId="38" borderId="23" xfId="1" applyNumberFormat="1" applyFont="1" applyFill="1" applyBorder="1" applyAlignment="1" applyProtection="1">
      <alignment vertical="top" wrapText="1"/>
      <protection locked="0"/>
    </xf>
    <xf numFmtId="181" fontId="13" fillId="38" borderId="11" xfId="1" applyNumberFormat="1" applyFont="1" applyFill="1" applyBorder="1" applyAlignment="1" applyProtection="1">
      <alignment vertical="top" wrapText="1"/>
      <protection locked="0"/>
    </xf>
    <xf numFmtId="165" fontId="13" fillId="38" borderId="23" xfId="1" applyNumberFormat="1" applyFont="1" applyFill="1" applyBorder="1" applyAlignment="1" applyProtection="1">
      <alignment vertical="top" wrapText="1"/>
      <protection locked="0"/>
    </xf>
    <xf numFmtId="165" fontId="13" fillId="38" borderId="11" xfId="1" applyNumberFormat="1" applyFont="1" applyFill="1" applyBorder="1" applyAlignment="1" applyProtection="1">
      <alignment vertical="top" wrapText="1"/>
      <protection locked="0"/>
    </xf>
    <xf numFmtId="0" fontId="18" fillId="38" borderId="22" xfId="1" applyNumberFormat="1" applyFont="1" applyFill="1" applyBorder="1" applyAlignment="1" applyProtection="1">
      <alignment vertical="top" wrapText="1"/>
      <protection locked="0"/>
    </xf>
    <xf numFmtId="178" fontId="13" fillId="38" borderId="22" xfId="1" applyNumberFormat="1" applyFont="1" applyFill="1" applyBorder="1" applyAlignment="1" applyProtection="1">
      <alignment vertical="top" wrapText="1"/>
      <protection locked="0"/>
    </xf>
    <xf numFmtId="178" fontId="13" fillId="38" borderId="23" xfId="1" applyNumberFormat="1" applyFont="1" applyFill="1" applyBorder="1" applyAlignment="1" applyProtection="1">
      <alignment vertical="top" wrapText="1"/>
      <protection locked="0"/>
    </xf>
    <xf numFmtId="178" fontId="13" fillId="38" borderId="11" xfId="1" applyNumberFormat="1" applyFont="1" applyFill="1" applyBorder="1" applyAlignment="1" applyProtection="1">
      <alignment vertical="top" wrapText="1"/>
      <protection locked="0"/>
    </xf>
    <xf numFmtId="178" fontId="13" fillId="38" borderId="0" xfId="1" applyNumberFormat="1" applyFont="1" applyFill="1" applyAlignment="1" applyProtection="1">
      <alignment vertical="top" wrapText="1"/>
      <protection locked="0"/>
    </xf>
    <xf numFmtId="179" fontId="13" fillId="38" borderId="10" xfId="7" applyNumberFormat="1" applyFont="1" applyFill="1" applyBorder="1" applyAlignment="1" applyProtection="1">
      <alignment vertical="top" wrapText="1"/>
      <protection locked="0"/>
    </xf>
    <xf numFmtId="0" fontId="13" fillId="38" borderId="53" xfId="0" applyFont="1" applyFill="1" applyBorder="1" applyAlignment="1" applyProtection="1">
      <alignment horizontal="center"/>
      <protection locked="0"/>
    </xf>
    <xf numFmtId="180" fontId="13" fillId="38" borderId="62" xfId="0" applyNumberFormat="1" applyFont="1" applyFill="1" applyBorder="1" applyAlignment="1" applyProtection="1">
      <alignment horizontal="center"/>
      <protection locked="0"/>
    </xf>
    <xf numFmtId="0" fontId="13" fillId="38" borderId="11" xfId="0" applyFont="1" applyFill="1" applyBorder="1" applyAlignment="1" applyProtection="1">
      <alignment horizontal="left" indent="2"/>
      <protection locked="0"/>
    </xf>
    <xf numFmtId="174" fontId="13" fillId="38" borderId="36" xfId="0" applyNumberFormat="1" applyFont="1" applyFill="1" applyBorder="1" applyProtection="1">
      <protection locked="0"/>
    </xf>
    <xf numFmtId="174" fontId="13" fillId="38" borderId="34" xfId="0" applyNumberFormat="1" applyFont="1" applyFill="1" applyBorder="1" applyProtection="1">
      <protection locked="0"/>
    </xf>
    <xf numFmtId="174" fontId="13" fillId="38" borderId="37" xfId="0" applyNumberFormat="1" applyFont="1" applyFill="1" applyBorder="1" applyProtection="1">
      <protection locked="0"/>
    </xf>
    <xf numFmtId="174" fontId="13" fillId="38" borderId="54" xfId="0" applyNumberFormat="1" applyFont="1" applyFill="1" applyBorder="1" applyProtection="1">
      <protection locked="0"/>
    </xf>
    <xf numFmtId="174" fontId="13" fillId="38" borderId="59" xfId="0" applyNumberFormat="1" applyFont="1" applyFill="1" applyBorder="1" applyProtection="1">
      <protection locked="0"/>
    </xf>
    <xf numFmtId="0" fontId="18" fillId="38" borderId="11" xfId="0" applyFont="1" applyFill="1" applyBorder="1" applyAlignment="1" applyProtection="1">
      <alignment horizontal="left" indent="2"/>
      <protection locked="0"/>
    </xf>
    <xf numFmtId="0" fontId="13" fillId="38" borderId="11" xfId="0" applyFont="1" applyFill="1" applyBorder="1" applyAlignment="1" applyProtection="1">
      <alignment horizontal="left" wrapText="1" indent="2"/>
      <protection locked="0"/>
    </xf>
    <xf numFmtId="174" fontId="13" fillId="38" borderId="46" xfId="0" applyNumberFormat="1" applyFont="1" applyFill="1" applyBorder="1" applyProtection="1">
      <protection locked="0"/>
    </xf>
    <xf numFmtId="174" fontId="13" fillId="38" borderId="47" xfId="0" applyNumberFormat="1" applyFont="1" applyFill="1" applyBorder="1" applyProtection="1">
      <protection locked="0"/>
    </xf>
    <xf numFmtId="174" fontId="13" fillId="38" borderId="48" xfId="0" applyNumberFormat="1" applyFont="1" applyFill="1" applyBorder="1" applyProtection="1">
      <protection locked="0"/>
    </xf>
    <xf numFmtId="174" fontId="13" fillId="38" borderId="45" xfId="0" applyNumberFormat="1" applyFont="1" applyFill="1" applyBorder="1" applyProtection="1">
      <protection locked="0"/>
    </xf>
    <xf numFmtId="174" fontId="13" fillId="38" borderId="49" xfId="0" applyNumberFormat="1" applyFont="1" applyFill="1" applyBorder="1" applyProtection="1">
      <protection locked="0"/>
    </xf>
    <xf numFmtId="0" fontId="15" fillId="38" borderId="11" xfId="0" applyFont="1" applyFill="1" applyBorder="1" applyAlignment="1" applyProtection="1">
      <alignment horizontal="left" indent="1"/>
      <protection locked="0"/>
    </xf>
    <xf numFmtId="175" fontId="13" fillId="38" borderId="22" xfId="1" applyNumberFormat="1" applyFont="1" applyFill="1" applyBorder="1" applyAlignment="1" applyProtection="1">
      <alignment horizontal="center"/>
      <protection locked="0"/>
    </xf>
    <xf numFmtId="175" fontId="15" fillId="38" borderId="22" xfId="1" applyNumberFormat="1" applyFont="1" applyFill="1" applyBorder="1" applyAlignment="1" applyProtection="1">
      <alignment horizontal="center"/>
      <protection locked="0"/>
    </xf>
    <xf numFmtId="175" fontId="15" fillId="38" borderId="23" xfId="1" applyNumberFormat="1" applyFont="1" applyFill="1" applyBorder="1" applyAlignment="1" applyProtection="1">
      <alignment horizontal="center"/>
      <protection locked="0"/>
    </xf>
    <xf numFmtId="175" fontId="15" fillId="38" borderId="11" xfId="7" applyNumberFormat="1" applyFont="1" applyFill="1" applyBorder="1" applyAlignment="1" applyProtection="1">
      <alignment horizontal="center"/>
      <protection locked="0"/>
    </xf>
    <xf numFmtId="175" fontId="15" fillId="38" borderId="22" xfId="7" applyNumberFormat="1" applyFont="1" applyFill="1" applyBorder="1" applyAlignment="1" applyProtection="1">
      <alignment horizontal="center"/>
      <protection locked="0"/>
    </xf>
    <xf numFmtId="175" fontId="15" fillId="38" borderId="62" xfId="7" applyNumberFormat="1" applyFont="1" applyFill="1" applyBorder="1" applyAlignment="1" applyProtection="1">
      <alignment horizontal="center"/>
      <protection locked="0"/>
    </xf>
    <xf numFmtId="175" fontId="15" fillId="38" borderId="0" xfId="7" applyNumberFormat="1" applyFont="1" applyFill="1" applyAlignment="1" applyProtection="1">
      <alignment horizontal="center"/>
      <protection locked="0"/>
    </xf>
    <xf numFmtId="175" fontId="15" fillId="38" borderId="23" xfId="7" applyNumberFormat="1" applyFont="1" applyFill="1" applyBorder="1" applyAlignment="1" applyProtection="1">
      <alignment horizontal="center"/>
      <protection locked="0"/>
    </xf>
    <xf numFmtId="175" fontId="15" fillId="38" borderId="17" xfId="1" applyNumberFormat="1" applyFont="1" applyFill="1" applyBorder="1" applyProtection="1">
      <protection locked="0"/>
    </xf>
    <xf numFmtId="175" fontId="15" fillId="38" borderId="17" xfId="1" applyNumberFormat="1" applyFont="1" applyFill="1" applyBorder="1" applyAlignment="1" applyProtection="1">
      <alignment horizontal="center"/>
      <protection locked="0"/>
    </xf>
    <xf numFmtId="175" fontId="15" fillId="38" borderId="24" xfId="1" applyNumberFormat="1" applyFont="1" applyFill="1" applyBorder="1" applyAlignment="1" applyProtection="1">
      <alignment horizontal="center"/>
      <protection locked="0"/>
    </xf>
    <xf numFmtId="175" fontId="15" fillId="38" borderId="12" xfId="7" applyNumberFormat="1" applyFont="1" applyFill="1" applyBorder="1" applyAlignment="1" applyProtection="1">
      <alignment horizontal="center"/>
      <protection locked="0"/>
    </xf>
    <xf numFmtId="175" fontId="15" fillId="38" borderId="17" xfId="7" applyNumberFormat="1" applyFont="1" applyFill="1" applyBorder="1" applyAlignment="1" applyProtection="1">
      <alignment horizontal="center"/>
      <protection locked="0"/>
    </xf>
    <xf numFmtId="175" fontId="15" fillId="38" borderId="63" xfId="7" applyNumberFormat="1" applyFont="1" applyFill="1" applyBorder="1" applyAlignment="1" applyProtection="1">
      <alignment horizontal="center"/>
      <protection locked="0"/>
    </xf>
    <xf numFmtId="175" fontId="15" fillId="38" borderId="14" xfId="7" applyNumberFormat="1" applyFont="1" applyFill="1" applyBorder="1" applyAlignment="1" applyProtection="1">
      <alignment horizontal="center"/>
      <protection locked="0"/>
    </xf>
    <xf numFmtId="175" fontId="15" fillId="38" borderId="24" xfId="7" applyNumberFormat="1" applyFont="1" applyFill="1" applyBorder="1" applyAlignment="1" applyProtection="1">
      <alignment horizontal="center"/>
      <protection locked="0"/>
    </xf>
    <xf numFmtId="173" fontId="13" fillId="38" borderId="33" xfId="0" applyNumberFormat="1" applyFont="1" applyFill="1" applyBorder="1" applyProtection="1">
      <protection locked="0"/>
    </xf>
    <xf numFmtId="173" fontId="15" fillId="38" borderId="56" xfId="0" applyNumberFormat="1" applyFont="1" applyFill="1" applyBorder="1" applyProtection="1">
      <protection locked="0"/>
    </xf>
    <xf numFmtId="173" fontId="15" fillId="38" borderId="57" xfId="0" applyNumberFormat="1" applyFont="1" applyFill="1" applyBorder="1" applyProtection="1">
      <protection locked="0"/>
    </xf>
    <xf numFmtId="173" fontId="15" fillId="38" borderId="58" xfId="0" applyNumberFormat="1" applyFont="1" applyFill="1" applyBorder="1" applyProtection="1">
      <protection locked="0"/>
    </xf>
    <xf numFmtId="173" fontId="15" fillId="38" borderId="54" xfId="0" applyNumberFormat="1" applyFont="1" applyFill="1" applyBorder="1" applyProtection="1">
      <protection locked="0"/>
    </xf>
    <xf numFmtId="173" fontId="15" fillId="38" borderId="59" xfId="0" applyNumberFormat="1" applyFont="1" applyFill="1" applyBorder="1" applyProtection="1">
      <protection locked="0"/>
    </xf>
    <xf numFmtId="0" fontId="13" fillId="38" borderId="11" xfId="0" applyFont="1" applyFill="1" applyBorder="1" applyProtection="1">
      <protection locked="0"/>
    </xf>
    <xf numFmtId="0" fontId="13" fillId="38" borderId="22" xfId="0" applyFont="1" applyFill="1" applyBorder="1" applyProtection="1">
      <protection locked="0"/>
    </xf>
    <xf numFmtId="180" fontId="13" fillId="38" borderId="22" xfId="0" applyNumberFormat="1" applyFont="1" applyFill="1" applyBorder="1" applyAlignment="1" applyProtection="1">
      <alignment horizontal="center"/>
      <protection locked="0"/>
    </xf>
    <xf numFmtId="180" fontId="13" fillId="38" borderId="22" xfId="0" quotePrefix="1" applyNumberFormat="1" applyFont="1" applyFill="1" applyBorder="1" applyAlignment="1" applyProtection="1">
      <alignment horizontal="center"/>
      <protection locked="0"/>
    </xf>
    <xf numFmtId="0" fontId="15" fillId="38" borderId="12" xfId="0" applyFont="1" applyFill="1" applyBorder="1" applyProtection="1">
      <protection locked="0"/>
    </xf>
    <xf numFmtId="0" fontId="13" fillId="38" borderId="17" xfId="0" applyFont="1" applyFill="1" applyBorder="1" applyAlignment="1" applyProtection="1">
      <alignment horizontal="center"/>
      <protection locked="0"/>
    </xf>
    <xf numFmtId="0" fontId="13" fillId="38" borderId="17" xfId="0" applyFont="1" applyFill="1" applyBorder="1" applyProtection="1">
      <protection locked="0"/>
    </xf>
    <xf numFmtId="174" fontId="15" fillId="38" borderId="24" xfId="0" applyNumberFormat="1" applyFont="1" applyFill="1" applyBorder="1" applyProtection="1">
      <protection locked="0"/>
    </xf>
    <xf numFmtId="174" fontId="15" fillId="38" borderId="22" xfId="0" applyNumberFormat="1" applyFont="1" applyFill="1" applyBorder="1" applyAlignment="1" applyProtection="1">
      <alignment horizontal="center"/>
      <protection locked="0"/>
    </xf>
    <xf numFmtId="174" fontId="15" fillId="38" borderId="0" xfId="0" applyNumberFormat="1" applyFont="1" applyFill="1" applyAlignment="1" applyProtection="1">
      <alignment horizontal="center"/>
      <protection locked="0"/>
    </xf>
    <xf numFmtId="174" fontId="15" fillId="38" borderId="11" xfId="0" applyNumberFormat="1" applyFont="1" applyFill="1" applyBorder="1" applyAlignment="1" applyProtection="1">
      <alignment horizontal="center"/>
      <protection locked="0"/>
    </xf>
    <xf numFmtId="174" fontId="15" fillId="38" borderId="23" xfId="0" applyNumberFormat="1" applyFont="1" applyFill="1" applyBorder="1" applyAlignment="1" applyProtection="1">
      <alignment horizontal="center"/>
      <protection locked="0"/>
    </xf>
    <xf numFmtId="0" fontId="15" fillId="38" borderId="11" xfId="0" applyFont="1" applyFill="1" applyBorder="1" applyAlignment="1" applyProtection="1">
      <alignment horizontal="left"/>
      <protection locked="0"/>
    </xf>
    <xf numFmtId="0" fontId="18" fillId="38" borderId="22" xfId="0" applyFont="1" applyFill="1" applyBorder="1" applyAlignment="1" applyProtection="1">
      <alignment horizontal="center"/>
      <protection locked="0"/>
    </xf>
    <xf numFmtId="0" fontId="18" fillId="38" borderId="0" xfId="0" applyFont="1" applyFill="1" applyAlignment="1" applyProtection="1">
      <alignment horizontal="center"/>
      <protection locked="0"/>
    </xf>
    <xf numFmtId="0" fontId="18" fillId="38" borderId="62" xfId="0" applyFont="1" applyFill="1" applyBorder="1" applyAlignment="1" applyProtection="1">
      <alignment horizontal="center"/>
      <protection locked="0"/>
    </xf>
    <xf numFmtId="0" fontId="15" fillId="38" borderId="11" xfId="0" applyFont="1" applyFill="1" applyBorder="1" applyProtection="1">
      <protection locked="0"/>
    </xf>
    <xf numFmtId="0" fontId="15" fillId="38" borderId="0" xfId="1" applyNumberFormat="1" applyFont="1" applyFill="1" applyAlignment="1" applyProtection="1">
      <alignment horizontal="center"/>
      <protection locked="0"/>
    </xf>
    <xf numFmtId="174" fontId="15" fillId="38" borderId="53" xfId="0" applyNumberFormat="1" applyFont="1" applyFill="1" applyBorder="1" applyAlignment="1" applyProtection="1">
      <alignment horizontal="center"/>
      <protection locked="0"/>
    </xf>
    <xf numFmtId="0" fontId="38" fillId="38" borderId="62" xfId="0" applyFont="1" applyFill="1" applyBorder="1" applyAlignment="1" applyProtection="1">
      <alignment horizontal="center"/>
      <protection locked="0"/>
    </xf>
    <xf numFmtId="174" fontId="13" fillId="38" borderId="53" xfId="1" applyNumberFormat="1" applyFont="1" applyFill="1" applyBorder="1" applyProtection="1">
      <protection locked="0"/>
    </xf>
    <xf numFmtId="0" fontId="15" fillId="38" borderId="54" xfId="0" applyFont="1" applyFill="1" applyBorder="1" applyAlignment="1" applyProtection="1">
      <alignment horizontal="left" indent="1"/>
      <protection locked="0"/>
    </xf>
    <xf numFmtId="175" fontId="13" fillId="38" borderId="57" xfId="1" applyNumberFormat="1" applyFont="1" applyFill="1" applyBorder="1" applyAlignment="1" applyProtection="1">
      <alignment horizontal="center"/>
      <protection locked="0"/>
    </xf>
    <xf numFmtId="0" fontId="18" fillId="38" borderId="84" xfId="0" applyFont="1" applyFill="1" applyBorder="1" applyAlignment="1" applyProtection="1">
      <alignment horizontal="center"/>
      <protection locked="0"/>
    </xf>
    <xf numFmtId="0" fontId="13" fillId="38" borderId="59" xfId="1" applyNumberFormat="1" applyFont="1" applyFill="1" applyBorder="1" applyAlignment="1" applyProtection="1">
      <alignment horizontal="center"/>
      <protection locked="0"/>
    </xf>
    <xf numFmtId="174" fontId="13" fillId="38" borderId="55" xfId="0" applyNumberFormat="1" applyFont="1" applyFill="1" applyBorder="1" applyProtection="1">
      <protection locked="0"/>
    </xf>
    <xf numFmtId="0" fontId="16" fillId="38" borderId="11" xfId="0" applyFont="1" applyFill="1" applyBorder="1" applyProtection="1">
      <protection locked="0"/>
    </xf>
    <xf numFmtId="174" fontId="15" fillId="0" borderId="102" xfId="0" applyNumberFormat="1" applyFont="1" applyBorder="1"/>
    <xf numFmtId="174" fontId="15" fillId="0" borderId="82" xfId="0" applyNumberFormat="1" applyFont="1" applyBorder="1"/>
    <xf numFmtId="174" fontId="13" fillId="0" borderId="92" xfId="0" applyNumberFormat="1" applyFont="1" applyBorder="1"/>
    <xf numFmtId="174" fontId="13" fillId="0" borderId="90" xfId="0" applyNumberFormat="1" applyFont="1" applyBorder="1"/>
    <xf numFmtId="174" fontId="15" fillId="0" borderId="86" xfId="0" applyNumberFormat="1" applyFont="1" applyBorder="1" applyAlignment="1">
      <alignment horizontal="center"/>
    </xf>
    <xf numFmtId="0" fontId="13" fillId="38" borderId="11" xfId="0" applyFont="1" applyFill="1" applyBorder="1" applyAlignment="1">
      <alignment horizontal="left" indent="1"/>
    </xf>
    <xf numFmtId="0" fontId="13" fillId="0" borderId="14" xfId="0" applyFont="1" applyBorder="1" applyAlignment="1">
      <alignment vertical="top"/>
    </xf>
    <xf numFmtId="174" fontId="15" fillId="41" borderId="30" xfId="0" applyNumberFormat="1" applyFont="1" applyFill="1" applyBorder="1"/>
    <xf numFmtId="174" fontId="15" fillId="41" borderId="35" xfId="0" applyNumberFormat="1" applyFont="1" applyFill="1" applyBorder="1"/>
    <xf numFmtId="174" fontId="15" fillId="41" borderId="36" xfId="0" applyNumberFormat="1" applyFont="1" applyFill="1" applyBorder="1"/>
    <xf numFmtId="174" fontId="15" fillId="41" borderId="34" xfId="0" applyNumberFormat="1" applyFont="1" applyFill="1" applyBorder="1"/>
    <xf numFmtId="174" fontId="15" fillId="41" borderId="37" xfId="0" applyNumberFormat="1" applyFont="1" applyFill="1" applyBorder="1"/>
    <xf numFmtId="0" fontId="18" fillId="41" borderId="11" xfId="0" applyFont="1" applyFill="1" applyBorder="1" applyAlignment="1">
      <alignment horizontal="left" wrapText="1" indent="2"/>
    </xf>
    <xf numFmtId="0" fontId="10" fillId="0" borderId="27" xfId="0" applyFont="1" applyBorder="1" applyAlignment="1">
      <alignment vertical="top"/>
    </xf>
    <xf numFmtId="0" fontId="10" fillId="0" borderId="26" xfId="0" applyFont="1" applyBorder="1" applyAlignment="1">
      <alignment vertical="top"/>
    </xf>
    <xf numFmtId="0" fontId="10" fillId="0" borderId="16" xfId="0" applyFont="1" applyBorder="1" applyAlignment="1">
      <alignment vertical="top"/>
    </xf>
    <xf numFmtId="0" fontId="13" fillId="0" borderId="12" xfId="0" applyFont="1" applyBorder="1" applyAlignment="1">
      <alignment horizontal="center"/>
    </xf>
    <xf numFmtId="0" fontId="13" fillId="0" borderId="24" xfId="0" applyFont="1" applyBorder="1" applyAlignment="1">
      <alignment vertical="top" wrapText="1"/>
    </xf>
    <xf numFmtId="175" fontId="13" fillId="0" borderId="42" xfId="0" applyNumberFormat="1" applyFont="1" applyBorder="1"/>
    <xf numFmtId="175" fontId="13" fillId="0" borderId="39" xfId="0" applyNumberFormat="1" applyFont="1" applyBorder="1"/>
    <xf numFmtId="175" fontId="13" fillId="0" borderId="41" xfId="0" applyNumberFormat="1" applyFont="1" applyBorder="1"/>
    <xf numFmtId="175" fontId="13" fillId="0" borderId="38" xfId="0" applyNumberFormat="1" applyFont="1" applyBorder="1"/>
    <xf numFmtId="175" fontId="13" fillId="0" borderId="40" xfId="0" applyNumberFormat="1" applyFont="1" applyBorder="1"/>
    <xf numFmtId="175" fontId="13" fillId="38" borderId="86" xfId="0" applyNumberFormat="1" applyFont="1" applyFill="1" applyBorder="1" applyProtection="1">
      <protection locked="0"/>
    </xf>
    <xf numFmtId="175" fontId="13" fillId="0" borderId="88" xfId="0" applyNumberFormat="1" applyFont="1" applyBorder="1"/>
    <xf numFmtId="0" fontId="15" fillId="0" borderId="27" xfId="0" applyFont="1" applyBorder="1" applyAlignment="1">
      <alignment vertical="top"/>
    </xf>
    <xf numFmtId="0" fontId="18" fillId="0" borderId="11" xfId="0" applyFont="1" applyBorder="1" applyAlignment="1">
      <alignment vertical="top" wrapText="1"/>
    </xf>
    <xf numFmtId="0" fontId="18" fillId="0" borderId="54" xfId="0" applyFont="1" applyBorder="1" applyAlignment="1">
      <alignment vertical="top" wrapText="1"/>
    </xf>
    <xf numFmtId="0" fontId="13" fillId="0" borderId="41" xfId="0" applyFont="1" applyBorder="1" applyAlignment="1">
      <alignment horizontal="center"/>
    </xf>
    <xf numFmtId="0" fontId="21" fillId="0" borderId="16" xfId="0" applyFont="1" applyBorder="1" applyAlignment="1">
      <alignment wrapText="1"/>
    </xf>
    <xf numFmtId="0" fontId="13" fillId="0" borderId="38" xfId="0" applyFont="1" applyBorder="1"/>
    <xf numFmtId="175" fontId="13" fillId="0" borderId="92" xfId="0" applyNumberFormat="1" applyFont="1" applyBorder="1" applyProtection="1">
      <protection locked="0"/>
    </xf>
    <xf numFmtId="175" fontId="13" fillId="0" borderId="25" xfId="0" applyNumberFormat="1" applyFont="1" applyBorder="1" applyProtection="1">
      <protection locked="0"/>
    </xf>
    <xf numFmtId="175" fontId="13" fillId="0" borderId="26" xfId="0" applyNumberFormat="1" applyFont="1" applyBorder="1" applyProtection="1">
      <protection locked="0"/>
    </xf>
    <xf numFmtId="175" fontId="13" fillId="0" borderId="16" xfId="0" applyNumberFormat="1" applyFont="1" applyBorder="1" applyProtection="1">
      <protection locked="0"/>
    </xf>
    <xf numFmtId="175" fontId="13" fillId="0" borderId="27" xfId="0" applyNumberFormat="1" applyFont="1" applyBorder="1" applyProtection="1">
      <protection locked="0"/>
    </xf>
    <xf numFmtId="175" fontId="13" fillId="0" borderId="29" xfId="0" applyNumberFormat="1" applyFont="1" applyBorder="1" applyProtection="1">
      <protection locked="0"/>
    </xf>
    <xf numFmtId="0" fontId="13" fillId="0" borderId="56" xfId="0" applyFont="1" applyBorder="1" applyAlignment="1">
      <alignment horizontal="left" indent="1"/>
    </xf>
    <xf numFmtId="0" fontId="13" fillId="0" borderId="54" xfId="0" applyFont="1" applyBorder="1" applyAlignment="1">
      <alignment horizontal="left" indent="1"/>
    </xf>
    <xf numFmtId="0" fontId="16" fillId="41" borderId="11" xfId="0" applyFont="1" applyFill="1" applyBorder="1" applyAlignment="1">
      <alignment horizontal="left" wrapText="1" indent="2"/>
    </xf>
    <xf numFmtId="174" fontId="13" fillId="41" borderId="57" xfId="0" applyNumberFormat="1" applyFont="1" applyFill="1" applyBorder="1"/>
    <xf numFmtId="174" fontId="13" fillId="41" borderId="58" xfId="0" applyNumberFormat="1" applyFont="1" applyFill="1" applyBorder="1"/>
    <xf numFmtId="174" fontId="13" fillId="41" borderId="54" xfId="0" applyNumberFormat="1" applyFont="1" applyFill="1" applyBorder="1"/>
    <xf numFmtId="174" fontId="13" fillId="41" borderId="56" xfId="0" applyNumberFormat="1" applyFont="1" applyFill="1" applyBorder="1"/>
    <xf numFmtId="175" fontId="13" fillId="0" borderId="62" xfId="0" applyNumberFormat="1" applyFont="1" applyBorder="1"/>
    <xf numFmtId="175" fontId="13" fillId="0" borderId="57" xfId="0" applyNumberFormat="1" applyFont="1" applyBorder="1"/>
    <xf numFmtId="175" fontId="13" fillId="0" borderId="84" xfId="0" applyNumberFormat="1" applyFont="1" applyBorder="1"/>
    <xf numFmtId="175" fontId="13" fillId="0" borderId="56" xfId="0" applyNumberFormat="1" applyFont="1" applyBorder="1"/>
    <xf numFmtId="175" fontId="13" fillId="0" borderId="58" xfId="0" applyNumberFormat="1" applyFont="1" applyBorder="1"/>
    <xf numFmtId="175" fontId="13" fillId="0" borderId="54" xfId="0" applyNumberFormat="1" applyFont="1" applyBorder="1"/>
    <xf numFmtId="175" fontId="13" fillId="0" borderId="59" xfId="0" applyNumberFormat="1" applyFont="1" applyBorder="1"/>
    <xf numFmtId="0" fontId="17" fillId="0" borderId="33" xfId="0" applyFont="1" applyBorder="1"/>
    <xf numFmtId="0" fontId="3" fillId="0" borderId="0" xfId="0" quotePrefix="1" applyFont="1" applyAlignment="1">
      <alignment horizontal="left"/>
    </xf>
    <xf numFmtId="1" fontId="3" fillId="0" borderId="0" xfId="0" applyNumberFormat="1" applyFont="1"/>
    <xf numFmtId="0" fontId="13" fillId="0" borderId="0" xfId="0" applyFont="1" applyAlignment="1">
      <alignment horizontal="left" vertical="center"/>
    </xf>
    <xf numFmtId="0" fontId="3" fillId="0" borderId="0" xfId="0" applyFont="1" applyAlignment="1">
      <alignment horizontal="left"/>
    </xf>
    <xf numFmtId="0" fontId="9" fillId="0" borderId="0" xfId="0" applyFont="1"/>
    <xf numFmtId="182" fontId="3" fillId="0" borderId="0" xfId="0" applyNumberFormat="1" applyFont="1" applyAlignment="1">
      <alignment horizontal="left"/>
    </xf>
    <xf numFmtId="172" fontId="3" fillId="0" borderId="0" xfId="0" applyNumberFormat="1" applyFont="1"/>
    <xf numFmtId="0" fontId="3" fillId="0" borderId="0" xfId="0" applyFont="1" applyAlignment="1">
      <alignment horizontal="left" vertical="top" wrapText="1" indent="1"/>
    </xf>
    <xf numFmtId="168" fontId="3" fillId="0" borderId="0" xfId="0" applyNumberFormat="1" applyFont="1"/>
    <xf numFmtId="1" fontId="3" fillId="0" borderId="0" xfId="0" applyNumberFormat="1" applyFont="1" applyAlignment="1">
      <alignment horizontal="left"/>
    </xf>
    <xf numFmtId="183" fontId="3" fillId="0" borderId="0" xfId="0" applyNumberFormat="1" applyFont="1"/>
    <xf numFmtId="0" fontId="9" fillId="0" borderId="0" xfId="0" applyFont="1" applyAlignment="1">
      <alignment horizontal="left" wrapText="1"/>
    </xf>
    <xf numFmtId="0" fontId="3" fillId="0" borderId="0" xfId="0" applyFont="1" applyAlignment="1">
      <alignment horizontal="left" wrapText="1" indent="2"/>
    </xf>
    <xf numFmtId="2" fontId="3" fillId="0" borderId="0" xfId="0" applyNumberFormat="1" applyFont="1"/>
    <xf numFmtId="0" fontId="3" fillId="0" borderId="0" xfId="0" applyFont="1" applyAlignment="1">
      <alignment horizontal="left" wrapText="1" indent="1"/>
    </xf>
    <xf numFmtId="0" fontId="3" fillId="0" borderId="0" xfId="0" applyFont="1" applyAlignment="1">
      <alignment horizontal="left" indent="2"/>
    </xf>
    <xf numFmtId="178" fontId="3" fillId="0" borderId="0" xfId="1" applyNumberFormat="1" applyFont="1" applyAlignment="1">
      <alignment vertical="top" wrapText="1"/>
    </xf>
    <xf numFmtId="0" fontId="3" fillId="0" borderId="0" xfId="0" applyFont="1" applyAlignment="1">
      <alignment horizontal="left" vertical="top" wrapText="1" indent="2"/>
    </xf>
    <xf numFmtId="184" fontId="3" fillId="0" borderId="0" xfId="0" applyNumberFormat="1" applyFont="1"/>
    <xf numFmtId="0" fontId="3" fillId="0" borderId="0" xfId="0" applyFont="1" applyAlignment="1">
      <alignment horizontal="left" vertical="center"/>
    </xf>
    <xf numFmtId="0" fontId="0" fillId="0" borderId="0" xfId="0" applyAlignment="1">
      <alignment horizontal="left" vertical="center"/>
    </xf>
    <xf numFmtId="1" fontId="0" fillId="0" borderId="0" xfId="0" applyNumberFormat="1" applyAlignment="1">
      <alignment horizontal="right" vertical="center"/>
    </xf>
    <xf numFmtId="0" fontId="0" fillId="0" borderId="0" xfId="0" applyAlignment="1">
      <alignment horizontal="right" vertical="center"/>
    </xf>
    <xf numFmtId="0" fontId="23" fillId="0" borderId="0" xfId="0" applyFont="1" applyAlignment="1">
      <alignment vertical="center"/>
    </xf>
    <xf numFmtId="0" fontId="18" fillId="38" borderId="32" xfId="0" applyFont="1" applyFill="1" applyBorder="1" applyAlignment="1">
      <alignment horizontal="left" wrapText="1" indent="1"/>
    </xf>
    <xf numFmtId="179" fontId="13" fillId="38" borderId="10" xfId="7" applyNumberFormat="1" applyFont="1" applyFill="1" applyBorder="1" applyAlignment="1">
      <alignment vertical="top" wrapText="1"/>
    </xf>
    <xf numFmtId="0" fontId="13" fillId="38" borderId="11" xfId="0" applyFont="1" applyFill="1" applyBorder="1" applyAlignment="1">
      <alignment horizontal="left" indent="2"/>
    </xf>
    <xf numFmtId="0" fontId="18" fillId="38" borderId="11" xfId="0" applyFont="1" applyFill="1" applyBorder="1" applyAlignment="1">
      <alignment horizontal="left" indent="2"/>
    </xf>
    <xf numFmtId="0" fontId="13" fillId="38" borderId="11" xfId="0" applyFont="1" applyFill="1" applyBorder="1" applyAlignment="1">
      <alignment horizontal="left" wrapText="1" indent="2"/>
    </xf>
    <xf numFmtId="0" fontId="18" fillId="38" borderId="11" xfId="0" applyFont="1" applyFill="1" applyBorder="1" applyAlignment="1">
      <alignment horizontal="left" indent="1"/>
    </xf>
    <xf numFmtId="49" fontId="0" fillId="0" borderId="0" xfId="0" applyNumberFormat="1"/>
    <xf numFmtId="49" fontId="27" fillId="0" borderId="14" xfId="0" applyNumberFormat="1" applyFont="1" applyBorder="1" applyAlignment="1">
      <alignment horizontal="left"/>
    </xf>
    <xf numFmtId="49" fontId="8" fillId="0" borderId="24" xfId="0" applyNumberFormat="1" applyFont="1" applyBorder="1" applyProtection="1">
      <protection hidden="1"/>
    </xf>
    <xf numFmtId="49" fontId="8" fillId="0" borderId="0" xfId="0" applyNumberFormat="1" applyFont="1" applyProtection="1">
      <protection hidden="1"/>
    </xf>
    <xf numFmtId="49" fontId="8" fillId="0" borderId="23" xfId="0" applyNumberFormat="1" applyFont="1" applyBorder="1" applyProtection="1">
      <protection hidden="1"/>
    </xf>
    <xf numFmtId="49" fontId="32" fillId="0" borderId="0" xfId="0" applyNumberFormat="1" applyFont="1" applyProtection="1">
      <protection hidden="1"/>
    </xf>
    <xf numFmtId="49" fontId="31" fillId="0" borderId="23" xfId="0" applyNumberFormat="1" applyFont="1" applyBorder="1" applyProtection="1">
      <protection hidden="1"/>
    </xf>
    <xf numFmtId="49" fontId="10" fillId="0" borderId="105" xfId="0" applyNumberFormat="1" applyFont="1" applyBorder="1" applyAlignment="1">
      <alignment horizontal="left" vertical="top" wrapText="1"/>
    </xf>
    <xf numFmtId="49" fontId="8" fillId="0" borderId="0" xfId="0" applyNumberFormat="1" applyFont="1" applyAlignment="1">
      <alignment horizontal="left" vertical="center"/>
    </xf>
    <xf numFmtId="49" fontId="8" fillId="0" borderId="0" xfId="0" applyNumberFormat="1" applyFont="1" applyAlignment="1">
      <alignment horizontal="center" vertical="center" wrapText="1"/>
    </xf>
    <xf numFmtId="49" fontId="10" fillId="0" borderId="12" xfId="0" applyNumberFormat="1" applyFont="1" applyBorder="1" applyAlignment="1">
      <alignment horizontal="left" vertical="top" wrapText="1"/>
    </xf>
    <xf numFmtId="49" fontId="10" fillId="0" borderId="24" xfId="0" applyNumberFormat="1" applyFont="1" applyBorder="1" applyAlignment="1" applyProtection="1">
      <alignment horizontal="justify" vertical="center" wrapText="1"/>
      <protection locked="0"/>
    </xf>
    <xf numFmtId="49" fontId="10" fillId="0" borderId="16" xfId="0" applyNumberFormat="1" applyFont="1" applyBorder="1" applyAlignment="1">
      <alignment vertical="center"/>
    </xf>
    <xf numFmtId="49" fontId="8" fillId="38" borderId="26" xfId="0" applyNumberFormat="1" applyFont="1" applyFill="1" applyBorder="1" applyAlignment="1" applyProtection="1">
      <alignment vertical="center"/>
      <protection locked="0"/>
    </xf>
    <xf numFmtId="49" fontId="18" fillId="0" borderId="0" xfId="3" applyNumberFormat="1" applyFont="1" applyAlignment="1" applyProtection="1"/>
    <xf numFmtId="49" fontId="8" fillId="0" borderId="0" xfId="0" applyNumberFormat="1" applyFont="1" applyAlignment="1">
      <alignment vertical="center"/>
    </xf>
    <xf numFmtId="49" fontId="8" fillId="0" borderId="12" xfId="0" applyNumberFormat="1" applyFont="1" applyBorder="1" applyAlignment="1">
      <alignment vertical="center"/>
    </xf>
    <xf numFmtId="49" fontId="8" fillId="0" borderId="24" xfId="0" applyNumberFormat="1" applyFont="1" applyBorder="1" applyAlignment="1">
      <alignment vertical="center"/>
    </xf>
    <xf numFmtId="49" fontId="10" fillId="0" borderId="11" xfId="0" applyNumberFormat="1" applyFont="1" applyBorder="1" applyAlignment="1">
      <alignment horizontal="justify" vertical="center" wrapText="1"/>
    </xf>
    <xf numFmtId="49" fontId="10" fillId="0" borderId="23" xfId="0" applyNumberFormat="1" applyFont="1" applyBorder="1" applyAlignment="1">
      <alignment horizontal="justify" vertical="center" wrapText="1"/>
    </xf>
    <xf numFmtId="49" fontId="10" fillId="0" borderId="0" xfId="0" applyNumberFormat="1" applyFont="1" applyAlignment="1">
      <alignment horizontal="justify" vertical="top" wrapText="1"/>
    </xf>
    <xf numFmtId="49" fontId="10" fillId="0" borderId="12" xfId="0" applyNumberFormat="1" applyFont="1" applyBorder="1" applyAlignment="1">
      <alignment horizontal="justify" vertical="center" wrapText="1"/>
    </xf>
    <xf numFmtId="49" fontId="10" fillId="0" borderId="24" xfId="0" applyNumberFormat="1" applyFont="1" applyBorder="1" applyAlignment="1">
      <alignment horizontal="justify" vertical="center" wrapText="1"/>
    </xf>
    <xf numFmtId="49" fontId="10" fillId="0" borderId="11" xfId="0" applyNumberFormat="1" applyFont="1" applyBorder="1" applyAlignment="1">
      <alignment horizontal="left" vertical="top" wrapText="1"/>
    </xf>
    <xf numFmtId="49" fontId="10" fillId="38" borderId="23" xfId="0" applyNumberFormat="1" applyFont="1" applyFill="1" applyBorder="1" applyAlignment="1" applyProtection="1">
      <alignment horizontal="justify" vertical="top" wrapText="1"/>
      <protection locked="0"/>
    </xf>
    <xf numFmtId="49" fontId="8" fillId="0" borderId="0" xfId="3" applyNumberFormat="1" applyFont="1" applyAlignment="1" applyProtection="1"/>
    <xf numFmtId="49" fontId="10" fillId="0" borderId="0" xfId="0" applyNumberFormat="1" applyFont="1" applyAlignment="1" applyProtection="1">
      <alignment horizontal="left" vertical="top" wrapText="1"/>
      <protection locked="0"/>
    </xf>
    <xf numFmtId="49" fontId="10" fillId="0" borderId="12" xfId="0" applyNumberFormat="1" applyFont="1" applyBorder="1" applyAlignment="1">
      <alignment horizontal="justify" vertical="top" wrapText="1"/>
    </xf>
    <xf numFmtId="49" fontId="10" fillId="0" borderId="24" xfId="0" applyNumberFormat="1" applyFont="1" applyBorder="1" applyAlignment="1">
      <alignment horizontal="justify" vertical="top" wrapText="1"/>
    </xf>
    <xf numFmtId="49" fontId="10" fillId="38" borderId="23" xfId="0" applyNumberFormat="1" applyFont="1" applyFill="1" applyBorder="1" applyAlignment="1" applyProtection="1">
      <alignment horizontal="left" vertical="top" wrapText="1"/>
      <protection locked="0"/>
    </xf>
    <xf numFmtId="49" fontId="8" fillId="0" borderId="12" xfId="0" applyNumberFormat="1" applyFont="1" applyBorder="1" applyAlignment="1">
      <alignment horizontal="justify" vertical="top" wrapText="1"/>
    </xf>
    <xf numFmtId="49" fontId="8" fillId="0" borderId="24" xfId="0" applyNumberFormat="1" applyFont="1" applyBorder="1" applyAlignment="1">
      <alignment horizontal="justify" vertical="top" wrapText="1"/>
    </xf>
    <xf numFmtId="49" fontId="8" fillId="0" borderId="0" xfId="0" applyNumberFormat="1" applyFont="1" applyAlignment="1" applyProtection="1">
      <alignment vertical="center"/>
      <protection hidden="1"/>
    </xf>
    <xf numFmtId="49" fontId="10" fillId="0" borderId="105" xfId="0" applyNumberFormat="1" applyFont="1" applyBorder="1" applyAlignment="1">
      <alignment horizontal="justify" wrapText="1"/>
    </xf>
    <xf numFmtId="49" fontId="8" fillId="0" borderId="106" xfId="0" applyNumberFormat="1" applyFont="1" applyBorder="1" applyAlignment="1">
      <alignment horizontal="justify" wrapText="1"/>
    </xf>
    <xf numFmtId="49" fontId="8" fillId="0" borderId="69" xfId="0" applyNumberFormat="1" applyFont="1" applyBorder="1" applyAlignment="1">
      <alignment horizontal="justify" wrapText="1"/>
    </xf>
    <xf numFmtId="49" fontId="8" fillId="38" borderId="31" xfId="0" applyNumberFormat="1" applyFont="1" applyFill="1" applyBorder="1" applyAlignment="1" applyProtection="1">
      <alignment horizontal="justify" wrapText="1"/>
      <protection locked="0"/>
    </xf>
    <xf numFmtId="49" fontId="8" fillId="0" borderId="16" xfId="0" applyNumberFormat="1" applyFont="1" applyBorder="1" applyAlignment="1">
      <alignment horizontal="justify" wrapText="1"/>
    </xf>
    <xf numFmtId="49" fontId="8" fillId="38" borderId="26" xfId="0" applyNumberFormat="1" applyFont="1" applyFill="1" applyBorder="1" applyAlignment="1" applyProtection="1">
      <alignment horizontal="justify" wrapText="1"/>
      <protection locked="0"/>
    </xf>
    <xf numFmtId="49" fontId="8" fillId="0" borderId="12" xfId="0" applyNumberFormat="1" applyFont="1" applyBorder="1" applyAlignment="1">
      <alignment horizontal="justify" wrapText="1"/>
    </xf>
    <xf numFmtId="49" fontId="8" fillId="0" borderId="24" xfId="0" applyNumberFormat="1" applyFont="1" applyBorder="1" applyAlignment="1" applyProtection="1">
      <alignment horizontal="justify" wrapText="1"/>
      <protection locked="0"/>
    </xf>
    <xf numFmtId="49" fontId="10" fillId="0" borderId="69" xfId="0" applyNumberFormat="1" applyFont="1" applyBorder="1" applyAlignment="1">
      <alignment horizontal="justify" wrapText="1"/>
    </xf>
    <xf numFmtId="49" fontId="8" fillId="0" borderId="31" xfId="0" applyNumberFormat="1" applyFont="1" applyBorder="1" applyAlignment="1">
      <alignment horizontal="justify" wrapText="1"/>
    </xf>
    <xf numFmtId="49" fontId="8" fillId="0" borderId="11" xfId="0" applyNumberFormat="1" applyFont="1" applyBorder="1" applyAlignment="1">
      <alignment horizontal="justify" wrapText="1"/>
    </xf>
    <xf numFmtId="49" fontId="8" fillId="38" borderId="23" xfId="0" applyNumberFormat="1" applyFont="1" applyFill="1" applyBorder="1" applyAlignment="1" applyProtection="1">
      <alignment horizontal="justify" wrapText="1"/>
      <protection locked="0"/>
    </xf>
    <xf numFmtId="49" fontId="37" fillId="38" borderId="26" xfId="2" applyNumberFormat="1" applyFont="1" applyFill="1" applyBorder="1" applyAlignment="1">
      <alignment horizontal="justify" wrapText="1"/>
      <protection locked="0"/>
    </xf>
    <xf numFmtId="49" fontId="10" fillId="0" borderId="69" xfId="0" applyNumberFormat="1" applyFont="1" applyBorder="1" applyAlignment="1">
      <alignment horizontal="left"/>
    </xf>
    <xf numFmtId="49" fontId="8" fillId="0" borderId="0" xfId="0" applyNumberFormat="1" applyFont="1" applyAlignment="1">
      <alignment horizontal="justify" wrapText="1"/>
    </xf>
    <xf numFmtId="49" fontId="8" fillId="0" borderId="0" xfId="0" applyNumberFormat="1" applyFont="1" applyAlignment="1" applyProtection="1">
      <alignment horizontal="justify" wrapText="1"/>
      <protection locked="0"/>
    </xf>
    <xf numFmtId="49" fontId="8" fillId="0" borderId="0" xfId="0" applyNumberFormat="1" applyFont="1"/>
    <xf numFmtId="49" fontId="18" fillId="0" borderId="0" xfId="0" applyNumberFormat="1" applyFont="1"/>
    <xf numFmtId="49" fontId="8" fillId="0" borderId="0" xfId="3" applyNumberFormat="1" applyFont="1" applyAlignment="1" applyProtection="1">
      <protection hidden="1"/>
    </xf>
    <xf numFmtId="49" fontId="37" fillId="0" borderId="0" xfId="3" applyNumberFormat="1" applyFont="1" applyAlignment="1" applyProtection="1">
      <protection hidden="1"/>
    </xf>
    <xf numFmtId="49" fontId="37" fillId="0" borderId="0" xfId="3" applyNumberFormat="1" applyFont="1" applyAlignment="1" applyProtection="1">
      <protection locked="0" hidden="1"/>
    </xf>
    <xf numFmtId="49" fontId="8" fillId="0" borderId="0" xfId="0" applyNumberFormat="1" applyFont="1" applyProtection="1">
      <protection locked="0" hidden="1"/>
    </xf>
    <xf numFmtId="0" fontId="18" fillId="0" borderId="33" xfId="0" applyFont="1" applyBorder="1" applyAlignment="1">
      <alignment horizontal="left" indent="3"/>
    </xf>
    <xf numFmtId="0" fontId="13" fillId="0" borderId="33" xfId="0" applyFont="1" applyBorder="1" applyAlignment="1">
      <alignment horizontal="left" indent="3"/>
    </xf>
    <xf numFmtId="0" fontId="13" fillId="0" borderId="11" xfId="0" applyFont="1" applyBorder="1" applyAlignment="1">
      <alignment horizontal="left" wrapText="1"/>
    </xf>
    <xf numFmtId="0" fontId="13" fillId="0" borderId="22" xfId="0" applyFont="1" applyBorder="1" applyAlignment="1">
      <alignment horizontal="center" wrapText="1"/>
    </xf>
    <xf numFmtId="174" fontId="15" fillId="38" borderId="22" xfId="0" applyNumberFormat="1" applyFont="1" applyFill="1" applyBorder="1" applyAlignment="1" applyProtection="1">
      <alignment wrapText="1"/>
      <protection locked="0"/>
    </xf>
    <xf numFmtId="174" fontId="15" fillId="0" borderId="10" xfId="0" applyNumberFormat="1" applyFont="1" applyBorder="1" applyAlignment="1">
      <alignment wrapText="1"/>
    </xf>
    <xf numFmtId="174" fontId="13" fillId="38" borderId="22" xfId="0" applyNumberFormat="1" applyFont="1" applyFill="1" applyBorder="1" applyAlignment="1" applyProtection="1">
      <alignment wrapText="1"/>
      <protection locked="0"/>
    </xf>
    <xf numFmtId="0" fontId="15" fillId="0" borderId="6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left" indent="2"/>
    </xf>
    <xf numFmtId="174" fontId="16" fillId="0" borderId="30" xfId="0" applyNumberFormat="1" applyFont="1" applyBorder="1"/>
    <xf numFmtId="174" fontId="16" fillId="0" borderId="35" xfId="0" applyNumberFormat="1" applyFont="1" applyBorder="1"/>
    <xf numFmtId="174" fontId="16" fillId="0" borderId="36" xfId="0" applyNumberFormat="1" applyFont="1" applyBorder="1"/>
    <xf numFmtId="174" fontId="16" fillId="0" borderId="34" xfId="0" applyNumberFormat="1" applyFont="1" applyBorder="1"/>
    <xf numFmtId="174" fontId="16" fillId="0" borderId="37" xfId="0" applyNumberFormat="1" applyFont="1" applyBorder="1"/>
    <xf numFmtId="17" fontId="3" fillId="38" borderId="27" xfId="0" quotePrefix="1" applyNumberFormat="1" applyFont="1" applyFill="1" applyBorder="1" applyProtection="1">
      <protection locked="0"/>
    </xf>
    <xf numFmtId="0" fontId="3" fillId="38" borderId="0" xfId="0" quotePrefix="1" applyFont="1" applyFill="1" applyProtection="1">
      <protection locked="0"/>
    </xf>
    <xf numFmtId="0" fontId="3" fillId="38" borderId="0" xfId="0" applyFont="1" applyFill="1" applyAlignment="1" applyProtection="1">
      <alignment wrapText="1"/>
      <protection locked="0"/>
    </xf>
    <xf numFmtId="49" fontId="10" fillId="38" borderId="106" xfId="0" applyNumberFormat="1" applyFont="1" applyFill="1" applyBorder="1" applyAlignment="1" applyProtection="1">
      <alignment horizontal="justify" vertical="center" wrapText="1"/>
      <protection locked="0"/>
    </xf>
    <xf numFmtId="174" fontId="15" fillId="0" borderId="37" xfId="0" applyNumberFormat="1" applyFont="1" applyBorder="1" applyAlignment="1">
      <alignment vertical="center"/>
    </xf>
    <xf numFmtId="0" fontId="15" fillId="0" borderId="29" xfId="0" applyFont="1" applyBorder="1" applyAlignment="1">
      <alignment horizontal="left" vertical="center"/>
    </xf>
    <xf numFmtId="0" fontId="18" fillId="0" borderId="52" xfId="0" applyFont="1" applyBorder="1" applyAlignment="1">
      <alignment horizontal="center"/>
    </xf>
    <xf numFmtId="0" fontId="18" fillId="0" borderId="53" xfId="0" applyFont="1" applyBorder="1" applyAlignment="1">
      <alignment horizontal="center"/>
    </xf>
    <xf numFmtId="0" fontId="15" fillId="0" borderId="47" xfId="0" applyFont="1" applyBorder="1"/>
    <xf numFmtId="0" fontId="13" fillId="0" borderId="0" xfId="0" applyFont="1" applyAlignment="1">
      <alignment horizontal="center" vertical="center"/>
    </xf>
    <xf numFmtId="0" fontId="18" fillId="0" borderId="30" xfId="0" applyFont="1" applyBorder="1" applyAlignment="1">
      <alignment horizontal="center"/>
    </xf>
    <xf numFmtId="0" fontId="15" fillId="0" borderId="52" xfId="0" applyFont="1" applyBorder="1" applyAlignment="1">
      <alignment horizontal="center" wrapText="1"/>
    </xf>
    <xf numFmtId="0" fontId="38" fillId="38" borderId="22" xfId="0" applyFont="1" applyFill="1" applyBorder="1" applyAlignment="1" applyProtection="1">
      <alignment horizontal="center"/>
      <protection locked="0"/>
    </xf>
    <xf numFmtId="0" fontId="18" fillId="38" borderId="57" xfId="0" applyFont="1" applyFill="1" applyBorder="1" applyAlignment="1" applyProtection="1">
      <alignment horizontal="center"/>
      <protection locked="0"/>
    </xf>
    <xf numFmtId="0" fontId="13" fillId="38" borderId="54" xfId="0" applyFont="1" applyFill="1" applyBorder="1" applyAlignment="1" applyProtection="1">
      <alignment horizontal="left" indent="1"/>
      <protection locked="0"/>
    </xf>
    <xf numFmtId="175" fontId="15" fillId="38" borderId="57" xfId="1" applyNumberFormat="1" applyFont="1" applyFill="1" applyBorder="1" applyAlignment="1" applyProtection="1">
      <alignment horizontal="center"/>
      <protection locked="0"/>
    </xf>
    <xf numFmtId="0" fontId="13" fillId="38" borderId="57" xfId="0" applyFont="1" applyFill="1" applyBorder="1" applyProtection="1">
      <protection locked="0"/>
    </xf>
    <xf numFmtId="0" fontId="13" fillId="42" borderId="11" xfId="0" applyFont="1" applyFill="1" applyBorder="1" applyAlignment="1">
      <alignment horizontal="left" vertical="top" wrapText="1" indent="1"/>
    </xf>
    <xf numFmtId="0" fontId="13" fillId="43" borderId="0" xfId="0" applyFont="1" applyFill="1"/>
    <xf numFmtId="0" fontId="12" fillId="38" borderId="0" xfId="0" applyFont="1" applyFill="1" applyAlignment="1" applyProtection="1">
      <alignment horizontal="left" wrapText="1" indent="1"/>
      <protection locked="0"/>
    </xf>
    <xf numFmtId="174" fontId="13" fillId="45" borderId="33" xfId="0" applyNumberFormat="1" applyFont="1" applyFill="1" applyBorder="1" applyProtection="1">
      <protection locked="0"/>
    </xf>
    <xf numFmtId="174" fontId="13" fillId="45" borderId="22" xfId="0" applyNumberFormat="1" applyFont="1" applyFill="1" applyBorder="1" applyProtection="1">
      <protection locked="0"/>
    </xf>
    <xf numFmtId="174" fontId="13" fillId="45" borderId="23" xfId="0" applyNumberFormat="1" applyFont="1" applyFill="1" applyBorder="1" applyProtection="1">
      <protection locked="0"/>
    </xf>
    <xf numFmtId="43" fontId="13" fillId="38" borderId="23" xfId="0" applyNumberFormat="1" applyFont="1" applyFill="1" applyBorder="1" applyProtection="1">
      <protection locked="0"/>
    </xf>
    <xf numFmtId="174" fontId="13" fillId="27" borderId="86" xfId="0" applyNumberFormat="1" applyFont="1" applyFill="1" applyBorder="1" applyProtection="1">
      <protection locked="0"/>
    </xf>
    <xf numFmtId="174" fontId="13" fillId="27" borderId="86" xfId="13" applyNumberFormat="1" applyFont="1" applyFill="1" applyBorder="1" applyProtection="1">
      <protection locked="0"/>
    </xf>
    <xf numFmtId="174" fontId="13" fillId="27" borderId="86" xfId="14" applyNumberFormat="1" applyFont="1" applyFill="1" applyBorder="1" applyProtection="1">
      <protection locked="0"/>
    </xf>
    <xf numFmtId="0" fontId="15" fillId="38" borderId="22" xfId="0" applyFont="1" applyFill="1" applyBorder="1" applyAlignment="1" applyProtection="1">
      <alignment horizontal="left"/>
      <protection locked="0"/>
    </xf>
    <xf numFmtId="43" fontId="13" fillId="38" borderId="33" xfId="0" applyNumberFormat="1" applyFont="1" applyFill="1" applyBorder="1" applyProtection="1">
      <protection locked="0"/>
    </xf>
    <xf numFmtId="43" fontId="13" fillId="38" borderId="11" xfId="0" applyNumberFormat="1" applyFont="1" applyFill="1" applyBorder="1" applyProtection="1">
      <protection locked="0"/>
    </xf>
    <xf numFmtId="0" fontId="6" fillId="36" borderId="69" xfId="0" applyFont="1" applyFill="1" applyBorder="1" applyAlignment="1">
      <alignment horizontal="left"/>
    </xf>
    <xf numFmtId="0" fontId="6" fillId="36" borderId="83" xfId="0" applyFont="1" applyFill="1" applyBorder="1" applyAlignment="1">
      <alignment horizontal="left"/>
    </xf>
    <xf numFmtId="0" fontId="6" fillId="36" borderId="31" xfId="0" applyFont="1" applyFill="1" applyBorder="1" applyAlignment="1">
      <alignment horizontal="left"/>
    </xf>
    <xf numFmtId="0" fontId="6" fillId="37" borderId="69" xfId="0" applyFont="1" applyFill="1" applyBorder="1" applyAlignment="1">
      <alignment horizontal="left"/>
    </xf>
    <xf numFmtId="0" fontId="6" fillId="37" borderId="31" xfId="0" applyFont="1" applyFill="1" applyBorder="1" applyAlignment="1">
      <alignment horizontal="left"/>
    </xf>
    <xf numFmtId="0" fontId="6" fillId="29" borderId="69" xfId="0" applyFont="1" applyFill="1" applyBorder="1" applyAlignment="1">
      <alignment horizontal="center"/>
    </xf>
    <xf numFmtId="0" fontId="6" fillId="29" borderId="31" xfId="0" applyFont="1" applyFill="1" applyBorder="1" applyAlignment="1">
      <alignment horizontal="center"/>
    </xf>
    <xf numFmtId="0" fontId="6" fillId="30" borderId="69" xfId="0" applyFont="1" applyFill="1" applyBorder="1" applyAlignment="1">
      <alignment horizontal="center"/>
    </xf>
    <xf numFmtId="0" fontId="6" fillId="30" borderId="31" xfId="0" applyFont="1" applyFill="1" applyBorder="1" applyAlignment="1">
      <alignment horizontal="center"/>
    </xf>
    <xf numFmtId="0" fontId="6" fillId="37" borderId="83" xfId="0" applyFont="1" applyFill="1" applyBorder="1" applyAlignment="1">
      <alignment horizontal="left"/>
    </xf>
    <xf numFmtId="49" fontId="10" fillId="0" borderId="69" xfId="0" applyNumberFormat="1" applyFont="1" applyBorder="1" applyAlignment="1">
      <alignment horizontal="justify" wrapText="1"/>
    </xf>
    <xf numFmtId="49" fontId="8" fillId="0" borderId="31" xfId="0" applyNumberFormat="1" applyFont="1" applyBorder="1" applyAlignment="1">
      <alignment horizontal="justify" wrapText="1"/>
    </xf>
    <xf numFmtId="49" fontId="10" fillId="0" borderId="0" xfId="0" applyNumberFormat="1" applyFont="1" applyAlignment="1">
      <alignment horizontal="justify" wrapText="1"/>
    </xf>
    <xf numFmtId="49" fontId="8" fillId="0" borderId="0" xfId="0" applyNumberFormat="1" applyFont="1" applyAlignment="1">
      <alignment horizontal="justify" wrapText="1"/>
    </xf>
    <xf numFmtId="49" fontId="32" fillId="0" borderId="107" xfId="0" applyNumberFormat="1" applyFont="1" applyBorder="1" applyAlignment="1">
      <alignment horizontal="justify" vertical="center" wrapText="1"/>
    </xf>
    <xf numFmtId="49" fontId="31" fillId="0" borderId="108" xfId="0" applyNumberFormat="1" applyFont="1" applyBorder="1" applyAlignment="1">
      <alignment horizontal="justify" vertical="center" wrapText="1"/>
    </xf>
    <xf numFmtId="49" fontId="10" fillId="0" borderId="107" xfId="0" applyNumberFormat="1" applyFont="1" applyBorder="1" applyAlignment="1">
      <alignment horizontal="justify" vertical="center" wrapText="1"/>
    </xf>
    <xf numFmtId="49" fontId="8" fillId="0" borderId="108" xfId="0" applyNumberFormat="1" applyFont="1" applyBorder="1" applyAlignment="1">
      <alignment horizontal="justify" vertical="center" wrapText="1"/>
    </xf>
    <xf numFmtId="49" fontId="10" fillId="0" borderId="112" xfId="0" applyNumberFormat="1" applyFont="1" applyBorder="1" applyAlignment="1">
      <alignment horizontal="justify" wrapText="1"/>
    </xf>
    <xf numFmtId="49" fontId="8" fillId="0" borderId="113" xfId="0" applyNumberFormat="1" applyFont="1" applyBorder="1" applyAlignment="1">
      <alignment horizontal="justify" wrapText="1"/>
    </xf>
    <xf numFmtId="49" fontId="10" fillId="0" borderId="110" xfId="0" applyNumberFormat="1" applyFont="1" applyBorder="1" applyAlignment="1">
      <alignment horizontal="justify" vertical="center" wrapText="1"/>
    </xf>
    <xf numFmtId="49" fontId="8" fillId="0" borderId="111" xfId="0" applyNumberFormat="1" applyFont="1" applyBorder="1" applyAlignment="1">
      <alignment horizontal="justify" vertical="center" wrapText="1"/>
    </xf>
    <xf numFmtId="49" fontId="10" fillId="0" borderId="0" xfId="0" applyNumberFormat="1" applyFont="1" applyAlignment="1">
      <alignment horizontal="justify" vertical="top" wrapText="1"/>
    </xf>
    <xf numFmtId="49" fontId="32" fillId="0" borderId="109" xfId="0" applyNumberFormat="1" applyFont="1" applyBorder="1" applyAlignment="1">
      <alignment horizontal="justify" vertical="center" wrapText="1"/>
    </xf>
    <xf numFmtId="49" fontId="31" fillId="0" borderId="109" xfId="0" applyNumberFormat="1" applyFont="1" applyBorder="1" applyAlignment="1">
      <alignment horizontal="justify" vertical="center" wrapText="1"/>
    </xf>
    <xf numFmtId="49" fontId="32" fillId="0" borderId="110" xfId="0" applyNumberFormat="1" applyFont="1" applyBorder="1" applyAlignment="1">
      <alignment horizontal="justify" vertical="center"/>
    </xf>
    <xf numFmtId="49" fontId="8" fillId="0" borderId="111" xfId="0" applyNumberFormat="1" applyFont="1" applyBorder="1" applyAlignment="1">
      <alignment horizontal="justify" vertical="center"/>
    </xf>
    <xf numFmtId="49" fontId="18"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justify" vertical="top"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0" fillId="0" borderId="14" xfId="0" applyFont="1" applyBorder="1" applyAlignment="1">
      <alignment horizontal="left"/>
    </xf>
    <xf numFmtId="0" fontId="23" fillId="0" borderId="14" xfId="0" applyFont="1" applyBorder="1"/>
    <xf numFmtId="0" fontId="18" fillId="0" borderId="0" xfId="0" applyFont="1" applyAlignment="1">
      <alignment horizontal="left" vertical="top" wrapText="1"/>
    </xf>
    <xf numFmtId="0" fontId="15" fillId="0" borderId="20" xfId="0" applyFont="1" applyBorder="1" applyAlignment="1">
      <alignment horizontal="center" vertical="center"/>
    </xf>
    <xf numFmtId="0" fontId="15" fillId="0" borderId="81" xfId="0" applyFont="1" applyBorder="1" applyAlignment="1">
      <alignment horizontal="center" vertical="center"/>
    </xf>
    <xf numFmtId="0" fontId="15" fillId="0" borderId="21" xfId="0" applyFont="1" applyBorder="1" applyAlignment="1">
      <alignment horizontal="center" vertical="center"/>
    </xf>
    <xf numFmtId="0" fontId="15" fillId="0" borderId="72" xfId="0" applyFont="1" applyBorder="1" applyAlignment="1">
      <alignment horizontal="center" vertical="center"/>
    </xf>
    <xf numFmtId="0" fontId="15" fillId="35" borderId="69" xfId="0" applyFont="1" applyFill="1" applyBorder="1" applyAlignment="1">
      <alignment horizontal="center" vertical="center" wrapText="1"/>
    </xf>
    <xf numFmtId="0" fontId="23" fillId="0" borderId="83" xfId="0" applyFont="1" applyBorder="1"/>
    <xf numFmtId="0" fontId="23" fillId="0" borderId="31" xfId="0" applyFont="1" applyBorder="1"/>
    <xf numFmtId="0" fontId="15" fillId="35" borderId="83" xfId="0" applyFont="1" applyFill="1" applyBorder="1" applyAlignment="1">
      <alignment horizontal="center" vertical="center" wrapText="1"/>
    </xf>
    <xf numFmtId="0" fontId="15" fillId="35" borderId="31" xfId="0" applyFont="1" applyFill="1" applyBorder="1" applyAlignment="1">
      <alignment horizontal="center" vertical="center" wrapText="1"/>
    </xf>
    <xf numFmtId="0" fontId="18" fillId="0" borderId="0" xfId="0" applyFont="1" applyAlignment="1">
      <alignment horizontal="left"/>
    </xf>
    <xf numFmtId="0" fontId="18" fillId="0" borderId="0" xfId="0" quotePrefix="1" applyFont="1" applyAlignment="1">
      <alignment horizontal="left" wrapText="1"/>
    </xf>
    <xf numFmtId="0" fontId="18" fillId="0" borderId="0" xfId="0" applyFont="1" applyAlignment="1">
      <alignment horizontal="left" wrapText="1"/>
    </xf>
    <xf numFmtId="0" fontId="15" fillId="0" borderId="18" xfId="0" quotePrefix="1" applyFont="1" applyBorder="1" applyAlignment="1">
      <alignment horizontal="center" vertical="center" wrapText="1"/>
    </xf>
    <xf numFmtId="0" fontId="15" fillId="0" borderId="8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5" xfId="0" applyFont="1" applyBorder="1" applyAlignment="1">
      <alignment horizontal="center" vertical="center"/>
    </xf>
    <xf numFmtId="0" fontId="15" fillId="0" borderId="17"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top" wrapText="1"/>
    </xf>
    <xf numFmtId="0" fontId="15" fillId="0" borderId="17" xfId="0" applyFont="1" applyBorder="1" applyAlignment="1">
      <alignment horizontal="center" vertical="top" wrapText="1"/>
    </xf>
    <xf numFmtId="0" fontId="15" fillId="0" borderId="15" xfId="0" applyFont="1" applyBorder="1" applyAlignment="1">
      <alignment horizontal="center" vertical="top" wrapText="1"/>
    </xf>
    <xf numFmtId="0" fontId="15" fillId="0" borderId="13" xfId="0" applyFont="1" applyBorder="1" applyAlignment="1">
      <alignment horizontal="center" vertical="top" wrapText="1"/>
    </xf>
    <xf numFmtId="0" fontId="15" fillId="0" borderId="61"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3" fillId="0" borderId="37"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56" xfId="0" applyFont="1" applyBorder="1" applyAlignment="1">
      <alignment horizontal="left" vertical="center" wrapText="1" indent="1"/>
    </xf>
    <xf numFmtId="174" fontId="10" fillId="44" borderId="32" xfId="0"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5" xfId="0" applyFont="1" applyBorder="1" applyAlignment="1">
      <alignment horizontal="center" wrapText="1"/>
    </xf>
    <xf numFmtId="0" fontId="13" fillId="0" borderId="13" xfId="0" applyFont="1" applyBorder="1" applyAlignment="1">
      <alignment horizontal="center" wrapText="1"/>
    </xf>
    <xf numFmtId="0" fontId="15" fillId="0" borderId="19" xfId="0" applyFont="1" applyBorder="1" applyAlignment="1">
      <alignment horizontal="center" vertical="top" wrapText="1"/>
    </xf>
    <xf numFmtId="0" fontId="15" fillId="0" borderId="20" xfId="0" applyFont="1" applyBorder="1" applyAlignment="1">
      <alignment horizontal="center" vertical="top" wrapText="1"/>
    </xf>
    <xf numFmtId="0" fontId="10" fillId="44" borderId="26" xfId="0" applyFont="1" applyFill="1" applyBorder="1" applyAlignment="1">
      <alignment horizontal="center" vertical="center"/>
    </xf>
    <xf numFmtId="0" fontId="10" fillId="44" borderId="24" xfId="0" applyFont="1" applyFill="1" applyBorder="1" applyAlignment="1">
      <alignment horizontal="center" vertical="center"/>
    </xf>
    <xf numFmtId="0" fontId="15" fillId="0" borderId="52"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15" fillId="0" borderId="50" xfId="0"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34" xfId="0" applyFont="1" applyBorder="1" applyAlignment="1">
      <alignment horizontal="center" vertical="top" wrapText="1"/>
    </xf>
    <xf numFmtId="0" fontId="15" fillId="0" borderId="35" xfId="0" applyFont="1" applyBorder="1" applyAlignment="1">
      <alignment horizontal="center" vertical="top" wrapText="1"/>
    </xf>
    <xf numFmtId="0" fontId="15" fillId="0" borderId="103"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8" fillId="0" borderId="0" xfId="0" applyFont="1" applyAlignment="1">
      <alignment wrapText="1"/>
    </xf>
    <xf numFmtId="0" fontId="23" fillId="0" borderId="0" xfId="0" applyFont="1" applyAlignment="1">
      <alignment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Alignment="1">
      <alignment horizontal="center" vertical="center" wrapText="1"/>
    </xf>
  </cellXfs>
  <cellStyles count="63">
    <cellStyle name="20% - Accent1 2" xfId="20" xr:uid="{00000000-0005-0000-0000-000000000000}"/>
    <cellStyle name="20% - Accent2 2" xfId="21" xr:uid="{00000000-0005-0000-0000-000001000000}"/>
    <cellStyle name="20% - Accent3 2" xfId="22" xr:uid="{00000000-0005-0000-0000-000002000000}"/>
    <cellStyle name="20% - Accent4 2" xfId="23" xr:uid="{00000000-0005-0000-0000-000003000000}"/>
    <cellStyle name="20% - Accent5 2" xfId="24" xr:uid="{00000000-0005-0000-0000-000004000000}"/>
    <cellStyle name="20% - Accent6 2" xfId="25" xr:uid="{00000000-0005-0000-0000-000005000000}"/>
    <cellStyle name="40% - Accent1 2" xfId="26" xr:uid="{00000000-0005-0000-0000-000006000000}"/>
    <cellStyle name="40% - Accent2 2" xfId="27" xr:uid="{00000000-0005-0000-0000-000007000000}"/>
    <cellStyle name="40% - Accent3 2" xfId="28" xr:uid="{00000000-0005-0000-0000-000008000000}"/>
    <cellStyle name="40% - Accent4 2" xfId="29" xr:uid="{00000000-0005-0000-0000-000009000000}"/>
    <cellStyle name="40% - Accent5 2" xfId="30" xr:uid="{00000000-0005-0000-0000-00000A000000}"/>
    <cellStyle name="40% - Accent6 2" xfId="31" xr:uid="{00000000-0005-0000-0000-00000B000000}"/>
    <cellStyle name="60% - Accent1 2" xfId="32" xr:uid="{00000000-0005-0000-0000-00000C000000}"/>
    <cellStyle name="60% - Accent2 2" xfId="33" xr:uid="{00000000-0005-0000-0000-00000D000000}"/>
    <cellStyle name="60% - Accent3 2" xfId="34" xr:uid="{00000000-0005-0000-0000-00000E000000}"/>
    <cellStyle name="60% - Accent4 2" xfId="35" xr:uid="{00000000-0005-0000-0000-00000F000000}"/>
    <cellStyle name="60% - Accent5 2" xfId="36" xr:uid="{00000000-0005-0000-0000-000010000000}"/>
    <cellStyle name="60% - Accent6 2" xfId="37" xr:uid="{00000000-0005-0000-0000-000011000000}"/>
    <cellStyle name="Accent1 2" xfId="38" xr:uid="{00000000-0005-0000-0000-000012000000}"/>
    <cellStyle name="Accent2 2" xfId="39" xr:uid="{00000000-0005-0000-0000-000013000000}"/>
    <cellStyle name="Accent3 2" xfId="40" xr:uid="{00000000-0005-0000-0000-000014000000}"/>
    <cellStyle name="Accent4 2" xfId="41" xr:uid="{00000000-0005-0000-0000-000015000000}"/>
    <cellStyle name="Accent5 2" xfId="42" xr:uid="{00000000-0005-0000-0000-000016000000}"/>
    <cellStyle name="Accent6 2" xfId="43" xr:uid="{00000000-0005-0000-0000-000017000000}"/>
    <cellStyle name="Bad 2" xfId="44" xr:uid="{00000000-0005-0000-0000-000018000000}"/>
    <cellStyle name="Calculation 2" xfId="45" xr:uid="{00000000-0005-0000-0000-000019000000}"/>
    <cellStyle name="Check Cell 2" xfId="46" xr:uid="{00000000-0005-0000-0000-00001A000000}"/>
    <cellStyle name="Comma" xfId="1" builtinId="3"/>
    <cellStyle name="Comma 2" xfId="9" xr:uid="{00000000-0005-0000-0000-00001C000000}"/>
    <cellStyle name="Comma 3" xfId="10" xr:uid="{00000000-0005-0000-0000-00001D000000}"/>
    <cellStyle name="Comma 4" xfId="11" xr:uid="{00000000-0005-0000-0000-00001E000000}"/>
    <cellStyle name="Comma 5" xfId="47" xr:uid="{00000000-0005-0000-0000-00001F000000}"/>
    <cellStyle name="Comma 6" xfId="62" xr:uid="{00000000-0005-0000-0000-000020000000}"/>
    <cellStyle name="Explanatory Text 2" xfId="48" xr:uid="{00000000-0005-0000-0000-000021000000}"/>
    <cellStyle name="Good 2" xfId="49" xr:uid="{00000000-0005-0000-0000-000022000000}"/>
    <cellStyle name="Heading 1 2" xfId="50" xr:uid="{00000000-0005-0000-0000-000023000000}"/>
    <cellStyle name="Heading 2 2" xfId="51" xr:uid="{00000000-0005-0000-0000-000024000000}"/>
    <cellStyle name="Heading 3 2" xfId="52" xr:uid="{00000000-0005-0000-0000-000025000000}"/>
    <cellStyle name="Heading 4 2" xfId="53" xr:uid="{00000000-0005-0000-0000-000026000000}"/>
    <cellStyle name="Hyperlink" xfId="2" builtinId="8"/>
    <cellStyle name="Hyperlink 2" xfId="12" xr:uid="{00000000-0005-0000-0000-000028000000}"/>
    <cellStyle name="Hyperlink_AppA_Muncde_2010" xfId="3" xr:uid="{00000000-0005-0000-0000-000029000000}"/>
    <cellStyle name="Hyperlink_Bills" xfId="4" xr:uid="{00000000-0005-0000-0000-00002A000000}"/>
    <cellStyle name="Input 2" xfId="54" xr:uid="{00000000-0005-0000-0000-00002B000000}"/>
    <cellStyle name="Linked Cell 2" xfId="55" xr:uid="{00000000-0005-0000-0000-00002C000000}"/>
    <cellStyle name="Neutral 2" xfId="56" xr:uid="{00000000-0005-0000-0000-00002D000000}"/>
    <cellStyle name="Normal" xfId="0" builtinId="0"/>
    <cellStyle name="Normal 2" xfId="14" xr:uid="{00000000-0005-0000-0000-00002F000000}"/>
    <cellStyle name="Normal 3" xfId="15" xr:uid="{00000000-0005-0000-0000-000030000000}"/>
    <cellStyle name="Normal 4" xfId="5" xr:uid="{00000000-0005-0000-0000-000031000000}"/>
    <cellStyle name="Normal 4 2" xfId="17" xr:uid="{00000000-0005-0000-0000-000032000000}"/>
    <cellStyle name="Normal 4_A9-Asset" xfId="16" xr:uid="{00000000-0005-0000-0000-000033000000}"/>
    <cellStyle name="Normal_A9-Asset" xfId="13" xr:uid="{00000000-0005-0000-0000-000034000000}"/>
    <cellStyle name="Normal_Final cover - LG Reporting" xfId="6" xr:uid="{00000000-0005-0000-0000-000035000000}"/>
    <cellStyle name="Note 2" xfId="57" xr:uid="{00000000-0005-0000-0000-000036000000}"/>
    <cellStyle name="Output 2" xfId="58" xr:uid="{00000000-0005-0000-0000-000037000000}"/>
    <cellStyle name="Percent" xfId="7" builtinId="5"/>
    <cellStyle name="Percent 10 2" xfId="8" xr:uid="{00000000-0005-0000-0000-000039000000}"/>
    <cellStyle name="Percent 10 2 2" xfId="18" xr:uid="{00000000-0005-0000-0000-00003A000000}"/>
    <cellStyle name="Percent 2" xfId="19" xr:uid="{00000000-0005-0000-0000-00003B000000}"/>
    <cellStyle name="Title 2" xfId="59" xr:uid="{00000000-0005-0000-0000-00003C000000}"/>
    <cellStyle name="Total 2" xfId="60" xr:uid="{00000000-0005-0000-0000-00003D000000}"/>
    <cellStyle name="Warning Text 2" xfId="61" xr:uid="{00000000-0005-0000-0000-00003E000000}"/>
  </cellStyles>
  <dxfs count="4">
    <dxf>
      <font>
        <b/>
        <i val="0"/>
        <color rgb="FFFF0000"/>
      </font>
    </dxf>
    <dxf>
      <font>
        <color rgb="FF9C0006"/>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worksheet" Target="worksheets/sheet41.xml"/><Relationship Id="rId47" Type="http://schemas.openxmlformats.org/officeDocument/2006/relationships/worksheet" Target="worksheets/sheet46.xml"/><Relationship Id="rId50" Type="http://schemas.openxmlformats.org/officeDocument/2006/relationships/worksheet" Target="worksheets/sheet49.xml"/><Relationship Id="rId55" Type="http://schemas.openxmlformats.org/officeDocument/2006/relationships/worksheet" Target="worksheets/sheet54.xml"/><Relationship Id="rId63" Type="http://schemas.openxmlformats.org/officeDocument/2006/relationships/worksheet" Target="worksheets/sheet62.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5.xml"/><Relationship Id="rId29" Type="http://schemas.openxmlformats.org/officeDocument/2006/relationships/worksheet" Target="worksheets/sheet28.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45" Type="http://schemas.openxmlformats.org/officeDocument/2006/relationships/worksheet" Target="worksheets/sheet44.xml"/><Relationship Id="rId53" Type="http://schemas.openxmlformats.org/officeDocument/2006/relationships/worksheet" Target="worksheets/sheet52.xml"/><Relationship Id="rId58" Type="http://schemas.openxmlformats.org/officeDocument/2006/relationships/worksheet" Target="worksheets/sheet57.xml"/><Relationship Id="rId66" Type="http://schemas.openxmlformats.org/officeDocument/2006/relationships/externalLink" Target="externalLinks/externalLink1.xml"/><Relationship Id="rId7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1.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49" Type="http://schemas.openxmlformats.org/officeDocument/2006/relationships/worksheet" Target="worksheets/sheet48.xml"/><Relationship Id="rId57" Type="http://schemas.openxmlformats.org/officeDocument/2006/relationships/worksheet" Target="worksheets/sheet56.xml"/><Relationship Id="rId61" Type="http://schemas.openxmlformats.org/officeDocument/2006/relationships/worksheet" Target="worksheets/sheet60.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worksheet" Target="worksheets/sheet30.xml"/><Relationship Id="rId44" Type="http://schemas.openxmlformats.org/officeDocument/2006/relationships/worksheet" Target="worksheets/sheet43.xml"/><Relationship Id="rId52" Type="http://schemas.openxmlformats.org/officeDocument/2006/relationships/worksheet" Target="worksheets/sheet51.xml"/><Relationship Id="rId60" Type="http://schemas.openxmlformats.org/officeDocument/2006/relationships/worksheet" Target="worksheets/sheet59.xml"/><Relationship Id="rId65" Type="http://schemas.openxmlformats.org/officeDocument/2006/relationships/worksheet" Target="worksheets/sheet64.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worksheet" Target="worksheets/sheet42.xml"/><Relationship Id="rId48" Type="http://schemas.openxmlformats.org/officeDocument/2006/relationships/worksheet" Target="worksheets/sheet47.xml"/><Relationship Id="rId56" Type="http://schemas.openxmlformats.org/officeDocument/2006/relationships/worksheet" Target="worksheets/sheet55.xml"/><Relationship Id="rId64" Type="http://schemas.openxmlformats.org/officeDocument/2006/relationships/worksheet" Target="worksheets/sheet63.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0.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46" Type="http://schemas.openxmlformats.org/officeDocument/2006/relationships/worksheet" Target="worksheets/sheet45.xml"/><Relationship Id="rId59" Type="http://schemas.openxmlformats.org/officeDocument/2006/relationships/worksheet" Target="worksheets/sheet58.xml"/><Relationship Id="rId67" Type="http://schemas.openxmlformats.org/officeDocument/2006/relationships/externalLink" Target="externalLinks/externalLink2.xml"/><Relationship Id="rId20" Type="http://schemas.openxmlformats.org/officeDocument/2006/relationships/worksheet" Target="worksheets/sheet19.xml"/><Relationship Id="rId41" Type="http://schemas.openxmlformats.org/officeDocument/2006/relationships/worksheet" Target="worksheets/sheet40.xml"/><Relationship Id="rId54" Type="http://schemas.openxmlformats.org/officeDocument/2006/relationships/worksheet" Target="worksheets/sheet53.xml"/><Relationship Id="rId62" Type="http://schemas.openxmlformats.org/officeDocument/2006/relationships/worksheet" Target="worksheets/sheet61.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461069368"/>
        <c:axId val="461064272"/>
      </c:barChart>
      <c:catAx>
        <c:axId val="461069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461064272"/>
        <c:crosses val="autoZero"/>
        <c:auto val="1"/>
        <c:lblAlgn val="ctr"/>
        <c:lblOffset val="100"/>
        <c:noMultiLvlLbl val="0"/>
      </c:catAx>
      <c:valAx>
        <c:axId val="461064272"/>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4610693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sheetViews>
  <pageMargins left="0.7" right="0.7" top="0.75" bottom="0.75" header="0.3" footer="0.3"/>
  <drawing r:id="rId1"/>
</chartsheet>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8:$X$9" noThreeD="1" sel="2" val="0"/>
</file>

<file path=xl/ctrlProps/ctrlProp3.xml><?xml version="1.0" encoding="utf-8"?>
<formControlPr xmlns="http://schemas.microsoft.com/office/spreadsheetml/2009/9/main" objectType="Drop" dropLines="6" dropStyle="combo" dx="22" fmlaLink="$X$33" fmlaRange="$X$17:$X$31" noThreeD="1" sel="12" val="9"/>
</file>

<file path=xl/ctrlProps/ctrlProp4.xml><?xml version="1.0" encoding="utf-8"?>
<formControlPr xmlns="http://schemas.microsoft.com/office/spreadsheetml/2009/9/main" objectType="Drop" dropLines="10" dropStyle="combo" dx="22" fmlaLink="'Lookup and lists'!$B$27" fmlaRange="'Lookup and lists'!$B$29:$C$307" noThreeD="1" sel="4" val="0"/>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hyperlink" Target="https://portals.treasury.gov.za/sites/lguploadportal/SitePages/Home.aspx" TargetMode="External"/><Relationship Id="rId4" Type="http://schemas.openxmlformats.org/officeDocument/2006/relationships/image" Target="../media/image4.jpe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MFMA/Guidelines/MFMA%20Funding%20compliance/MFMA%20Funding%20compliance%20guideline%20-%2010%20March%202008.pdf" TargetMode="External"/><Relationship Id="rId3" Type="http://schemas.openxmlformats.org/officeDocument/2006/relationships/image" Target="../media/image16.emf"/><Relationship Id="rId7" Type="http://schemas.openxmlformats.org/officeDocument/2006/relationships/hyperlink" Target="http://mfma.treasury.gov.za/RegulationsandGazettes/Municipal%20Budget%20and%20Reporting%20Regulations/regulation2012-2013/Documents/Budget%20Format%20Guidelines_%202012_13.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turn_Forms/Pages/default.aspx"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133" name="Group 316">
          <a:extLst>
            <a:ext uri="{FF2B5EF4-FFF2-40B4-BE49-F238E27FC236}">
              <a16:creationId xmlns:a16="http://schemas.microsoft.com/office/drawing/2014/main" id="{00000000-0008-0000-0000-00006D040000}"/>
            </a:ext>
          </a:extLst>
        </xdr:cNvPr>
        <xdr:cNvGrpSpPr>
          <a:grpSpLocks/>
        </xdr:cNvGrpSpPr>
      </xdr:nvGrpSpPr>
      <xdr:grpSpPr bwMode="auto">
        <a:xfrm>
          <a:off x="0" y="0"/>
          <a:ext cx="7534275" cy="6400800"/>
          <a:chOff x="0" y="0"/>
          <a:chExt cx="791" cy="672"/>
        </a:xfrm>
      </xdr:grpSpPr>
      <xdr:grpSp>
        <xdr:nvGrpSpPr>
          <xdr:cNvPr id="1135" name="Group 11">
            <a:extLst>
              <a:ext uri="{FF2B5EF4-FFF2-40B4-BE49-F238E27FC236}">
                <a16:creationId xmlns:a16="http://schemas.microsoft.com/office/drawing/2014/main" id="{00000000-0008-0000-0000-00006F040000}"/>
              </a:ext>
            </a:extLst>
          </xdr:cNvPr>
          <xdr:cNvGrpSpPr>
            <a:grpSpLocks/>
          </xdr:cNvGrpSpPr>
        </xdr:nvGrpSpPr>
        <xdr:grpSpPr bwMode="auto">
          <a:xfrm>
            <a:off x="0" y="0"/>
            <a:ext cx="791" cy="672"/>
            <a:chOff x="0" y="0"/>
            <a:chExt cx="791" cy="672"/>
          </a:xfrm>
        </xdr:grpSpPr>
        <xdr:grpSp>
          <xdr:nvGrpSpPr>
            <xdr:cNvPr id="1137" name="Group 12">
              <a:extLst>
                <a:ext uri="{FF2B5EF4-FFF2-40B4-BE49-F238E27FC236}">
                  <a16:creationId xmlns:a16="http://schemas.microsoft.com/office/drawing/2014/main" id="{00000000-0008-0000-0000-000071040000}"/>
                </a:ext>
              </a:extLst>
            </xdr:cNvPr>
            <xdr:cNvGrpSpPr>
              <a:grpSpLocks/>
            </xdr:cNvGrpSpPr>
          </xdr:nvGrpSpPr>
          <xdr:grpSpPr bwMode="auto">
            <a:xfrm>
              <a:off x="0" y="0"/>
              <a:ext cx="791" cy="672"/>
              <a:chOff x="12" y="17"/>
              <a:chExt cx="791" cy="672"/>
            </a:xfrm>
          </xdr:grpSpPr>
          <xdr:pic>
            <xdr:nvPicPr>
              <xdr:cNvPr id="1139" name="Picture 13" descr="Untitled-1 copy">
                <a:extLst>
                  <a:ext uri="{FF2B5EF4-FFF2-40B4-BE49-F238E27FC236}">
                    <a16:creationId xmlns:a16="http://schemas.microsoft.com/office/drawing/2014/main" id="{00000000-0008-0000-0000-00007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40" name="Picture 14" descr="1 copy">
                <a:extLst>
                  <a:ext uri="{FF2B5EF4-FFF2-40B4-BE49-F238E27FC236}">
                    <a16:creationId xmlns:a16="http://schemas.microsoft.com/office/drawing/2014/main" id="{00000000-0008-0000-0000-00007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41" name="Group 15">
                <a:extLst>
                  <a:ext uri="{FF2B5EF4-FFF2-40B4-BE49-F238E27FC236}">
                    <a16:creationId xmlns:a16="http://schemas.microsoft.com/office/drawing/2014/main" id="{00000000-0008-0000-0000-000075040000}"/>
                  </a:ext>
                </a:extLst>
              </xdr:cNvPr>
              <xdr:cNvGrpSpPr>
                <a:grpSpLocks/>
              </xdr:cNvGrpSpPr>
            </xdr:nvGrpSpPr>
            <xdr:grpSpPr bwMode="auto">
              <a:xfrm>
                <a:off x="416" y="255"/>
                <a:ext cx="367" cy="413"/>
                <a:chOff x="416" y="255"/>
                <a:chExt cx="367" cy="413"/>
              </a:xfrm>
            </xdr:grpSpPr>
            <xdr:pic>
              <xdr:nvPicPr>
                <xdr:cNvPr id="1146" name="Picture 48" descr="Untitled-4-2">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47" name="Group 17">
                  <a:extLst>
                    <a:ext uri="{FF2B5EF4-FFF2-40B4-BE49-F238E27FC236}">
                      <a16:creationId xmlns:a16="http://schemas.microsoft.com/office/drawing/2014/main" id="{00000000-0008-0000-0000-00007B040000}"/>
                    </a:ext>
                  </a:extLst>
                </xdr:cNvPr>
                <xdr:cNvGrpSpPr>
                  <a:grpSpLocks/>
                </xdr:cNvGrpSpPr>
              </xdr:nvGrpSpPr>
              <xdr:grpSpPr bwMode="auto">
                <a:xfrm>
                  <a:off x="432" y="264"/>
                  <a:ext cx="286" cy="128"/>
                  <a:chOff x="426" y="263"/>
                  <a:chExt cx="290" cy="130"/>
                </a:xfrm>
              </xdr:grpSpPr>
              <xdr:pic>
                <xdr:nvPicPr>
                  <xdr:cNvPr id="1149" name="Picture 52" descr="Letter Head">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50" name="Line 53">
                    <a:extLst>
                      <a:ext uri="{FF2B5EF4-FFF2-40B4-BE49-F238E27FC236}">
                        <a16:creationId xmlns:a16="http://schemas.microsoft.com/office/drawing/2014/main" id="{00000000-0008-0000-0000-00007E0400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2900" name="Text Box 20">
                  <a:hlinkClick xmlns:r="http://schemas.openxmlformats.org/officeDocument/2006/relationships" r:id="rId5"/>
                  <a:extLst>
                    <a:ext uri="{FF2B5EF4-FFF2-40B4-BE49-F238E27FC236}">
                      <a16:creationId xmlns:a16="http://schemas.microsoft.com/office/drawing/2014/main" id="{00000000-0008-0000-0000-000014E00100}"/>
                    </a:ext>
                  </a:extLst>
                </xdr:cNvPr>
                <xdr:cNvSpPr txBox="1">
                  <a:spLocks noChangeArrowheads="1"/>
                </xdr:cNvSpPr>
              </xdr:nvSpPr>
              <xdr:spPr bwMode="auto">
                <a:xfrm>
                  <a:off x="433" y="394"/>
                  <a:ext cx="335" cy="255"/>
                </a:xfrm>
                <a:prstGeom prst="rect">
                  <a:avLst/>
                </a:prstGeom>
                <a:noFill/>
                <a:ln w="9525">
                  <a:noFill/>
                  <a:miter lim="800000"/>
                  <a:headEnd/>
                  <a:tailEnd/>
                </a:ln>
              </xdr:spPr>
              <xdr:txBody>
                <a:bodyPr vertOverflow="clip" wrap="square" lIns="27432" tIns="27432" rIns="0" bIns="0" anchor="t" upright="1"/>
                <a:lstStyle/>
                <a:p>
                  <a:pPr algn="l" rtl="1">
                    <a:lnSpc>
                      <a:spcPts val="1400"/>
                    </a:lnSpc>
                    <a:defRPr sz="1000"/>
                  </a:pPr>
                  <a:endParaRPr lang="en-US" sz="1200" b="1" i="0" u="sng" strike="noStrike">
                    <a:solidFill>
                      <a:srgbClr val="000000"/>
                    </a:solidFill>
                    <a:latin typeface="Calibri"/>
                  </a:endParaRPr>
                </a:p>
                <a:p>
                  <a:pPr algn="l" rtl="1">
                    <a:lnSpc>
                      <a:spcPts val="1400"/>
                    </a:lnSpc>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lnSpc>
                      <a:spcPts val="1400"/>
                    </a:lnSpc>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Elsabé Rossouw</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submissions: </a:t>
                  </a:r>
                </a:p>
                <a:p>
                  <a:pPr algn="l" rtl="1">
                    <a:defRPr sz="1000"/>
                  </a:pPr>
                  <a:r>
                    <a:rPr lang="en-US" sz="1000" b="0" i="0" strike="noStrike">
                      <a:solidFill>
                        <a:srgbClr val="000000"/>
                      </a:solidFill>
                      <a:latin typeface="Calibri"/>
                    </a:rPr>
                    <a:t>                           LG Upload Portal</a:t>
                  </a:r>
                </a:p>
                <a:p>
                  <a:pPr algn="l" rtl="1">
                    <a:lnSpc>
                      <a:spcPts val="1100"/>
                    </a:lnSpc>
                    <a:defRPr sz="1000"/>
                  </a:pPr>
                  <a:r>
                    <a:rPr lang="en-US" sz="1000" b="0" i="0" strike="noStrike">
                      <a:solidFill>
                        <a:srgbClr val="000000"/>
                      </a:solidFill>
                      <a:latin typeface="+mn-lt"/>
                    </a:rPr>
                    <a:t>		</a:t>
                  </a:r>
                </a:p>
                <a:p>
                  <a:pPr algn="l" rtl="1">
                    <a:defRPr sz="1000"/>
                  </a:pPr>
                  <a:r>
                    <a:rPr lang="en-US" sz="1000" b="0" i="0" strike="noStrike">
                      <a:solidFill>
                        <a:srgbClr val="000000"/>
                      </a:solidFill>
                      <a:latin typeface="+mn-lt"/>
                    </a:rPr>
                    <a:t> </a:t>
                  </a:r>
                </a:p>
                <a:p>
                  <a:pPr algn="l" rtl="1">
                    <a:lnSpc>
                      <a:spcPts val="900"/>
                    </a:lnSpc>
                    <a:defRPr sz="1000"/>
                  </a:pPr>
                  <a:endParaRPr lang="en-US" sz="1000" b="0" i="0" strike="noStrike">
                    <a:solidFill>
                      <a:srgbClr val="000000"/>
                    </a:solidFill>
                    <a:latin typeface="Calibri"/>
                  </a:endParaRPr>
                </a:p>
              </xdr:txBody>
            </xdr:sp>
          </xdr:grpSp>
          <xdr:grpSp>
            <xdr:nvGrpSpPr>
              <xdr:cNvPr id="1142" name="Group 21">
                <a:extLst>
                  <a:ext uri="{FF2B5EF4-FFF2-40B4-BE49-F238E27FC236}">
                    <a16:creationId xmlns:a16="http://schemas.microsoft.com/office/drawing/2014/main" id="{00000000-0008-0000-0000-000076040000}"/>
                  </a:ext>
                </a:extLst>
              </xdr:cNvPr>
              <xdr:cNvGrpSpPr>
                <a:grpSpLocks/>
              </xdr:cNvGrpSpPr>
            </xdr:nvGrpSpPr>
            <xdr:grpSpPr bwMode="auto">
              <a:xfrm>
                <a:off x="76" y="364"/>
                <a:ext cx="289" cy="256"/>
                <a:chOff x="76" y="364"/>
                <a:chExt cx="289" cy="256"/>
              </a:xfrm>
            </xdr:grpSpPr>
            <xdr:pic>
              <xdr:nvPicPr>
                <xdr:cNvPr id="1143" name="Picture 22" descr="J1c">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44" name="Picture 23" descr="J1a">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45" name="Picture 24" descr="J1b">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138" name="Picture 25" descr="A1 light">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3193" name="Text Box 313">
            <a:extLst>
              <a:ext uri="{FF2B5EF4-FFF2-40B4-BE49-F238E27FC236}">
                <a16:creationId xmlns:a16="http://schemas.microsoft.com/office/drawing/2014/main" id="{00000000-0008-0000-0000-000039E10100}"/>
              </a:ext>
            </a:extLst>
          </xdr:cNvPr>
          <xdr:cNvSpPr txBox="1">
            <a:spLocks noChangeArrowheads="1"/>
          </xdr:cNvSpPr>
        </xdr:nvSpPr>
        <xdr:spPr bwMode="auto">
          <a:xfrm>
            <a:off x="638" y="197"/>
            <a:ext cx="137" cy="17"/>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6.3</a:t>
            </a:r>
          </a:p>
        </xdr:txBody>
      </xdr:sp>
    </xdr:grpSp>
    <xdr:clientData/>
  </xdr:twoCellAnchor>
  <xdr:twoCellAnchor>
    <xdr:from>
      <xdr:col>1</xdr:col>
      <xdr:colOff>72390</xdr:colOff>
      <xdr:row>15</xdr:row>
      <xdr:rowOff>156845</xdr:rowOff>
    </xdr:from>
    <xdr:to>
      <xdr:col>4</xdr:col>
      <xdr:colOff>483275</xdr:colOff>
      <xdr:row>19</xdr:row>
      <xdr:rowOff>3515</xdr:rowOff>
    </xdr:to>
    <xdr:sp macro="[0]!GoToInstructions" textlink="">
      <xdr:nvSpPr>
        <xdr:cNvPr id="122906" name="Text Box 26">
          <a:extLst>
            <a:ext uri="{FF2B5EF4-FFF2-40B4-BE49-F238E27FC236}">
              <a16:creationId xmlns:a16="http://schemas.microsoft.com/office/drawing/2014/main" id="{00000000-0008-0000-0000-00001AE00100}"/>
            </a:ext>
          </a:extLst>
        </xdr:cNvPr>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400050</xdr:colOff>
      <xdr:row>46</xdr:row>
      <xdr:rowOff>57150</xdr:rowOff>
    </xdr:to>
    <xdr:pic>
      <xdr:nvPicPr>
        <xdr:cNvPr id="268850" name="Picture 3" descr="Untitled-1 copy">
          <a:extLst>
            <a:ext uri="{FF2B5EF4-FFF2-40B4-BE49-F238E27FC236}">
              <a16:creationId xmlns:a16="http://schemas.microsoft.com/office/drawing/2014/main" id="{00000000-0008-0000-0100-0000321A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72350" cy="750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28</xdr:row>
      <xdr:rowOff>38100</xdr:rowOff>
    </xdr:from>
    <xdr:to>
      <xdr:col>6</xdr:col>
      <xdr:colOff>361950</xdr:colOff>
      <xdr:row>45</xdr:row>
      <xdr:rowOff>57150</xdr:rowOff>
    </xdr:to>
    <xdr:pic>
      <xdr:nvPicPr>
        <xdr:cNvPr id="268851" name="Picture 4" descr="1 copy">
          <a:extLst>
            <a:ext uri="{FF2B5EF4-FFF2-40B4-BE49-F238E27FC236}">
              <a16:creationId xmlns:a16="http://schemas.microsoft.com/office/drawing/2014/main" id="{00000000-0008-0000-0100-0000331A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4572000"/>
          <a:ext cx="3686175"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71755</xdr:colOff>
      <xdr:row>24</xdr:row>
      <xdr:rowOff>112395</xdr:rowOff>
    </xdr:from>
    <xdr:to>
      <xdr:col>11</xdr:col>
      <xdr:colOff>537882</xdr:colOff>
      <xdr:row>27</xdr:row>
      <xdr:rowOff>108965</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149860</xdr:colOff>
      <xdr:row>0</xdr:row>
      <xdr:rowOff>111125</xdr:rowOff>
    </xdr:from>
    <xdr:to>
      <xdr:col>12</xdr:col>
      <xdr:colOff>261625</xdr:colOff>
      <xdr:row>3</xdr:row>
      <xdr:rowOff>141644</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194945</xdr:colOff>
      <xdr:row>28</xdr:row>
      <xdr:rowOff>66675</xdr:rowOff>
    </xdr:from>
    <xdr:to>
      <xdr:col>6</xdr:col>
      <xdr:colOff>333376</xdr:colOff>
      <xdr:row>31</xdr:row>
      <xdr:rowOff>108784</xdr:rowOff>
    </xdr:to>
    <xdr:sp macro="" textlink="">
      <xdr:nvSpPr>
        <xdr:cNvPr id="124127" name="Text Box 18">
          <a:extLst>
            <a:ext uri="{FF2B5EF4-FFF2-40B4-BE49-F238E27FC236}">
              <a16:creationId xmlns:a16="http://schemas.microsoft.com/office/drawing/2014/main" id="{00000000-0008-0000-0100-0000DFE40100}"/>
            </a:ext>
          </a:extLst>
        </xdr:cNvPr>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183515</xdr:colOff>
      <xdr:row>4</xdr:row>
      <xdr:rowOff>0</xdr:rowOff>
    </xdr:from>
    <xdr:to>
      <xdr:col>5</xdr:col>
      <xdr:colOff>73630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149860</xdr:colOff>
      <xdr:row>14</xdr:row>
      <xdr:rowOff>80010</xdr:rowOff>
    </xdr:from>
    <xdr:to>
      <xdr:col>5</xdr:col>
      <xdr:colOff>40007</xdr:colOff>
      <xdr:row>17</xdr:row>
      <xdr:rowOff>103162</xdr:rowOff>
    </xdr:to>
    <xdr:sp macro="" textlink="">
      <xdr:nvSpPr>
        <xdr:cNvPr id="123926" name="Text Box 22">
          <a:extLst>
            <a:ext uri="{FF2B5EF4-FFF2-40B4-BE49-F238E27FC236}">
              <a16:creationId xmlns:a16="http://schemas.microsoft.com/office/drawing/2014/main" id="{00000000-0008-0000-0100-000016E40100}"/>
            </a:ext>
          </a:extLst>
        </xdr:cNvPr>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255270</xdr:colOff>
      <xdr:row>14</xdr:row>
      <xdr:rowOff>80010</xdr:rowOff>
    </xdr:from>
    <xdr:to>
      <xdr:col>9</xdr:col>
      <xdr:colOff>454539</xdr:colOff>
      <xdr:row>17</xdr:row>
      <xdr:rowOff>103162</xdr:rowOff>
    </xdr:to>
    <xdr:sp macro="" textlink="">
      <xdr:nvSpPr>
        <xdr:cNvPr id="123928" name="Text Box 24">
          <a:extLst>
            <a:ext uri="{FF2B5EF4-FFF2-40B4-BE49-F238E27FC236}">
              <a16:creationId xmlns:a16="http://schemas.microsoft.com/office/drawing/2014/main" id="{00000000-0008-0000-0100-000018E40100}"/>
            </a:ext>
          </a:extLst>
        </xdr:cNvPr>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149860</xdr:colOff>
      <xdr:row>17</xdr:row>
      <xdr:rowOff>57150</xdr:rowOff>
    </xdr:from>
    <xdr:to>
      <xdr:col>5</xdr:col>
      <xdr:colOff>40007</xdr:colOff>
      <xdr:row>20</xdr:row>
      <xdr:rowOff>66675</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149860</xdr:colOff>
      <xdr:row>20</xdr:row>
      <xdr:rowOff>112395</xdr:rowOff>
    </xdr:from>
    <xdr:to>
      <xdr:col>5</xdr:col>
      <xdr:colOff>40007</xdr:colOff>
      <xdr:row>22</xdr:row>
      <xdr:rowOff>147189</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180340</xdr:colOff>
      <xdr:row>7</xdr:row>
      <xdr:rowOff>0</xdr:rowOff>
    </xdr:from>
    <xdr:to>
      <xdr:col>5</xdr:col>
      <xdr:colOff>70487</xdr:colOff>
      <xdr:row>8</xdr:row>
      <xdr:rowOff>140875</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403860</xdr:colOff>
      <xdr:row>9</xdr:row>
      <xdr:rowOff>57150</xdr:rowOff>
    </xdr:from>
    <xdr:to>
      <xdr:col>5</xdr:col>
      <xdr:colOff>70485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194945</xdr:colOff>
      <xdr:row>11</xdr:row>
      <xdr:rowOff>111125</xdr:rowOff>
    </xdr:from>
    <xdr:to>
      <xdr:col>5</xdr:col>
      <xdr:colOff>83198</xdr:colOff>
      <xdr:row>13</xdr:row>
      <xdr:rowOff>109429</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1905</xdr:colOff>
      <xdr:row>9</xdr:row>
      <xdr:rowOff>76200</xdr:rowOff>
    </xdr:from>
    <xdr:to>
      <xdr:col>8</xdr:col>
      <xdr:colOff>521773</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145415</xdr:colOff>
      <xdr:row>33</xdr:row>
      <xdr:rowOff>0</xdr:rowOff>
    </xdr:from>
    <xdr:to>
      <xdr:col>5</xdr:col>
      <xdr:colOff>363849</xdr:colOff>
      <xdr:row>34</xdr:row>
      <xdr:rowOff>146887</xdr:rowOff>
    </xdr:to>
    <xdr:sp macro="" textlink="">
      <xdr:nvSpPr>
        <xdr:cNvPr id="124137" name="Text Box 233">
          <a:extLst>
            <a:ext uri="{FF2B5EF4-FFF2-40B4-BE49-F238E27FC236}">
              <a16:creationId xmlns:a16="http://schemas.microsoft.com/office/drawing/2014/main" id="{00000000-0008-0000-0100-0000E9E40100}"/>
            </a:ext>
          </a:extLst>
        </xdr:cNvPr>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574040</xdr:colOff>
      <xdr:row>39</xdr:row>
      <xdr:rowOff>102870</xdr:rowOff>
    </xdr:from>
    <xdr:to>
      <xdr:col>5</xdr:col>
      <xdr:colOff>554961</xdr:colOff>
      <xdr:row>41</xdr:row>
      <xdr:rowOff>140970</xdr:rowOff>
    </xdr:to>
    <xdr:sp macro="" textlink="">
      <xdr:nvSpPr>
        <xdr:cNvPr id="124138" name="Text Box 234">
          <a:extLst>
            <a:ext uri="{FF2B5EF4-FFF2-40B4-BE49-F238E27FC236}">
              <a16:creationId xmlns:a16="http://schemas.microsoft.com/office/drawing/2014/main" id="{00000000-0008-0000-0100-0000EAE40100}"/>
            </a:ext>
          </a:extLst>
        </xdr:cNvPr>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18</xdr:row>
          <xdr:rowOff>38100</xdr:rowOff>
        </xdr:from>
        <xdr:to>
          <xdr:col>6</xdr:col>
          <xdr:colOff>247650</xdr:colOff>
          <xdr:row>19</xdr:row>
          <xdr:rowOff>57150</xdr:rowOff>
        </xdr:to>
        <xdr:sp macro="" textlink="">
          <xdr:nvSpPr>
            <xdr:cNvPr id="123931" name="Drop Down 27" hidden="1">
              <a:extLst>
                <a:ext uri="{63B3BB69-23CF-44E3-9099-C40C66FF867C}">
                  <a14:compatExt spid="_x0000_s123931"/>
                </a:ext>
                <a:ext uri="{FF2B5EF4-FFF2-40B4-BE49-F238E27FC236}">
                  <a16:creationId xmlns:a16="http://schemas.microsoft.com/office/drawing/2014/main" id="{00000000-0008-0000-0100-00001B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xdr:row>
          <xdr:rowOff>38100</xdr:rowOff>
        </xdr:from>
        <xdr:to>
          <xdr:col>7</xdr:col>
          <xdr:colOff>180975</xdr:colOff>
          <xdr:row>22</xdr:row>
          <xdr:rowOff>57150</xdr:rowOff>
        </xdr:to>
        <xdr:sp macro="" textlink="">
          <xdr:nvSpPr>
            <xdr:cNvPr id="123932" name="Drop Down 28" hidden="1">
              <a:extLst>
                <a:ext uri="{63B3BB69-23CF-44E3-9099-C40C66FF867C}">
                  <a14:compatExt spid="_x0000_s123932"/>
                </a:ext>
                <a:ext uri="{FF2B5EF4-FFF2-40B4-BE49-F238E27FC236}">
                  <a16:creationId xmlns:a16="http://schemas.microsoft.com/office/drawing/2014/main" id="{00000000-0008-0000-0100-00001C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15</xdr:row>
          <xdr:rowOff>85725</xdr:rowOff>
        </xdr:from>
        <xdr:to>
          <xdr:col>6</xdr:col>
          <xdr:colOff>533400</xdr:colOff>
          <xdr:row>16</xdr:row>
          <xdr:rowOff>114300</xdr:rowOff>
        </xdr:to>
        <xdr:sp macro="" textlink="">
          <xdr:nvSpPr>
            <xdr:cNvPr id="123936" name="Drop Down 32" hidden="1">
              <a:extLst>
                <a:ext uri="{63B3BB69-23CF-44E3-9099-C40C66FF867C}">
                  <a14:compatExt spid="_x0000_s123936"/>
                </a:ext>
                <a:ext uri="{FF2B5EF4-FFF2-40B4-BE49-F238E27FC236}">
                  <a16:creationId xmlns:a16="http://schemas.microsoft.com/office/drawing/2014/main" id="{00000000-0008-0000-0100-000020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15</xdr:row>
          <xdr:rowOff>19050</xdr:rowOff>
        </xdr:from>
        <xdr:to>
          <xdr:col>11</xdr:col>
          <xdr:colOff>438150</xdr:colOff>
          <xdr:row>17</xdr:row>
          <xdr:rowOff>19050</xdr:rowOff>
        </xdr:to>
        <xdr:pic>
          <xdr:nvPicPr>
            <xdr:cNvPr id="268866" name="TextBox2">
              <a:extLst>
                <a:ext uri="{FF2B5EF4-FFF2-40B4-BE49-F238E27FC236}">
                  <a16:creationId xmlns:a16="http://schemas.microsoft.com/office/drawing/2014/main" id="{00000000-0008-0000-0100-0000421A0400}"/>
                </a:ext>
              </a:extLst>
            </xdr:cNvPr>
            <xdr:cNvPicPr preferRelativeResize="0">
              <a:picLocks noChangeArrowheads="1" noChangeShapeType="1"/>
              <a:extLst>
                <a:ext uri="{84589F7E-364E-4C9E-8A38-B11213B215E9}">
                  <a14:cameraTool cellRange="FinYear" spid="_x0000_s268959"/>
                </a:ext>
              </a:extLst>
            </xdr:cNvPicPr>
          </xdr:nvPicPr>
          <xdr:blipFill>
            <a:blip xmlns:r="http://schemas.openxmlformats.org/officeDocument/2006/relationships" r:embed="rId3">
              <a:grayscl/>
              <a:biLevel thresh="50000"/>
            </a:blip>
            <a:srcRect/>
            <a:stretch>
              <a:fillRect/>
            </a:stretch>
          </xdr:blipFill>
          <xdr:spPr bwMode="auto">
            <a:xfrm>
              <a:off x="5781675" y="2447925"/>
              <a:ext cx="104775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38100</xdr:rowOff>
        </xdr:from>
        <xdr:to>
          <xdr:col>10</xdr:col>
          <xdr:colOff>38100</xdr:colOff>
          <xdr:row>8</xdr:row>
          <xdr:rowOff>66675</xdr:rowOff>
        </xdr:to>
        <xdr:sp macro="" textlink="">
          <xdr:nvSpPr>
            <xdr:cNvPr id="123946" name="TextBox3" hidden="1">
              <a:extLst>
                <a:ext uri="{63B3BB69-23CF-44E3-9099-C40C66FF867C}">
                  <a14:compatExt spid="_x0000_s123946"/>
                </a:ext>
                <a:ext uri="{FF2B5EF4-FFF2-40B4-BE49-F238E27FC236}">
                  <a16:creationId xmlns:a16="http://schemas.microsoft.com/office/drawing/2014/main" id="{00000000-0008-0000-0100-00002A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114300</xdr:rowOff>
        </xdr:from>
        <xdr:to>
          <xdr:col>7</xdr:col>
          <xdr:colOff>142875</xdr:colOff>
          <xdr:row>10</xdr:row>
          <xdr:rowOff>142875</xdr:rowOff>
        </xdr:to>
        <xdr:sp macro="" textlink="">
          <xdr:nvSpPr>
            <xdr:cNvPr id="123947" name="TextBox4" hidden="1">
              <a:extLst>
                <a:ext uri="{63B3BB69-23CF-44E3-9099-C40C66FF867C}">
                  <a14:compatExt spid="_x0000_s123947"/>
                </a:ext>
                <a:ext uri="{FF2B5EF4-FFF2-40B4-BE49-F238E27FC236}">
                  <a16:creationId xmlns:a16="http://schemas.microsoft.com/office/drawing/2014/main" id="{00000000-0008-0000-0100-00002B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19050</xdr:rowOff>
        </xdr:from>
        <xdr:to>
          <xdr:col>10</xdr:col>
          <xdr:colOff>66675</xdr:colOff>
          <xdr:row>13</xdr:row>
          <xdr:rowOff>47625</xdr:rowOff>
        </xdr:to>
        <xdr:sp macro="" textlink="">
          <xdr:nvSpPr>
            <xdr:cNvPr id="123948" name="TextBox5" hidden="1">
              <a:extLst>
                <a:ext uri="{63B3BB69-23CF-44E3-9099-C40C66FF867C}">
                  <a14:compatExt spid="_x0000_s123948"/>
                </a:ext>
                <a:ext uri="{FF2B5EF4-FFF2-40B4-BE49-F238E27FC236}">
                  <a16:creationId xmlns:a16="http://schemas.microsoft.com/office/drawing/2014/main" id="{00000000-0008-0000-0100-00002C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114300</xdr:rowOff>
        </xdr:from>
        <xdr:to>
          <xdr:col>10</xdr:col>
          <xdr:colOff>495300</xdr:colOff>
          <xdr:row>10</xdr:row>
          <xdr:rowOff>142875</xdr:rowOff>
        </xdr:to>
        <xdr:sp macro="" textlink="">
          <xdr:nvSpPr>
            <xdr:cNvPr id="123950" name="TextBox6" hidden="1">
              <a:extLst>
                <a:ext uri="{63B3BB69-23CF-44E3-9099-C40C66FF867C}">
                  <a14:compatExt spid="_x0000_s123950"/>
                </a:ext>
                <a:ext uri="{FF2B5EF4-FFF2-40B4-BE49-F238E27FC236}">
                  <a16:creationId xmlns:a16="http://schemas.microsoft.com/office/drawing/2014/main" id="{00000000-0008-0000-0100-00002E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36</xdr:row>
          <xdr:rowOff>142875</xdr:rowOff>
        </xdr:from>
        <xdr:to>
          <xdr:col>4</xdr:col>
          <xdr:colOff>514350</xdr:colOff>
          <xdr:row>38</xdr:row>
          <xdr:rowOff>57150</xdr:rowOff>
        </xdr:to>
        <xdr:sp macro="" textlink="">
          <xdr:nvSpPr>
            <xdr:cNvPr id="124039" name="ToggleReferenceColumns" hidden="1">
              <a:extLst>
                <a:ext uri="{63B3BB69-23CF-44E3-9099-C40C66FF867C}">
                  <a14:compatExt spid="_x0000_s124039"/>
                </a:ext>
                <a:ext uri="{FF2B5EF4-FFF2-40B4-BE49-F238E27FC236}">
                  <a16:creationId xmlns:a16="http://schemas.microsoft.com/office/drawing/2014/main" id="{00000000-0008-0000-0100-000087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34</xdr:row>
          <xdr:rowOff>142875</xdr:rowOff>
        </xdr:from>
        <xdr:to>
          <xdr:col>4</xdr:col>
          <xdr:colOff>514350</xdr:colOff>
          <xdr:row>36</xdr:row>
          <xdr:rowOff>57150</xdr:rowOff>
        </xdr:to>
        <xdr:sp macro="" textlink="">
          <xdr:nvSpPr>
            <xdr:cNvPr id="124040" name="TogglePreAuditColums" hidden="1">
              <a:extLst>
                <a:ext uri="{63B3BB69-23CF-44E3-9099-C40C66FF867C}">
                  <a14:compatExt spid="_x0000_s124040"/>
                </a:ext>
                <a:ext uri="{FF2B5EF4-FFF2-40B4-BE49-F238E27FC236}">
                  <a16:creationId xmlns:a16="http://schemas.microsoft.com/office/drawing/2014/main" id="{00000000-0008-0000-0100-000088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41</xdr:row>
          <xdr:rowOff>142875</xdr:rowOff>
        </xdr:from>
        <xdr:to>
          <xdr:col>4</xdr:col>
          <xdr:colOff>561975</xdr:colOff>
          <xdr:row>43</xdr:row>
          <xdr:rowOff>76200</xdr:rowOff>
        </xdr:to>
        <xdr:sp macro="" textlink="">
          <xdr:nvSpPr>
            <xdr:cNvPr id="124042" name="ToggleHiddenColumns" hidden="1">
              <a:extLst>
                <a:ext uri="{63B3BB69-23CF-44E3-9099-C40C66FF867C}">
                  <a14:compatExt spid="_x0000_s124042"/>
                </a:ext>
                <a:ext uri="{FF2B5EF4-FFF2-40B4-BE49-F238E27FC236}">
                  <a16:creationId xmlns:a16="http://schemas.microsoft.com/office/drawing/2014/main" id="{00000000-0008-0000-0100-00008A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xdr:row>
          <xdr:rowOff>104775</xdr:rowOff>
        </xdr:from>
        <xdr:to>
          <xdr:col>9</xdr:col>
          <xdr:colOff>438150</xdr:colOff>
          <xdr:row>5</xdr:row>
          <xdr:rowOff>123825</xdr:rowOff>
        </xdr:to>
        <xdr:sp macro="" textlink="">
          <xdr:nvSpPr>
            <xdr:cNvPr id="124151" name="Drop Down 247" hidden="1">
              <a:extLst>
                <a:ext uri="{63B3BB69-23CF-44E3-9099-C40C66FF867C}">
                  <a14:compatExt spid="_x0000_s124151"/>
                </a:ext>
                <a:ext uri="{FF2B5EF4-FFF2-40B4-BE49-F238E27FC236}">
                  <a16:creationId xmlns:a16="http://schemas.microsoft.com/office/drawing/2014/main" id="{00000000-0008-0000-0100-0000F7E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361950</xdr:colOff>
      <xdr:row>28</xdr:row>
      <xdr:rowOff>19050</xdr:rowOff>
    </xdr:from>
    <xdr:to>
      <xdr:col>12</xdr:col>
      <xdr:colOff>247650</xdr:colOff>
      <xdr:row>45</xdr:row>
      <xdr:rowOff>85725</xdr:rowOff>
    </xdr:to>
    <xdr:pic>
      <xdr:nvPicPr>
        <xdr:cNvPr id="268867" name="Picture 4" descr="1 copy">
          <a:extLst>
            <a:ext uri="{FF2B5EF4-FFF2-40B4-BE49-F238E27FC236}">
              <a16:creationId xmlns:a16="http://schemas.microsoft.com/office/drawing/2014/main" id="{00000000-0008-0000-0100-0000431A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4552950"/>
          <a:ext cx="337185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373380</xdr:colOff>
      <xdr:row>28</xdr:row>
      <xdr:rowOff>66675</xdr:rowOff>
    </xdr:from>
    <xdr:to>
      <xdr:col>12</xdr:col>
      <xdr:colOff>194941</xdr:colOff>
      <xdr:row>32</xdr:row>
      <xdr:rowOff>28575</xdr:rowOff>
    </xdr:to>
    <xdr:sp macro="" textlink="">
      <xdr:nvSpPr>
        <xdr:cNvPr id="39" name="Text Box 18">
          <a:extLst>
            <a:ext uri="{FF2B5EF4-FFF2-40B4-BE49-F238E27FC236}">
              <a16:creationId xmlns:a16="http://schemas.microsoft.com/office/drawing/2014/main" id="{00000000-0008-0000-0100-000027000000}"/>
            </a:ext>
          </a:extLst>
        </xdr:cNvPr>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lnSpc>
              <a:spcPts val="1600"/>
            </a:lnSpc>
            <a:defRPr sz="1000"/>
          </a:pPr>
          <a:r>
            <a:rPr lang="en-GB" sz="1400" b="1" i="0" u="none" strike="noStrike" baseline="0">
              <a:solidFill>
                <a:srgbClr val="000000"/>
              </a:solidFill>
              <a:latin typeface="Calibri"/>
              <a:cs typeface="Calibri"/>
            </a:rPr>
            <a:t>Important documents which </a:t>
          </a:r>
        </a:p>
        <a:p>
          <a:pPr algn="ctr" rtl="0">
            <a:lnSpc>
              <a:spcPts val="1600"/>
            </a:lnSpc>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466090</xdr:colOff>
      <xdr:row>32</xdr:row>
      <xdr:rowOff>140970</xdr:rowOff>
    </xdr:from>
    <xdr:to>
      <xdr:col>10</xdr:col>
      <xdr:colOff>373386</xdr:colOff>
      <xdr:row>35</xdr:row>
      <xdr:rowOff>19050</xdr:rowOff>
    </xdr:to>
    <xdr:sp macro="" textlink="">
      <xdr:nvSpPr>
        <xdr:cNvPr id="40" name="Text Box 233">
          <a:extLst>
            <a:ext uri="{FF2B5EF4-FFF2-40B4-BE49-F238E27FC236}">
              <a16:creationId xmlns:a16="http://schemas.microsoft.com/office/drawing/2014/main" id="{00000000-0008-0000-0100-000028000000}"/>
            </a:ext>
          </a:extLst>
        </xdr:cNvPr>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485141</xdr:colOff>
      <xdr:row>37</xdr:row>
      <xdr:rowOff>76200</xdr:rowOff>
    </xdr:from>
    <xdr:to>
      <xdr:col>9</xdr:col>
      <xdr:colOff>295326</xdr:colOff>
      <xdr:row>39</xdr:row>
      <xdr:rowOff>111811</xdr:rowOff>
    </xdr:to>
    <xdr:sp macro="" textlink="">
      <xdr:nvSpPr>
        <xdr:cNvPr id="41" name="Text Box 233">
          <a:extLst>
            <a:ext uri="{FF2B5EF4-FFF2-40B4-BE49-F238E27FC236}">
              <a16:creationId xmlns:a16="http://schemas.microsoft.com/office/drawing/2014/main" id="{00000000-0008-0000-0100-000029000000}"/>
            </a:ext>
          </a:extLst>
        </xdr:cNvPr>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lnSpc>
              <a:spcPts val="1400"/>
            </a:lnSpc>
            <a:defRPr sz="1000"/>
          </a:pPr>
          <a:r>
            <a:rPr lang="en-GB" sz="1300" b="1" i="0" u="sng" strike="noStrike" baseline="0">
              <a:solidFill>
                <a:srgbClr val="FFFFFF"/>
              </a:solidFill>
              <a:latin typeface="Calibri"/>
              <a:cs typeface="Calibri"/>
            </a:rPr>
            <a:t>Dummy Budget Guide</a:t>
          </a:r>
        </a:p>
        <a:p>
          <a:pPr algn="l" rtl="0">
            <a:lnSpc>
              <a:spcPts val="1400"/>
            </a:lnSpc>
            <a:defRPr sz="1000"/>
          </a:pPr>
          <a:r>
            <a:rPr lang="en-GB" sz="1300" b="1" i="0" u="sng" strike="noStrike" baseline="0">
              <a:solidFill>
                <a:srgbClr val="FFFFFF"/>
              </a:solidFill>
              <a:latin typeface="Calibri"/>
              <a:cs typeface="Calibri"/>
            </a:rPr>
            <a:t> </a:t>
          </a:r>
        </a:p>
      </xdr:txBody>
    </xdr:sp>
    <xdr:clientData/>
  </xdr:twoCellAnchor>
  <xdr:twoCellAnchor>
    <xdr:from>
      <xdr:col>6</xdr:col>
      <xdr:colOff>483235</xdr:colOff>
      <xdr:row>35</xdr:row>
      <xdr:rowOff>19050</xdr:rowOff>
    </xdr:from>
    <xdr:to>
      <xdr:col>10</xdr:col>
      <xdr:colOff>121229</xdr:colOff>
      <xdr:row>37</xdr:row>
      <xdr:rowOff>66675</xdr:rowOff>
    </xdr:to>
    <xdr:sp macro="" textlink="">
      <xdr:nvSpPr>
        <xdr:cNvPr id="42" name="Text Box 233">
          <a:extLst>
            <a:ext uri="{FF2B5EF4-FFF2-40B4-BE49-F238E27FC236}">
              <a16:creationId xmlns:a16="http://schemas.microsoft.com/office/drawing/2014/main" id="{00000000-0008-0000-0100-00002A000000}"/>
            </a:ext>
          </a:extLst>
        </xdr:cNvPr>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485141</xdr:colOff>
      <xdr:row>39</xdr:row>
      <xdr:rowOff>140970</xdr:rowOff>
    </xdr:from>
    <xdr:to>
      <xdr:col>10</xdr:col>
      <xdr:colOff>83177</xdr:colOff>
      <xdr:row>41</xdr:row>
      <xdr:rowOff>140970</xdr:rowOff>
    </xdr:to>
    <xdr:sp macro="" textlink="">
      <xdr:nvSpPr>
        <xdr:cNvPr id="44" name="Text Box 233">
          <a:extLst>
            <a:ext uri="{FF2B5EF4-FFF2-40B4-BE49-F238E27FC236}">
              <a16:creationId xmlns:a16="http://schemas.microsoft.com/office/drawing/2014/main" id="{00000000-0008-0000-0100-00002C000000}"/>
            </a:ext>
          </a:extLst>
        </xdr:cNvPr>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485140</xdr:colOff>
      <xdr:row>42</xdr:row>
      <xdr:rowOff>9525</xdr:rowOff>
    </xdr:from>
    <xdr:to>
      <xdr:col>9</xdr:col>
      <xdr:colOff>373380</xdr:colOff>
      <xdr:row>44</xdr:row>
      <xdr:rowOff>57150</xdr:rowOff>
    </xdr:to>
    <xdr:sp macro="" textlink="">
      <xdr:nvSpPr>
        <xdr:cNvPr id="37" name="Text Box 233">
          <a:extLst>
            <a:ext uri="{FF2B5EF4-FFF2-40B4-BE49-F238E27FC236}">
              <a16:creationId xmlns:a16="http://schemas.microsoft.com/office/drawing/2014/main" id="{00000000-0008-0000-0100-000025000000}"/>
            </a:ext>
          </a:extLst>
        </xdr:cNvPr>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530861</xdr:colOff>
      <xdr:row>32</xdr:row>
      <xdr:rowOff>140970</xdr:rowOff>
    </xdr:from>
    <xdr:to>
      <xdr:col>12</xdr:col>
      <xdr:colOff>120896</xdr:colOff>
      <xdr:row>35</xdr:row>
      <xdr:rowOff>28625</xdr:rowOff>
    </xdr:to>
    <xdr:sp macro="" textlink="">
      <xdr:nvSpPr>
        <xdr:cNvPr id="38" name="Text Box 233">
          <a:hlinkClick xmlns:r="http://schemas.openxmlformats.org/officeDocument/2006/relationships" r:id="rId4"/>
          <a:extLst>
            <a:ext uri="{FF2B5EF4-FFF2-40B4-BE49-F238E27FC236}">
              <a16:creationId xmlns:a16="http://schemas.microsoft.com/office/drawing/2014/main" id="{00000000-0008-0000-0100-000026000000}"/>
            </a:ext>
          </a:extLst>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554990</xdr:colOff>
      <xdr:row>42</xdr:row>
      <xdr:rowOff>0</xdr:rowOff>
    </xdr:from>
    <xdr:to>
      <xdr:col>12</xdr:col>
      <xdr:colOff>142106</xdr:colOff>
      <xdr:row>44</xdr:row>
      <xdr:rowOff>47625</xdr:rowOff>
    </xdr:to>
    <xdr:sp macro="" textlink="">
      <xdr:nvSpPr>
        <xdr:cNvPr id="43" name="Text Box 233">
          <a:hlinkClick xmlns:r="http://schemas.openxmlformats.org/officeDocument/2006/relationships" r:id="rId5"/>
          <a:extLst>
            <a:ext uri="{FF2B5EF4-FFF2-40B4-BE49-F238E27FC236}">
              <a16:creationId xmlns:a16="http://schemas.microsoft.com/office/drawing/2014/main" id="{00000000-0008-0000-0100-00002B000000}"/>
            </a:ext>
          </a:extLst>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530860</xdr:colOff>
      <xdr:row>37</xdr:row>
      <xdr:rowOff>80010</xdr:rowOff>
    </xdr:from>
    <xdr:to>
      <xdr:col>12</xdr:col>
      <xdr:colOff>120895</xdr:colOff>
      <xdr:row>39</xdr:row>
      <xdr:rowOff>141367</xdr:rowOff>
    </xdr:to>
    <xdr:sp macro="" textlink="">
      <xdr:nvSpPr>
        <xdr:cNvPr id="46" name="Text Box 233">
          <a:hlinkClick xmlns:r="http://schemas.openxmlformats.org/officeDocument/2006/relationships" r:id="rId6"/>
          <a:extLst>
            <a:ext uri="{FF2B5EF4-FFF2-40B4-BE49-F238E27FC236}">
              <a16:creationId xmlns:a16="http://schemas.microsoft.com/office/drawing/2014/main" id="{00000000-0008-0000-0100-00002E000000}"/>
            </a:ext>
          </a:extLst>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513715</xdr:colOff>
      <xdr:row>35</xdr:row>
      <xdr:rowOff>76200</xdr:rowOff>
    </xdr:from>
    <xdr:to>
      <xdr:col>12</xdr:col>
      <xdr:colOff>111736</xdr:colOff>
      <xdr:row>37</xdr:row>
      <xdr:rowOff>111811</xdr:rowOff>
    </xdr:to>
    <xdr:sp macro="" textlink="">
      <xdr:nvSpPr>
        <xdr:cNvPr id="48" name="Text Box 233">
          <a:hlinkClick xmlns:r="http://schemas.openxmlformats.org/officeDocument/2006/relationships" r:id="rId7"/>
          <a:extLst>
            <a:ext uri="{FF2B5EF4-FFF2-40B4-BE49-F238E27FC236}">
              <a16:creationId xmlns:a16="http://schemas.microsoft.com/office/drawing/2014/main" id="{00000000-0008-0000-0100-000030000000}"/>
            </a:ext>
          </a:extLst>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554990</xdr:colOff>
      <xdr:row>39</xdr:row>
      <xdr:rowOff>146685</xdr:rowOff>
    </xdr:from>
    <xdr:to>
      <xdr:col>12</xdr:col>
      <xdr:colOff>142106</xdr:colOff>
      <xdr:row>42</xdr:row>
      <xdr:rowOff>38287</xdr:rowOff>
    </xdr:to>
    <xdr:sp macro="" textlink="">
      <xdr:nvSpPr>
        <xdr:cNvPr id="49" name="Text Box 233">
          <a:hlinkClick xmlns:r="http://schemas.openxmlformats.org/officeDocument/2006/relationships" r:id="rId8"/>
          <a:extLst>
            <a:ext uri="{FF2B5EF4-FFF2-40B4-BE49-F238E27FC236}">
              <a16:creationId xmlns:a16="http://schemas.microsoft.com/office/drawing/2014/main" id="{00000000-0008-0000-0100-000031000000}"/>
            </a:ext>
          </a:extLst>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0</xdr:col>
      <xdr:colOff>562610</xdr:colOff>
      <xdr:row>24</xdr:row>
      <xdr:rowOff>114300</xdr:rowOff>
    </xdr:from>
    <xdr:to>
      <xdr:col>5</xdr:col>
      <xdr:colOff>451119</xdr:colOff>
      <xdr:row>27</xdr:row>
      <xdr:rowOff>109245</xdr:rowOff>
    </xdr:to>
    <xdr:sp macro="[0]!LGDB_Export.LGDB_Export" textlink="">
      <xdr:nvSpPr>
        <xdr:cNvPr id="5" name="TextBox 4">
          <a:extLst>
            <a:ext uri="{FF2B5EF4-FFF2-40B4-BE49-F238E27FC236}">
              <a16:creationId xmlns:a16="http://schemas.microsoft.com/office/drawing/2014/main" id="{00000000-0008-0000-0100-000005000000}"/>
            </a:ext>
          </a:extLst>
        </xdr:cNvPr>
        <xdr:cNvSpPr txBox="1"/>
      </xdr:nvSpPr>
      <xdr:spPr>
        <a:xfrm>
          <a:off x="586740" y="4130040"/>
          <a:ext cx="2934000" cy="518400"/>
        </a:xfrm>
        <a:prstGeom prst="rect">
          <a:avLst/>
        </a:prstGeom>
        <a:gradFill>
          <a:gsLst>
            <a:gs pos="0">
              <a:srgbClr val="000080"/>
            </a:gs>
            <a:gs pos="50000">
              <a:srgbClr val="000080">
                <a:gamma/>
                <a:tint val="1176"/>
                <a:invGamma/>
              </a:srgbClr>
            </a:gs>
            <a:gs pos="100000">
              <a:srgbClr val="000080"/>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ZA" sz="1400" b="1"/>
            <a:t>LGDB Export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304800</xdr:colOff>
          <xdr:row>2</xdr:row>
          <xdr:rowOff>19050</xdr:rowOff>
        </xdr:from>
        <xdr:to>
          <xdr:col>4</xdr:col>
          <xdr:colOff>1990725</xdr:colOff>
          <xdr:row>4</xdr:row>
          <xdr:rowOff>19050</xdr:rowOff>
        </xdr:to>
        <xdr:sp macro="" textlink="">
          <xdr:nvSpPr>
            <xdr:cNvPr id="75786" name="Button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502285</xdr:colOff>
      <xdr:row>0</xdr:row>
      <xdr:rowOff>19050</xdr:rowOff>
    </xdr:from>
    <xdr:to>
      <xdr:col>2</xdr:col>
      <xdr:colOff>3181220</xdr:colOff>
      <xdr:row>0</xdr:row>
      <xdr:rowOff>438150</xdr:rowOff>
    </xdr:to>
    <xdr:sp macro="" textlink="">
      <xdr:nvSpPr>
        <xdr:cNvPr id="10" name="Text Box 18">
          <a:extLst>
            <a:ext uri="{FF2B5EF4-FFF2-40B4-BE49-F238E27FC236}">
              <a16:creationId xmlns:a16="http://schemas.microsoft.com/office/drawing/2014/main" id="{00000000-0008-0000-0400-00000A000000}"/>
            </a:ext>
          </a:extLst>
        </xdr:cNvPr>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a:extLst>
            <a:ext uri="{FF2B5EF4-FFF2-40B4-BE49-F238E27FC236}">
              <a16:creationId xmlns:a16="http://schemas.microsoft.com/office/drawing/2014/main" id="{00000000-0008-0000-0400-000008000000}"/>
            </a:ext>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a:extLst>
            <a:ext uri="{FF2B5EF4-FFF2-40B4-BE49-F238E27FC236}">
              <a16:creationId xmlns:a16="http://schemas.microsoft.com/office/drawing/2014/main" id="{00000000-0008-0000-0400-00000B000000}"/>
            </a:ext>
          </a:extLst>
        </xdr:cNvPr>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438150</xdr:rowOff>
    </xdr:to>
    <xdr:sp macro="" textlink="">
      <xdr:nvSpPr>
        <xdr:cNvPr id="270364" name="Text Box 18">
          <a:extLst>
            <a:ext uri="{FF2B5EF4-FFF2-40B4-BE49-F238E27FC236}">
              <a16:creationId xmlns:a16="http://schemas.microsoft.com/office/drawing/2014/main" id="{00000000-0008-0000-0400-00001C200400}"/>
            </a:ext>
          </a:extLst>
        </xdr:cNvPr>
        <xdr:cNvSpPr txBox="1">
          <a:spLocks noChangeArrowheads="1"/>
        </xdr:cNvSpPr>
      </xdr:nvSpPr>
      <xdr:spPr bwMode="auto">
        <a:xfrm>
          <a:off x="2495550" y="0"/>
          <a:ext cx="504825" cy="4381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absoluteAnchor>
    <xdr:pos x="0" y="0"/>
    <xdr:ext cx="9318325" cy="60834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1221740</xdr:colOff>
      <xdr:row>0</xdr:row>
      <xdr:rowOff>0</xdr:rowOff>
    </xdr:from>
    <xdr:to>
      <xdr:col>2</xdr:col>
      <xdr:colOff>3734</xdr:colOff>
      <xdr:row>0</xdr:row>
      <xdr:rowOff>0</xdr:rowOff>
    </xdr:to>
    <xdr:sp macro="" textlink="">
      <xdr:nvSpPr>
        <xdr:cNvPr id="55297" name="AutoShape 1">
          <a:extLst>
            <a:ext uri="{FF2B5EF4-FFF2-40B4-BE49-F238E27FC236}">
              <a16:creationId xmlns:a16="http://schemas.microsoft.com/office/drawing/2014/main" id="{00000000-0008-0000-1600-000001D80000}"/>
            </a:ext>
          </a:extLst>
        </xdr:cNvPr>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ZA"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1221740</xdr:colOff>
      <xdr:row>0</xdr:row>
      <xdr:rowOff>0</xdr:rowOff>
    </xdr:from>
    <xdr:to>
      <xdr:col>2</xdr:col>
      <xdr:colOff>20718</xdr:colOff>
      <xdr:row>0</xdr:row>
      <xdr:rowOff>0</xdr:rowOff>
    </xdr:to>
    <xdr:sp macro="" textlink="">
      <xdr:nvSpPr>
        <xdr:cNvPr id="55312" name="AutoShape 16">
          <a:extLst>
            <a:ext uri="{FF2B5EF4-FFF2-40B4-BE49-F238E27FC236}">
              <a16:creationId xmlns:a16="http://schemas.microsoft.com/office/drawing/2014/main" id="{00000000-0008-0000-1600-000010D80000}"/>
            </a:ext>
          </a:extLst>
        </xdr:cNvPr>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ZA"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80/AppData/Local/Microsoft/Windows/INetCache/Content.Outlook/4SD69ECG/file:/ressp02/Common/Documents%20and%20Settings/1777/My%20Documents/C%20Tshwane/EM%2010day%20report%20Dec%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480/AppData/Local/Microsoft/Windows/INetCache/Content.Outlook/4SD69ECG/file:/ressp02/Common/Documents%20and%20Settings/1777/My%20Documents/Budget%20regulations/Regulations/Tshwane/Budget%20Regulations%20Tshwane%20Draft%20NT%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control" Target="../activeX/activeX6.xml"/><Relationship Id="rId18" Type="http://schemas.openxmlformats.org/officeDocument/2006/relationships/ctrlProp" Target="../ctrlProps/ctrlProp2.xml"/><Relationship Id="rId3" Type="http://schemas.openxmlformats.org/officeDocument/2006/relationships/control" Target="../activeX/activeX1.xml"/><Relationship Id="rId7" Type="http://schemas.openxmlformats.org/officeDocument/2006/relationships/control" Target="../activeX/activeX3.xml"/><Relationship Id="rId12" Type="http://schemas.openxmlformats.org/officeDocument/2006/relationships/image" Target="../media/image13.emf"/><Relationship Id="rId17" Type="http://schemas.openxmlformats.org/officeDocument/2006/relationships/ctrlProp" Target="../ctrlProps/ctrlProp1.xml"/><Relationship Id="rId2" Type="http://schemas.openxmlformats.org/officeDocument/2006/relationships/vmlDrawing" Target="../drawings/vmlDrawing1.vml"/><Relationship Id="rId16" Type="http://schemas.openxmlformats.org/officeDocument/2006/relationships/image" Target="../media/image15.emf"/><Relationship Id="rId20" Type="http://schemas.openxmlformats.org/officeDocument/2006/relationships/ctrlProp" Target="../ctrlProps/ctrlProp4.xml"/><Relationship Id="rId1" Type="http://schemas.openxmlformats.org/officeDocument/2006/relationships/drawing" Target="../drawings/drawing2.xml"/><Relationship Id="rId6" Type="http://schemas.openxmlformats.org/officeDocument/2006/relationships/image" Target="../media/image10.emf"/><Relationship Id="rId11" Type="http://schemas.openxmlformats.org/officeDocument/2006/relationships/control" Target="../activeX/activeX5.xml"/><Relationship Id="rId5" Type="http://schemas.openxmlformats.org/officeDocument/2006/relationships/control" Target="../activeX/activeX2.xml"/><Relationship Id="rId15" Type="http://schemas.openxmlformats.org/officeDocument/2006/relationships/control" Target="../activeX/activeX7.xml"/><Relationship Id="rId10" Type="http://schemas.openxmlformats.org/officeDocument/2006/relationships/image" Target="../media/image12.emf"/><Relationship Id="rId19" Type="http://schemas.openxmlformats.org/officeDocument/2006/relationships/ctrlProp" Target="../ctrlProps/ctrlProp3.xml"/><Relationship Id="rId4" Type="http://schemas.openxmlformats.org/officeDocument/2006/relationships/image" Target="../media/image9.emf"/><Relationship Id="rId9" Type="http://schemas.openxmlformats.org/officeDocument/2006/relationships/control" Target="../activeX/activeX4.xml"/><Relationship Id="rId14" Type="http://schemas.openxmlformats.org/officeDocument/2006/relationships/image" Target="../media/image14.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trlProp" Target="../ctrlProps/ctrlProp5.xml"/></Relationships>
</file>

<file path=xl/worksheets/_rels/sheet37.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0"/>
  <dimension ref="A1"/>
  <sheetViews>
    <sheetView showGridLines="0" topLeftCell="A16" zoomScaleNormal="100" zoomScaleSheetLayoutView="90" workbookViewId="0"/>
  </sheetViews>
  <sheetFormatPr defaultColWidth="8" defaultRowHeight="12.75" x14ac:dyDescent="0.2"/>
  <cols>
    <col min="1" max="16384" width="8" style="803"/>
  </cols>
  <sheetData>
    <row r="1" spans="1:1" x14ac:dyDescent="0.2">
      <c r="A1" s="1065"/>
    </row>
  </sheetData>
  <phoneticPr fontId="25" type="noConversion"/>
  <pageMargins left="0.75" right="0.75" top="1" bottom="1" header="0.5" footer="0.5"/>
  <pageSetup scale="7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W77"/>
  <sheetViews>
    <sheetView showGridLines="0" zoomScaleNormal="100" workbookViewId="0">
      <selection sqref="A1:K39"/>
    </sheetView>
  </sheetViews>
  <sheetFormatPr defaultRowHeight="12.75" x14ac:dyDescent="0.25"/>
  <cols>
    <col min="1" max="1" width="30.7109375" style="25" customWidth="1"/>
    <col min="2" max="2" width="4.42578125" style="645" customWidth="1"/>
    <col min="3" max="5" width="12.7109375" style="25" customWidth="1"/>
    <col min="6" max="11" width="9.28515625" style="25" customWidth="1"/>
    <col min="12" max="23" width="9.140625" style="25" hidden="1" customWidth="1"/>
    <col min="24" max="16384" width="9.140625" style="25"/>
  </cols>
  <sheetData>
    <row r="1" spans="1:23" s="52" customFormat="1" x14ac:dyDescent="0.2">
      <c r="A1" s="23" t="str">
        <f>muni&amp;" - "&amp;Approve2</f>
        <v>EC101 Dr Beyers Naude - Table A3 Budgeted Financial Performance (revenue and expenditure by municipal vote)</v>
      </c>
      <c r="B1" s="23"/>
      <c r="C1" s="23"/>
      <c r="D1" s="23"/>
      <c r="E1" s="23"/>
      <c r="F1" s="23"/>
      <c r="G1" s="23"/>
      <c r="H1" s="23"/>
      <c r="I1" s="23"/>
      <c r="J1" s="23"/>
      <c r="K1" s="23"/>
    </row>
    <row r="2" spans="1:23" ht="28.5" customHeight="1" x14ac:dyDescent="0.25">
      <c r="A2" s="609" t="str">
        <f>Vdesc</f>
        <v>Vote Description</v>
      </c>
      <c r="B2" s="220" t="str">
        <f>head27</f>
        <v>Ref</v>
      </c>
      <c r="C2" s="26" t="str">
        <f>head1b</f>
        <v>2015/16</v>
      </c>
      <c r="D2" s="26" t="str">
        <f>head1A</f>
        <v>2016/17</v>
      </c>
      <c r="E2" s="22" t="str">
        <f>Head1</f>
        <v>2017/18</v>
      </c>
      <c r="F2" s="1907" t="str">
        <f>Head2</f>
        <v>Current Year 2018/19</v>
      </c>
      <c r="G2" s="1908"/>
      <c r="H2" s="1908"/>
      <c r="I2" s="1904" t="str">
        <f>Head3</f>
        <v>2019/20 Medium Term Revenue &amp; Expenditure Framework</v>
      </c>
      <c r="J2" s="1905"/>
      <c r="K2" s="1906"/>
      <c r="L2" s="1916" t="str">
        <f>Head4</f>
        <v>LTFS</v>
      </c>
      <c r="M2" s="1917"/>
      <c r="N2" s="1917"/>
      <c r="O2" s="1917"/>
      <c r="P2" s="1917"/>
      <c r="Q2" s="1917"/>
      <c r="R2" s="1917"/>
      <c r="S2" s="1917"/>
      <c r="T2" s="1917"/>
      <c r="U2" s="1917"/>
      <c r="V2" s="1917"/>
      <c r="W2" s="1918"/>
    </row>
    <row r="3" spans="1:23" ht="25.5" x14ac:dyDescent="0.25">
      <c r="A3" s="53" t="s">
        <v>573</v>
      </c>
      <c r="B3" s="619"/>
      <c r="C3" s="203" t="str">
        <f>Head5</f>
        <v>Audited Outcome</v>
      </c>
      <c r="D3" s="203"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c r="L3" s="884" t="str">
        <f>Head12</f>
        <v>Forecast 2022/23</v>
      </c>
      <c r="M3" s="885" t="str">
        <f>Head13</f>
        <v>Forecast 2023/24</v>
      </c>
      <c r="N3" s="885" t="str">
        <f>Head14</f>
        <v>Forecast 2024/25</v>
      </c>
      <c r="O3" s="885" t="str">
        <f>Head15</f>
        <v>Forecast 2025/26</v>
      </c>
      <c r="P3" s="885" t="str">
        <f>Head16</f>
        <v>Forecast 2026/27</v>
      </c>
      <c r="Q3" s="885" t="str">
        <f>Head17</f>
        <v>Forecast 2027/28</v>
      </c>
      <c r="R3" s="885" t="str">
        <f>Head18</f>
        <v>Forecast 2028/29</v>
      </c>
      <c r="S3" s="885" t="str">
        <f>Head19</f>
        <v>Forecast 2029/30</v>
      </c>
      <c r="T3" s="885" t="str">
        <f>Head20</f>
        <v>Forecast 2030/31</v>
      </c>
      <c r="U3" s="885" t="str">
        <f>Head21</f>
        <v>Forecast 2031/32</v>
      </c>
      <c r="V3" s="885" t="str">
        <f>Head22</f>
        <v>Forecast 2032/33</v>
      </c>
      <c r="W3" s="885" t="str">
        <f>Head23</f>
        <v>Forecast 2033/34</v>
      </c>
    </row>
    <row r="4" spans="1:23" ht="11.25" customHeight="1" x14ac:dyDescent="0.25">
      <c r="A4" s="54" t="s">
        <v>1210</v>
      </c>
      <c r="B4" s="55">
        <v>1</v>
      </c>
      <c r="C4" s="57"/>
      <c r="D4" s="57"/>
      <c r="E4" s="58"/>
      <c r="F4" s="59"/>
      <c r="G4" s="57"/>
      <c r="H4" s="56"/>
      <c r="I4" s="60"/>
      <c r="J4" s="57"/>
      <c r="K4" s="1063"/>
      <c r="L4" s="61"/>
      <c r="M4" s="62"/>
      <c r="N4" s="62"/>
      <c r="O4" s="62"/>
      <c r="P4" s="62"/>
      <c r="Q4" s="62"/>
      <c r="R4" s="62"/>
      <c r="S4" s="62"/>
      <c r="T4" s="62"/>
      <c r="U4" s="62"/>
      <c r="V4" s="62"/>
      <c r="W4" s="62"/>
    </row>
    <row r="5" spans="1:23" ht="11.25" customHeight="1" x14ac:dyDescent="0.25">
      <c r="A5" s="63" t="str">
        <f>A3A!A5</f>
        <v>Vote 1 - COUNCIL</v>
      </c>
      <c r="B5" s="55"/>
      <c r="C5" s="65">
        <f>A3A!C5</f>
        <v>0</v>
      </c>
      <c r="D5" s="65">
        <f>A3A!D5</f>
        <v>24703075</v>
      </c>
      <c r="E5" s="66">
        <f>A3A!E5</f>
        <v>12021647.18</v>
      </c>
      <c r="F5" s="67">
        <f>A3A!F5</f>
        <v>0</v>
      </c>
      <c r="G5" s="65">
        <f>A3A!G5</f>
        <v>0</v>
      </c>
      <c r="H5" s="64">
        <f>A3A!H5</f>
        <v>0</v>
      </c>
      <c r="I5" s="718">
        <f>A3A!I5</f>
        <v>51354</v>
      </c>
      <c r="J5" s="65">
        <f>A3A!J5</f>
        <v>54435.240000000005</v>
      </c>
      <c r="K5" s="729">
        <f>A3A!K5</f>
        <v>57701.354400000011</v>
      </c>
      <c r="L5" s="61"/>
      <c r="M5" s="62"/>
      <c r="N5" s="62"/>
      <c r="O5" s="62"/>
      <c r="P5" s="62"/>
      <c r="Q5" s="62"/>
      <c r="R5" s="62"/>
      <c r="S5" s="62"/>
      <c r="T5" s="62"/>
      <c r="U5" s="62"/>
      <c r="V5" s="62"/>
      <c r="W5" s="62"/>
    </row>
    <row r="6" spans="1:23" ht="11.25" customHeight="1" x14ac:dyDescent="0.25">
      <c r="A6" s="63" t="str">
        <f>A3A!A16</f>
        <v>Vote 2 - OFFICE OF THE MUNICIPAL MANAGER</v>
      </c>
      <c r="B6" s="55"/>
      <c r="C6" s="65">
        <f>A3A!C16</f>
        <v>0</v>
      </c>
      <c r="D6" s="65">
        <f>A3A!D16</f>
        <v>77212.22</v>
      </c>
      <c r="E6" s="66">
        <f>A3A!E16</f>
        <v>200000</v>
      </c>
      <c r="F6" s="67">
        <f>A3A!F16</f>
        <v>20000</v>
      </c>
      <c r="G6" s="65">
        <f>A3A!G16</f>
        <v>1075000</v>
      </c>
      <c r="H6" s="64">
        <f>A3A!H16</f>
        <v>1075000</v>
      </c>
      <c r="I6" s="718">
        <f>A3A!I16</f>
        <v>20000</v>
      </c>
      <c r="J6" s="65">
        <f>A3A!J16</f>
        <v>21200</v>
      </c>
      <c r="K6" s="729">
        <f>A3A!K16</f>
        <v>22472</v>
      </c>
      <c r="L6" s="61"/>
      <c r="M6" s="62"/>
      <c r="N6" s="62"/>
      <c r="O6" s="62"/>
      <c r="P6" s="62"/>
      <c r="Q6" s="62"/>
      <c r="R6" s="62"/>
      <c r="S6" s="62"/>
      <c r="T6" s="62"/>
      <c r="U6" s="62"/>
      <c r="V6" s="62"/>
      <c r="W6" s="62"/>
    </row>
    <row r="7" spans="1:23" ht="11.25" customHeight="1" x14ac:dyDescent="0.25">
      <c r="A7" s="63" t="str">
        <f>A3A!A27</f>
        <v>Vote 3 - FINANCIAL SERVICES</v>
      </c>
      <c r="B7" s="55"/>
      <c r="C7" s="65">
        <f>A3A!C27</f>
        <v>0</v>
      </c>
      <c r="D7" s="65">
        <f>A3A!D27</f>
        <v>108777527.14</v>
      </c>
      <c r="E7" s="66">
        <f>A3A!E27</f>
        <v>142299935.13</v>
      </c>
      <c r="F7" s="67">
        <f>A3A!F27</f>
        <v>60807752.053639993</v>
      </c>
      <c r="G7" s="65">
        <f>A3A!G27</f>
        <v>59243054.053639993</v>
      </c>
      <c r="H7" s="64">
        <f>A3A!H27</f>
        <v>59243054.053639993</v>
      </c>
      <c r="I7" s="718">
        <f>A3A!I27</f>
        <v>56001631.229999997</v>
      </c>
      <c r="J7" s="65">
        <f>A3A!J27</f>
        <v>59361729.103799999</v>
      </c>
      <c r="K7" s="729">
        <f>A3A!K27</f>
        <v>62923432.850028001</v>
      </c>
      <c r="L7" s="61"/>
      <c r="M7" s="62"/>
      <c r="N7" s="62"/>
      <c r="O7" s="62"/>
      <c r="P7" s="62"/>
      <c r="Q7" s="62"/>
      <c r="R7" s="62"/>
      <c r="S7" s="62"/>
      <c r="T7" s="62"/>
      <c r="U7" s="62"/>
      <c r="V7" s="62"/>
      <c r="W7" s="62"/>
    </row>
    <row r="8" spans="1:23" ht="11.25" customHeight="1" x14ac:dyDescent="0.25">
      <c r="A8" s="63" t="str">
        <f>A3A!A38</f>
        <v>Vote 4 - CORPORATE SERVICES</v>
      </c>
      <c r="B8" s="55"/>
      <c r="C8" s="65">
        <f>A3A!C38</f>
        <v>0</v>
      </c>
      <c r="D8" s="65">
        <f>A3A!D38</f>
        <v>515980.97</v>
      </c>
      <c r="E8" s="66">
        <f>A3A!E38</f>
        <v>871736.2300000001</v>
      </c>
      <c r="F8" s="67">
        <f>A3A!F38</f>
        <v>16681059.779999999</v>
      </c>
      <c r="G8" s="65">
        <f>A3A!G38</f>
        <v>16695722.779999999</v>
      </c>
      <c r="H8" s="64">
        <f>A3A!H38</f>
        <v>16695722.779999999</v>
      </c>
      <c r="I8" s="718">
        <f>A3A!I38</f>
        <v>20598553.538163319</v>
      </c>
      <c r="J8" s="65">
        <f>A3A!J38</f>
        <v>21834466.750453122</v>
      </c>
      <c r="K8" s="729">
        <f>A3A!K38</f>
        <v>23144534.755480312</v>
      </c>
      <c r="L8" s="61"/>
      <c r="M8" s="62"/>
      <c r="N8" s="62"/>
      <c r="O8" s="62"/>
      <c r="P8" s="62"/>
      <c r="Q8" s="62"/>
      <c r="R8" s="62"/>
      <c r="S8" s="62"/>
      <c r="T8" s="62"/>
      <c r="U8" s="62"/>
      <c r="V8" s="62"/>
      <c r="W8" s="62"/>
    </row>
    <row r="9" spans="1:23" ht="11.25" customHeight="1" x14ac:dyDescent="0.25">
      <c r="A9" s="63" t="str">
        <f>A3A!A49</f>
        <v>Vote 5 - INFRASTRUCTURE SERVICES</v>
      </c>
      <c r="B9" s="55"/>
      <c r="C9" s="65">
        <f>A3A!C49</f>
        <v>0</v>
      </c>
      <c r="D9" s="65">
        <f>A3A!D49</f>
        <v>183132552.15000004</v>
      </c>
      <c r="E9" s="66">
        <f>A3A!E49</f>
        <v>199231460.87</v>
      </c>
      <c r="F9" s="67">
        <f>A3A!F49</f>
        <v>225012123.84</v>
      </c>
      <c r="G9" s="65">
        <f>A3A!G49</f>
        <v>256820774.84</v>
      </c>
      <c r="H9" s="64">
        <f>A3A!H49</f>
        <v>256820774.84</v>
      </c>
      <c r="I9" s="718">
        <f>A3A!I49</f>
        <v>263728671.06487641</v>
      </c>
      <c r="J9" s="65">
        <f>A3A!J49</f>
        <v>279552391.32876903</v>
      </c>
      <c r="K9" s="729">
        <f>A3A!K49</f>
        <v>296325534.8084951</v>
      </c>
      <c r="L9" s="61"/>
      <c r="M9" s="62"/>
      <c r="N9" s="62"/>
      <c r="O9" s="62"/>
      <c r="P9" s="62"/>
      <c r="Q9" s="62"/>
      <c r="R9" s="62"/>
      <c r="S9" s="62"/>
      <c r="T9" s="62"/>
      <c r="U9" s="62"/>
      <c r="V9" s="62"/>
      <c r="W9" s="62"/>
    </row>
    <row r="10" spans="1:23" ht="11.25" customHeight="1" x14ac:dyDescent="0.25">
      <c r="A10" s="63" t="str">
        <f>A3A!A60</f>
        <v>Vote 6 - COMMUNITY SERVICES</v>
      </c>
      <c r="B10" s="55"/>
      <c r="C10" s="65">
        <f>A3A!C60</f>
        <v>0</v>
      </c>
      <c r="D10" s="65">
        <f>A3A!D60</f>
        <v>13234364.790000001</v>
      </c>
      <c r="E10" s="66">
        <f>A3A!E60</f>
        <v>21638679.310000002</v>
      </c>
      <c r="F10" s="67">
        <f>A3A!F60</f>
        <v>39797969.5704</v>
      </c>
      <c r="G10" s="65">
        <f>A3A!G60</f>
        <v>39921706.690400004</v>
      </c>
      <c r="H10" s="64">
        <f>A3A!H60</f>
        <v>39921706.690400004</v>
      </c>
      <c r="I10" s="718">
        <f>A3A!I60</f>
        <v>52812118.160479099</v>
      </c>
      <c r="J10" s="65">
        <f>A3A!J60</f>
        <v>55980845.250107847</v>
      </c>
      <c r="K10" s="729">
        <f>A3A!K60</f>
        <v>59339695.965114325</v>
      </c>
      <c r="L10" s="61"/>
      <c r="M10" s="62"/>
      <c r="N10" s="62"/>
      <c r="O10" s="62"/>
      <c r="P10" s="62"/>
      <c r="Q10" s="62"/>
      <c r="R10" s="62"/>
      <c r="S10" s="62"/>
      <c r="T10" s="62"/>
      <c r="U10" s="62"/>
      <c r="V10" s="62"/>
      <c r="W10" s="62"/>
    </row>
    <row r="11" spans="1:23" ht="11.25" customHeight="1" x14ac:dyDescent="0.25">
      <c r="A11" s="63" t="str">
        <f>A3A!A72</f>
        <v>Vote 7 - [NAME OF VOTE 7]</v>
      </c>
      <c r="B11" s="55"/>
      <c r="C11" s="65">
        <f>A3A!C72</f>
        <v>0</v>
      </c>
      <c r="D11" s="65">
        <f>A3A!D72</f>
        <v>0</v>
      </c>
      <c r="E11" s="66">
        <f>A3A!E72</f>
        <v>0</v>
      </c>
      <c r="F11" s="67">
        <f>A3A!F72</f>
        <v>0</v>
      </c>
      <c r="G11" s="65">
        <f>A3A!G72</f>
        <v>0</v>
      </c>
      <c r="H11" s="64">
        <f>A3A!H72</f>
        <v>0</v>
      </c>
      <c r="I11" s="718">
        <f>A3A!I72</f>
        <v>0</v>
      </c>
      <c r="J11" s="65">
        <f>A3A!J72</f>
        <v>0</v>
      </c>
      <c r="K11" s="729">
        <f>A3A!K72</f>
        <v>0</v>
      </c>
      <c r="L11" s="61"/>
      <c r="M11" s="62"/>
      <c r="N11" s="62"/>
      <c r="O11" s="62"/>
      <c r="P11" s="62"/>
      <c r="Q11" s="62"/>
      <c r="R11" s="62"/>
      <c r="S11" s="62"/>
      <c r="T11" s="62"/>
      <c r="U11" s="62"/>
      <c r="V11" s="62"/>
      <c r="W11" s="62"/>
    </row>
    <row r="12" spans="1:23" ht="11.25" customHeight="1" x14ac:dyDescent="0.25">
      <c r="A12" s="63" t="str">
        <f>A3A!A83</f>
        <v>Vote 8 - [NAME OF VOTE 8]</v>
      </c>
      <c r="B12" s="55"/>
      <c r="C12" s="65">
        <f>A3A!C83</f>
        <v>0</v>
      </c>
      <c r="D12" s="65">
        <f>A3A!D83</f>
        <v>0</v>
      </c>
      <c r="E12" s="66">
        <f>A3A!E83</f>
        <v>0</v>
      </c>
      <c r="F12" s="67">
        <f>A3A!F83</f>
        <v>0</v>
      </c>
      <c r="G12" s="65">
        <f>A3A!G83</f>
        <v>0</v>
      </c>
      <c r="H12" s="64">
        <f>A3A!H83</f>
        <v>0</v>
      </c>
      <c r="I12" s="718">
        <f>A3A!I83</f>
        <v>0</v>
      </c>
      <c r="J12" s="65">
        <f>A3A!J83</f>
        <v>0</v>
      </c>
      <c r="K12" s="729">
        <f>A3A!K83</f>
        <v>0</v>
      </c>
      <c r="L12" s="61"/>
      <c r="M12" s="62"/>
      <c r="N12" s="62"/>
      <c r="O12" s="62"/>
      <c r="P12" s="62"/>
      <c r="Q12" s="62"/>
      <c r="R12" s="62"/>
      <c r="S12" s="62"/>
      <c r="T12" s="62"/>
      <c r="U12" s="62"/>
      <c r="V12" s="62"/>
      <c r="W12" s="62"/>
    </row>
    <row r="13" spans="1:23" ht="11.25" customHeight="1" x14ac:dyDescent="0.25">
      <c r="A13" s="63" t="str">
        <f>A3A!A94</f>
        <v>Vote 9 - [NAME OF VOTE 9]</v>
      </c>
      <c r="B13" s="55"/>
      <c r="C13" s="65">
        <f>A3A!C94</f>
        <v>0</v>
      </c>
      <c r="D13" s="65">
        <f>A3A!D94</f>
        <v>0</v>
      </c>
      <c r="E13" s="66">
        <f>A3A!E94</f>
        <v>0</v>
      </c>
      <c r="F13" s="67">
        <f>A3A!F94</f>
        <v>0</v>
      </c>
      <c r="G13" s="65">
        <f>A3A!G94</f>
        <v>0</v>
      </c>
      <c r="H13" s="64">
        <f>A3A!H94</f>
        <v>0</v>
      </c>
      <c r="I13" s="718">
        <f>A3A!I94</f>
        <v>0</v>
      </c>
      <c r="J13" s="65">
        <f>A3A!J94</f>
        <v>0</v>
      </c>
      <c r="K13" s="729">
        <f>A3A!K94</f>
        <v>0</v>
      </c>
      <c r="L13" s="61"/>
      <c r="M13" s="62"/>
      <c r="N13" s="62"/>
      <c r="O13" s="62"/>
      <c r="P13" s="62"/>
      <c r="Q13" s="62"/>
      <c r="R13" s="62"/>
      <c r="S13" s="62"/>
      <c r="T13" s="62"/>
      <c r="U13" s="62"/>
      <c r="V13" s="62"/>
      <c r="W13" s="62"/>
    </row>
    <row r="14" spans="1:23" ht="11.25" customHeight="1" x14ac:dyDescent="0.25">
      <c r="A14" s="63" t="str">
        <f>A3A!A105</f>
        <v>Vote 10 - [NAME OF VOTE 10]</v>
      </c>
      <c r="B14" s="55"/>
      <c r="C14" s="65">
        <f>A3A!C105</f>
        <v>0</v>
      </c>
      <c r="D14" s="65">
        <f>A3A!D105</f>
        <v>0</v>
      </c>
      <c r="E14" s="66">
        <f>A3A!E105</f>
        <v>0</v>
      </c>
      <c r="F14" s="67">
        <f>A3A!F105</f>
        <v>0</v>
      </c>
      <c r="G14" s="65">
        <f>A3A!G105</f>
        <v>0</v>
      </c>
      <c r="H14" s="64">
        <f>A3A!H105</f>
        <v>0</v>
      </c>
      <c r="I14" s="718">
        <f>A3A!I105</f>
        <v>0</v>
      </c>
      <c r="J14" s="1061">
        <f>A3A!J105</f>
        <v>0</v>
      </c>
      <c r="K14" s="729">
        <f>A3A!K105</f>
        <v>0</v>
      </c>
      <c r="L14" s="61"/>
      <c r="M14" s="62"/>
      <c r="N14" s="62"/>
      <c r="O14" s="62"/>
      <c r="P14" s="62"/>
      <c r="Q14" s="62"/>
      <c r="R14" s="62"/>
      <c r="S14" s="62"/>
      <c r="T14" s="62"/>
      <c r="U14" s="62"/>
      <c r="V14" s="62"/>
      <c r="W14" s="62"/>
    </row>
    <row r="15" spans="1:23" ht="11.25" customHeight="1" x14ac:dyDescent="0.25">
      <c r="A15" s="63" t="str">
        <f>A3A!A116</f>
        <v>Vote 11 - [NAME OF VOTE 11]</v>
      </c>
      <c r="B15" s="55"/>
      <c r="C15" s="65">
        <f>A3A!C116</f>
        <v>0</v>
      </c>
      <c r="D15" s="65">
        <f>A3A!D116</f>
        <v>0</v>
      </c>
      <c r="E15" s="64">
        <f>A3A!E116</f>
        <v>0</v>
      </c>
      <c r="F15" s="67">
        <f>A3A!F116</f>
        <v>0</v>
      </c>
      <c r="G15" s="65">
        <f>A3A!G116</f>
        <v>0</v>
      </c>
      <c r="H15" s="66">
        <f>A3A!H116</f>
        <v>0</v>
      </c>
      <c r="I15" s="718">
        <f>A3A!I116</f>
        <v>0</v>
      </c>
      <c r="J15" s="64">
        <f>A3A!J116</f>
        <v>0</v>
      </c>
      <c r="K15" s="729">
        <f>A3A!K116</f>
        <v>0</v>
      </c>
      <c r="L15" s="66">
        <f>A5A!L116</f>
        <v>0</v>
      </c>
      <c r="M15" s="62"/>
      <c r="N15" s="62"/>
      <c r="O15" s="62"/>
      <c r="P15" s="62"/>
      <c r="Q15" s="62"/>
      <c r="R15" s="62"/>
      <c r="S15" s="62"/>
      <c r="T15" s="62"/>
      <c r="U15" s="62"/>
      <c r="V15" s="62"/>
      <c r="W15" s="62"/>
    </row>
    <row r="16" spans="1:23" ht="11.25" customHeight="1" x14ac:dyDescent="0.25">
      <c r="A16" s="63" t="str">
        <f>A3A!A127</f>
        <v>Vote 12 - [NAME OF VOTE 12]</v>
      </c>
      <c r="B16" s="55"/>
      <c r="C16" s="65">
        <f>A3A!C127</f>
        <v>0</v>
      </c>
      <c r="D16" s="65">
        <f>A3A!D127</f>
        <v>0</v>
      </c>
      <c r="E16" s="64">
        <f>A3A!E127</f>
        <v>0</v>
      </c>
      <c r="F16" s="67">
        <f>A3A!F127</f>
        <v>0</v>
      </c>
      <c r="G16" s="65">
        <f>A3A!G127</f>
        <v>0</v>
      </c>
      <c r="H16" s="66">
        <f>A3A!H127</f>
        <v>0</v>
      </c>
      <c r="I16" s="718">
        <f>A3A!I127</f>
        <v>0</v>
      </c>
      <c r="J16" s="64">
        <f>A3A!J127</f>
        <v>0</v>
      </c>
      <c r="K16" s="729">
        <f>A3A!K127</f>
        <v>0</v>
      </c>
      <c r="L16" s="66">
        <f>A5A!L127</f>
        <v>0</v>
      </c>
      <c r="M16" s="62"/>
      <c r="N16" s="62"/>
      <c r="O16" s="62"/>
      <c r="P16" s="62"/>
      <c r="Q16" s="62"/>
      <c r="R16" s="62"/>
      <c r="S16" s="62"/>
      <c r="T16" s="62"/>
      <c r="U16" s="62"/>
      <c r="V16" s="62"/>
      <c r="W16" s="62"/>
    </row>
    <row r="17" spans="1:23" ht="11.25" customHeight="1" x14ac:dyDescent="0.25">
      <c r="A17" s="63" t="str">
        <f>A3A!A138</f>
        <v>Vote 13 - [NAME OF VOTE 13]</v>
      </c>
      <c r="B17" s="55"/>
      <c r="C17" s="65">
        <f>A3A!C138</f>
        <v>0</v>
      </c>
      <c r="D17" s="65">
        <f>A3A!D138</f>
        <v>0</v>
      </c>
      <c r="E17" s="64">
        <f>A3A!E138</f>
        <v>0</v>
      </c>
      <c r="F17" s="67">
        <f>A3A!F138</f>
        <v>0</v>
      </c>
      <c r="G17" s="65">
        <f>A3A!G138</f>
        <v>0</v>
      </c>
      <c r="H17" s="66">
        <f>A3A!H138</f>
        <v>0</v>
      </c>
      <c r="I17" s="718">
        <f>A3A!I138</f>
        <v>0</v>
      </c>
      <c r="J17" s="64">
        <f>A3A!J138</f>
        <v>0</v>
      </c>
      <c r="K17" s="729">
        <f>A3A!K138</f>
        <v>0</v>
      </c>
      <c r="L17" s="66">
        <f>A5A!L138</f>
        <v>0</v>
      </c>
      <c r="M17" s="62"/>
      <c r="N17" s="62"/>
      <c r="O17" s="62"/>
      <c r="P17" s="62"/>
      <c r="Q17" s="62"/>
      <c r="R17" s="62"/>
      <c r="S17" s="62"/>
      <c r="T17" s="62"/>
      <c r="U17" s="62"/>
      <c r="V17" s="62"/>
      <c r="W17" s="62"/>
    </row>
    <row r="18" spans="1:23" ht="11.25" customHeight="1" x14ac:dyDescent="0.25">
      <c r="A18" s="63" t="str">
        <f>A3A!A149</f>
        <v>Vote 14 - [NAME OF VOTE 14]</v>
      </c>
      <c r="B18" s="55"/>
      <c r="C18" s="65">
        <f>A3A!C149</f>
        <v>0</v>
      </c>
      <c r="D18" s="65">
        <f>A3A!D149</f>
        <v>0</v>
      </c>
      <c r="E18" s="64">
        <f>A3A!E149</f>
        <v>0</v>
      </c>
      <c r="F18" s="67">
        <f>A3A!F149</f>
        <v>0</v>
      </c>
      <c r="G18" s="65">
        <f>A3A!G149</f>
        <v>0</v>
      </c>
      <c r="H18" s="66">
        <f>A3A!H149</f>
        <v>0</v>
      </c>
      <c r="I18" s="718">
        <f>A3A!I149</f>
        <v>0</v>
      </c>
      <c r="J18" s="64">
        <f>A3A!J149</f>
        <v>0</v>
      </c>
      <c r="K18" s="729">
        <f>A3A!K149</f>
        <v>0</v>
      </c>
      <c r="L18" s="66">
        <f>A5A!L149</f>
        <v>0</v>
      </c>
      <c r="M18" s="62"/>
      <c r="N18" s="62"/>
      <c r="O18" s="62"/>
      <c r="P18" s="62"/>
      <c r="Q18" s="62"/>
      <c r="R18" s="62"/>
      <c r="S18" s="62"/>
      <c r="T18" s="62"/>
      <c r="U18" s="62"/>
      <c r="V18" s="62"/>
      <c r="W18" s="62"/>
    </row>
    <row r="19" spans="1:23" ht="11.25" customHeight="1" x14ac:dyDescent="0.25">
      <c r="A19" s="63" t="str">
        <f>A3A!A160</f>
        <v>Vote 15 - [NAME OF VOTE 15]</v>
      </c>
      <c r="B19" s="55"/>
      <c r="C19" s="65">
        <f>A3A!C160</f>
        <v>0</v>
      </c>
      <c r="D19" s="65">
        <f>A3A!D160</f>
        <v>0</v>
      </c>
      <c r="E19" s="64">
        <f>A3A!E160</f>
        <v>0</v>
      </c>
      <c r="F19" s="67">
        <f>A3A!F160</f>
        <v>0</v>
      </c>
      <c r="G19" s="65">
        <f>A3A!G160</f>
        <v>0</v>
      </c>
      <c r="H19" s="66">
        <f>A3A!H160</f>
        <v>0</v>
      </c>
      <c r="I19" s="1062">
        <f>A3A!I160</f>
        <v>0</v>
      </c>
      <c r="J19" s="64">
        <f>A3A!J160</f>
        <v>0</v>
      </c>
      <c r="K19" s="729">
        <f>A3A!K160</f>
        <v>0</v>
      </c>
      <c r="L19" s="66">
        <f>A5A!L160</f>
        <v>0</v>
      </c>
      <c r="M19" s="62"/>
      <c r="N19" s="62"/>
      <c r="O19" s="62"/>
      <c r="P19" s="62"/>
      <c r="Q19" s="62"/>
      <c r="R19" s="62"/>
      <c r="S19" s="62"/>
      <c r="T19" s="62"/>
      <c r="U19" s="62"/>
      <c r="V19" s="62"/>
      <c r="W19" s="62"/>
    </row>
    <row r="20" spans="1:23" ht="11.25" customHeight="1" x14ac:dyDescent="0.25">
      <c r="A20" s="788" t="s">
        <v>157</v>
      </c>
      <c r="B20" s="176">
        <v>2</v>
      </c>
      <c r="C20" s="789">
        <f>SUM(C5:C19)</f>
        <v>0</v>
      </c>
      <c r="D20" s="789">
        <f t="shared" ref="D20:K20" si="0">SUM(D5:D19)</f>
        <v>330440712.27000004</v>
      </c>
      <c r="E20" s="790">
        <f t="shared" si="0"/>
        <v>376263458.71999997</v>
      </c>
      <c r="F20" s="791">
        <f t="shared" si="0"/>
        <v>342318905.24404001</v>
      </c>
      <c r="G20" s="789">
        <f t="shared" si="0"/>
        <v>373756258.36404002</v>
      </c>
      <c r="H20" s="792">
        <f t="shared" si="0"/>
        <v>373756258.36404002</v>
      </c>
      <c r="I20" s="793">
        <f t="shared" si="0"/>
        <v>393212327.99351883</v>
      </c>
      <c r="J20" s="789">
        <f t="shared" si="0"/>
        <v>416805067.67312998</v>
      </c>
      <c r="K20" s="1064">
        <f t="shared" si="0"/>
        <v>441813371.73351777</v>
      </c>
      <c r="L20" s="72"/>
      <c r="M20" s="73"/>
      <c r="N20" s="73"/>
      <c r="O20" s="73"/>
      <c r="P20" s="73"/>
      <c r="Q20" s="73"/>
      <c r="R20" s="73"/>
      <c r="S20" s="73"/>
      <c r="T20" s="73"/>
      <c r="U20" s="73"/>
      <c r="V20" s="73"/>
      <c r="W20" s="73"/>
    </row>
    <row r="21" spans="1:23" ht="4.9000000000000004" customHeight="1" x14ac:dyDescent="0.25">
      <c r="A21" s="74"/>
      <c r="B21" s="55"/>
      <c r="C21" s="76"/>
      <c r="D21" s="76"/>
      <c r="E21" s="77"/>
      <c r="F21" s="78"/>
      <c r="G21" s="76"/>
      <c r="H21" s="75"/>
      <c r="I21" s="79"/>
      <c r="J21" s="76"/>
      <c r="K21" s="333"/>
      <c r="L21" s="68"/>
      <c r="M21" s="69"/>
      <c r="N21" s="69"/>
      <c r="O21" s="69"/>
      <c r="P21" s="69"/>
      <c r="Q21" s="69"/>
      <c r="R21" s="69"/>
      <c r="S21" s="69"/>
      <c r="T21" s="69"/>
      <c r="U21" s="69"/>
      <c r="V21" s="69"/>
      <c r="W21" s="69"/>
    </row>
    <row r="22" spans="1:23" ht="11.25" customHeight="1" x14ac:dyDescent="0.25">
      <c r="A22" s="54" t="s">
        <v>830</v>
      </c>
      <c r="B22" s="55">
        <v>1</v>
      </c>
      <c r="C22" s="76"/>
      <c r="D22" s="76"/>
      <c r="E22" s="77"/>
      <c r="F22" s="78"/>
      <c r="G22" s="76"/>
      <c r="H22" s="75"/>
      <c r="I22" s="79"/>
      <c r="J22" s="76"/>
      <c r="K22" s="333"/>
      <c r="L22" s="68"/>
      <c r="M22" s="69"/>
      <c r="N22" s="69"/>
      <c r="O22" s="69"/>
      <c r="P22" s="69"/>
      <c r="Q22" s="69"/>
      <c r="R22" s="69"/>
      <c r="S22" s="69"/>
      <c r="T22" s="69"/>
      <c r="U22" s="69"/>
      <c r="V22" s="69"/>
      <c r="W22" s="69"/>
    </row>
    <row r="23" spans="1:23" ht="11.25" customHeight="1" x14ac:dyDescent="0.25">
      <c r="A23" s="63" t="str">
        <f>A3A!A174</f>
        <v>Vote 1 - COUNCIL</v>
      </c>
      <c r="B23" s="55"/>
      <c r="C23" s="65">
        <f>A3A!C174</f>
        <v>0</v>
      </c>
      <c r="D23" s="65">
        <f>A3A!D174</f>
        <v>15304624.986666666</v>
      </c>
      <c r="E23" s="66">
        <f>A3A!E174</f>
        <v>30178090.690000001</v>
      </c>
      <c r="F23" s="67">
        <f>A3A!F174</f>
        <v>0</v>
      </c>
      <c r="G23" s="65">
        <f>A3A!G174</f>
        <v>0</v>
      </c>
      <c r="H23" s="64">
        <f>A3A!H174</f>
        <v>0</v>
      </c>
      <c r="I23" s="718">
        <f>A3A!I174</f>
        <v>0</v>
      </c>
      <c r="J23" s="65">
        <f>A3A!J174</f>
        <v>0</v>
      </c>
      <c r="K23" s="729">
        <f>A3A!K174</f>
        <v>0</v>
      </c>
      <c r="L23" s="68"/>
      <c r="M23" s="69"/>
      <c r="N23" s="69"/>
      <c r="O23" s="69"/>
      <c r="P23" s="69"/>
      <c r="Q23" s="69"/>
      <c r="R23" s="69"/>
      <c r="S23" s="69"/>
      <c r="T23" s="69"/>
      <c r="U23" s="69"/>
      <c r="V23" s="69"/>
      <c r="W23" s="69"/>
    </row>
    <row r="24" spans="1:23" ht="11.25" customHeight="1" x14ac:dyDescent="0.25">
      <c r="A24" s="63" t="str">
        <f>A3A!A185</f>
        <v>Vote 2 - OFFICE OF THE MUNICIPAL MANAGER</v>
      </c>
      <c r="B24" s="55"/>
      <c r="C24" s="65">
        <f>A3A!C185</f>
        <v>0</v>
      </c>
      <c r="D24" s="65">
        <f>A3A!D185</f>
        <v>10739343.9</v>
      </c>
      <c r="E24" s="66">
        <f>A3A!E185</f>
        <v>11608088.880000001</v>
      </c>
      <c r="F24" s="67">
        <f>A3A!F185</f>
        <v>10931901.109999999</v>
      </c>
      <c r="G24" s="65">
        <f>A3A!G185</f>
        <v>15263268.59</v>
      </c>
      <c r="H24" s="64">
        <f>A3A!H185</f>
        <v>15263268.59</v>
      </c>
      <c r="I24" s="718">
        <f>A3A!I185</f>
        <v>15172379</v>
      </c>
      <c r="J24" s="65">
        <f>A3A!J185</f>
        <v>16082721.740000002</v>
      </c>
      <c r="K24" s="729">
        <f>A3A!K185</f>
        <v>17047685.044400003</v>
      </c>
      <c r="L24" s="68"/>
      <c r="M24" s="69"/>
      <c r="N24" s="69"/>
      <c r="O24" s="69"/>
      <c r="P24" s="69"/>
      <c r="Q24" s="69"/>
      <c r="R24" s="69"/>
      <c r="S24" s="69"/>
      <c r="T24" s="69"/>
      <c r="U24" s="69"/>
      <c r="V24" s="69"/>
      <c r="W24" s="69"/>
    </row>
    <row r="25" spans="1:23" ht="11.25" customHeight="1" x14ac:dyDescent="0.25">
      <c r="A25" s="63" t="str">
        <f>A3A!A196</f>
        <v>Vote 3 - FINANCIAL SERVICES</v>
      </c>
      <c r="B25" s="55"/>
      <c r="C25" s="65">
        <f>A3A!C196</f>
        <v>0</v>
      </c>
      <c r="D25" s="65">
        <f>A3A!D196</f>
        <v>80838959.379999995</v>
      </c>
      <c r="E25" s="66">
        <f>A3A!E196</f>
        <v>75836353.810000002</v>
      </c>
      <c r="F25" s="67">
        <f>A3A!F196</f>
        <v>55054657</v>
      </c>
      <c r="G25" s="65">
        <f>A3A!G196</f>
        <v>41100404</v>
      </c>
      <c r="H25" s="64">
        <f>A3A!H196</f>
        <v>41100404</v>
      </c>
      <c r="I25" s="718">
        <f>A3A!I196</f>
        <v>44070108</v>
      </c>
      <c r="J25" s="65">
        <f>A3A!J196</f>
        <v>46714314.480000004</v>
      </c>
      <c r="K25" s="729">
        <f>A3A!K196</f>
        <v>49517173.348800004</v>
      </c>
      <c r="L25" s="68"/>
      <c r="M25" s="69"/>
      <c r="N25" s="69"/>
      <c r="O25" s="69"/>
      <c r="P25" s="69"/>
      <c r="Q25" s="69"/>
      <c r="R25" s="69"/>
      <c r="S25" s="69"/>
      <c r="T25" s="69"/>
      <c r="U25" s="69"/>
      <c r="V25" s="69"/>
      <c r="W25" s="69"/>
    </row>
    <row r="26" spans="1:23" ht="11.25" customHeight="1" x14ac:dyDescent="0.25">
      <c r="A26" s="63" t="str">
        <f>A3A!A207</f>
        <v>Vote 4 - CORPORATE SERVICES</v>
      </c>
      <c r="B26" s="55"/>
      <c r="C26" s="65">
        <f>A3A!C207</f>
        <v>0</v>
      </c>
      <c r="D26" s="65">
        <f>A3A!D207</f>
        <v>79898258.109999985</v>
      </c>
      <c r="E26" s="66">
        <f>A3A!E207</f>
        <v>81801010.249999985</v>
      </c>
      <c r="F26" s="67">
        <f>A3A!F207</f>
        <v>43357840</v>
      </c>
      <c r="G26" s="65">
        <f>A3A!G207</f>
        <v>40391061</v>
      </c>
      <c r="H26" s="64">
        <f>A3A!H207</f>
        <v>40391061</v>
      </c>
      <c r="I26" s="718">
        <f>A3A!I207</f>
        <v>43251532</v>
      </c>
      <c r="J26" s="65">
        <f>A3A!J207</f>
        <v>45846623.919999994</v>
      </c>
      <c r="K26" s="729">
        <f>A3A!K207</f>
        <v>48597421.3552</v>
      </c>
      <c r="L26" s="68"/>
      <c r="M26" s="69"/>
      <c r="N26" s="69"/>
      <c r="O26" s="69"/>
      <c r="P26" s="69"/>
      <c r="Q26" s="69"/>
      <c r="R26" s="69"/>
      <c r="S26" s="69"/>
      <c r="T26" s="69"/>
      <c r="U26" s="69"/>
      <c r="V26" s="69"/>
      <c r="W26" s="69"/>
    </row>
    <row r="27" spans="1:23" ht="11.25" customHeight="1" x14ac:dyDescent="0.25">
      <c r="A27" s="63" t="str">
        <f>A3A!A218</f>
        <v>Vote 5 - INFRASTRUCTURE SERVICES</v>
      </c>
      <c r="B27" s="55"/>
      <c r="C27" s="65">
        <f>A3A!C218</f>
        <v>0</v>
      </c>
      <c r="D27" s="65">
        <f>A3A!D218</f>
        <v>144895761.54999998</v>
      </c>
      <c r="E27" s="66">
        <f>A3A!E218</f>
        <v>160216621.70000002</v>
      </c>
      <c r="F27" s="67">
        <f>A3A!F218</f>
        <v>205520906</v>
      </c>
      <c r="G27" s="65">
        <f>A3A!G218</f>
        <v>226566335</v>
      </c>
      <c r="H27" s="64">
        <f>A3A!H218</f>
        <v>226566335</v>
      </c>
      <c r="I27" s="718">
        <f>A3A!I218</f>
        <v>233526213</v>
      </c>
      <c r="J27" s="65">
        <f>A3A!J218</f>
        <v>247537785.78000003</v>
      </c>
      <c r="K27" s="729">
        <f>A3A!K218</f>
        <v>262390052.92680004</v>
      </c>
      <c r="L27" s="68"/>
      <c r="M27" s="69"/>
      <c r="N27" s="69"/>
      <c r="O27" s="69"/>
      <c r="P27" s="69"/>
      <c r="Q27" s="69"/>
      <c r="R27" s="69"/>
      <c r="S27" s="69"/>
      <c r="T27" s="69"/>
      <c r="U27" s="69"/>
      <c r="V27" s="69"/>
      <c r="W27" s="69"/>
    </row>
    <row r="28" spans="1:23" ht="11.25" customHeight="1" x14ac:dyDescent="0.25">
      <c r="A28" s="63" t="str">
        <f>A3A!A229</f>
        <v>Vote 6 - COMMUNITY SERVICES</v>
      </c>
      <c r="B28" s="55"/>
      <c r="C28" s="65">
        <f>A3A!C229</f>
        <v>0</v>
      </c>
      <c r="D28" s="65">
        <f>A3A!D229</f>
        <v>42490638.214669235</v>
      </c>
      <c r="E28" s="66">
        <f>A3A!E229</f>
        <v>59877122.460000008</v>
      </c>
      <c r="F28" s="67">
        <f>A3A!F229</f>
        <v>51185802</v>
      </c>
      <c r="G28" s="65">
        <f>A3A!G229</f>
        <v>57990908</v>
      </c>
      <c r="H28" s="64">
        <f>A3A!H229</f>
        <v>57990908</v>
      </c>
      <c r="I28" s="718">
        <f>A3A!I229</f>
        <v>56639621</v>
      </c>
      <c r="J28" s="65">
        <f>A3A!J229</f>
        <v>60037998.260000005</v>
      </c>
      <c r="K28" s="729">
        <f>A3A!K229</f>
        <v>63640278.155600004</v>
      </c>
      <c r="L28" s="68"/>
      <c r="M28" s="69"/>
      <c r="N28" s="69"/>
      <c r="O28" s="69"/>
      <c r="P28" s="69"/>
      <c r="Q28" s="69"/>
      <c r="R28" s="69"/>
      <c r="S28" s="69"/>
      <c r="T28" s="69"/>
      <c r="U28" s="69"/>
      <c r="V28" s="69"/>
      <c r="W28" s="69"/>
    </row>
    <row r="29" spans="1:23" ht="11.25" customHeight="1" x14ac:dyDescent="0.25">
      <c r="A29" s="63" t="str">
        <f>A3A!A240</f>
        <v>Vote 7 - [NAME OF VOTE 7]</v>
      </c>
      <c r="B29" s="55"/>
      <c r="C29" s="65">
        <f>A3A!C240</f>
        <v>0</v>
      </c>
      <c r="D29" s="65">
        <f>A3A!D240</f>
        <v>0</v>
      </c>
      <c r="E29" s="66">
        <f>A3A!E240</f>
        <v>0</v>
      </c>
      <c r="F29" s="67">
        <f>A3A!F240</f>
        <v>0</v>
      </c>
      <c r="G29" s="65">
        <f>A3A!G240</f>
        <v>0</v>
      </c>
      <c r="H29" s="64">
        <f>A3A!H240</f>
        <v>0</v>
      </c>
      <c r="I29" s="718">
        <f>A3A!I240</f>
        <v>0</v>
      </c>
      <c r="J29" s="65">
        <f>A3A!J240</f>
        <v>0</v>
      </c>
      <c r="K29" s="729">
        <f>A3A!K240</f>
        <v>0</v>
      </c>
      <c r="L29" s="68"/>
      <c r="M29" s="69"/>
      <c r="N29" s="69"/>
      <c r="O29" s="69"/>
      <c r="P29" s="69"/>
      <c r="Q29" s="69"/>
      <c r="R29" s="69"/>
      <c r="S29" s="69"/>
      <c r="T29" s="69"/>
      <c r="U29" s="69"/>
      <c r="V29" s="69"/>
      <c r="W29" s="69"/>
    </row>
    <row r="30" spans="1:23" ht="11.25" customHeight="1" x14ac:dyDescent="0.25">
      <c r="A30" s="63" t="str">
        <f>A3A!A251</f>
        <v>Vote 8 - [NAME OF VOTE 8]</v>
      </c>
      <c r="B30" s="55"/>
      <c r="C30" s="65">
        <f>A3A!C251</f>
        <v>0</v>
      </c>
      <c r="D30" s="65">
        <f>A3A!D251</f>
        <v>0</v>
      </c>
      <c r="E30" s="66">
        <f>A3A!E251</f>
        <v>0</v>
      </c>
      <c r="F30" s="67">
        <f>A3A!F251</f>
        <v>0</v>
      </c>
      <c r="G30" s="65">
        <f>A3A!G251</f>
        <v>0</v>
      </c>
      <c r="H30" s="64">
        <f>A3A!H251</f>
        <v>0</v>
      </c>
      <c r="I30" s="718">
        <f>A3A!I251</f>
        <v>0</v>
      </c>
      <c r="J30" s="65">
        <f>A3A!J251</f>
        <v>0</v>
      </c>
      <c r="K30" s="729">
        <f>A3A!K251</f>
        <v>0</v>
      </c>
      <c r="L30" s="68"/>
      <c r="M30" s="69"/>
      <c r="N30" s="69"/>
      <c r="O30" s="69"/>
      <c r="P30" s="69"/>
      <c r="Q30" s="69"/>
      <c r="R30" s="69"/>
      <c r="S30" s="69"/>
      <c r="T30" s="69"/>
      <c r="U30" s="69"/>
      <c r="V30" s="69"/>
      <c r="W30" s="69"/>
    </row>
    <row r="31" spans="1:23" ht="11.25" customHeight="1" x14ac:dyDescent="0.25">
      <c r="A31" s="63" t="str">
        <f>A3A!A262</f>
        <v>Vote 9 - [NAME OF VOTE 9]</v>
      </c>
      <c r="B31" s="55"/>
      <c r="C31" s="65">
        <f>A3A!C262</f>
        <v>0</v>
      </c>
      <c r="D31" s="65">
        <f>A3A!D262</f>
        <v>0</v>
      </c>
      <c r="E31" s="66">
        <f>A3A!E262</f>
        <v>0</v>
      </c>
      <c r="F31" s="67">
        <f>A3A!F262</f>
        <v>0</v>
      </c>
      <c r="G31" s="65">
        <f>A3A!G262</f>
        <v>0</v>
      </c>
      <c r="H31" s="64">
        <f>A3A!H262</f>
        <v>0</v>
      </c>
      <c r="I31" s="718">
        <f>A3A!I262</f>
        <v>0</v>
      </c>
      <c r="J31" s="65">
        <f>A3A!J262</f>
        <v>0</v>
      </c>
      <c r="K31" s="729">
        <f>A3A!K262</f>
        <v>0</v>
      </c>
      <c r="L31" s="68"/>
      <c r="M31" s="69"/>
      <c r="N31" s="69"/>
      <c r="O31" s="69"/>
      <c r="P31" s="69"/>
      <c r="Q31" s="69"/>
      <c r="R31" s="69"/>
      <c r="S31" s="69"/>
      <c r="T31" s="69"/>
      <c r="U31" s="69"/>
      <c r="V31" s="69"/>
      <c r="W31" s="69"/>
    </row>
    <row r="32" spans="1:23" ht="11.25" customHeight="1" x14ac:dyDescent="0.25">
      <c r="A32" s="63" t="str">
        <f>A3A!A273</f>
        <v>Vote 10 - [NAME OF VOTE 10]</v>
      </c>
      <c r="B32" s="55"/>
      <c r="C32" s="65">
        <f>A3A!C273</f>
        <v>0</v>
      </c>
      <c r="D32" s="65">
        <f>A3A!D273</f>
        <v>0</v>
      </c>
      <c r="E32" s="66">
        <f>A3A!E273</f>
        <v>0</v>
      </c>
      <c r="F32" s="67">
        <f>A3A!F273</f>
        <v>0</v>
      </c>
      <c r="G32" s="65">
        <f>A3A!G273</f>
        <v>0</v>
      </c>
      <c r="H32" s="64">
        <f>A3A!H273</f>
        <v>0</v>
      </c>
      <c r="I32" s="718">
        <f>A3A!I273</f>
        <v>0</v>
      </c>
      <c r="J32" s="65">
        <f>A3A!J273</f>
        <v>0</v>
      </c>
      <c r="K32" s="729">
        <f>A3A!K273</f>
        <v>0</v>
      </c>
      <c r="L32" s="68"/>
      <c r="M32" s="69"/>
      <c r="N32" s="69"/>
      <c r="O32" s="69"/>
      <c r="P32" s="69"/>
      <c r="Q32" s="69"/>
      <c r="R32" s="69"/>
      <c r="S32" s="69"/>
      <c r="T32" s="69"/>
      <c r="U32" s="69"/>
      <c r="V32" s="69"/>
      <c r="W32" s="69"/>
    </row>
    <row r="33" spans="1:23" ht="11.25" customHeight="1" x14ac:dyDescent="0.25">
      <c r="A33" s="63" t="str">
        <f>A3A!A284</f>
        <v>Vote 11 - [NAME OF VOTE 11]</v>
      </c>
      <c r="B33" s="55"/>
      <c r="C33" s="162">
        <f>A3A!C284</f>
        <v>0</v>
      </c>
      <c r="D33" s="162">
        <f>A3A!D284</f>
        <v>0</v>
      </c>
      <c r="E33" s="66">
        <f>A3A!E284</f>
        <v>0</v>
      </c>
      <c r="F33" s="67">
        <f>A3A!F284</f>
        <v>0</v>
      </c>
      <c r="G33" s="65">
        <f>A3A!G284</f>
        <v>0</v>
      </c>
      <c r="H33" s="66">
        <f>A3A!H284</f>
        <v>0</v>
      </c>
      <c r="I33" s="718">
        <f>A3A!I284</f>
        <v>0</v>
      </c>
      <c r="J33" s="65">
        <f>A3A!J284</f>
        <v>0</v>
      </c>
      <c r="K33" s="729">
        <f>A3A!K284</f>
        <v>0</v>
      </c>
      <c r="L33" s="66">
        <f>A3A!L285</f>
        <v>0</v>
      </c>
      <c r="M33" s="69"/>
      <c r="N33" s="69"/>
      <c r="O33" s="69"/>
      <c r="P33" s="69"/>
      <c r="Q33" s="69"/>
      <c r="R33" s="69"/>
      <c r="S33" s="69"/>
      <c r="T33" s="69"/>
      <c r="U33" s="69"/>
      <c r="V33" s="69"/>
      <c r="W33" s="69"/>
    </row>
    <row r="34" spans="1:23" ht="11.25" customHeight="1" x14ac:dyDescent="0.25">
      <c r="A34" s="63" t="str">
        <f>A3A!A295</f>
        <v>Vote 12 - [NAME OF VOTE 12]</v>
      </c>
      <c r="B34" s="55"/>
      <c r="C34" s="162">
        <f>A3A!C295</f>
        <v>0</v>
      </c>
      <c r="D34" s="162">
        <f>A3A!D295</f>
        <v>0</v>
      </c>
      <c r="E34" s="66">
        <f>A3A!E295</f>
        <v>0</v>
      </c>
      <c r="F34" s="67">
        <f>A3A!F295</f>
        <v>0</v>
      </c>
      <c r="G34" s="65">
        <f>A3A!G295</f>
        <v>0</v>
      </c>
      <c r="H34" s="66">
        <f>A3A!H295</f>
        <v>0</v>
      </c>
      <c r="I34" s="718">
        <f>A3A!I295</f>
        <v>0</v>
      </c>
      <c r="J34" s="65">
        <f>A3A!J295</f>
        <v>0</v>
      </c>
      <c r="K34" s="729">
        <f>A3A!K295</f>
        <v>0</v>
      </c>
      <c r="L34" s="66">
        <f>A3A!L296</f>
        <v>0</v>
      </c>
      <c r="M34" s="69"/>
      <c r="N34" s="69"/>
      <c r="O34" s="69"/>
      <c r="P34" s="69"/>
      <c r="Q34" s="69"/>
      <c r="R34" s="69"/>
      <c r="S34" s="69"/>
      <c r="T34" s="69"/>
      <c r="U34" s="69"/>
      <c r="V34" s="69"/>
      <c r="W34" s="69"/>
    </row>
    <row r="35" spans="1:23" ht="11.25" customHeight="1" x14ac:dyDescent="0.25">
      <c r="A35" s="63" t="str">
        <f>A3A!A306</f>
        <v>Vote 13 - [NAME OF VOTE 13]</v>
      </c>
      <c r="B35" s="55"/>
      <c r="C35" s="162">
        <f>A3A!C306</f>
        <v>0</v>
      </c>
      <c r="D35" s="162">
        <f>A3A!D306</f>
        <v>0</v>
      </c>
      <c r="E35" s="66">
        <f>A3A!E306</f>
        <v>0</v>
      </c>
      <c r="F35" s="67">
        <f>A3A!F306</f>
        <v>0</v>
      </c>
      <c r="G35" s="65">
        <f>A3A!G306</f>
        <v>0</v>
      </c>
      <c r="H35" s="66">
        <f>A3A!H306</f>
        <v>0</v>
      </c>
      <c r="I35" s="718">
        <f>A3A!I306</f>
        <v>0</v>
      </c>
      <c r="J35" s="65">
        <f>A3A!J306</f>
        <v>0</v>
      </c>
      <c r="K35" s="729">
        <f>A3A!K306</f>
        <v>0</v>
      </c>
      <c r="L35" s="66">
        <f>A3A!L307</f>
        <v>0</v>
      </c>
      <c r="M35" s="69"/>
      <c r="N35" s="69"/>
      <c r="O35" s="69"/>
      <c r="P35" s="69"/>
      <c r="Q35" s="69"/>
      <c r="R35" s="69"/>
      <c r="S35" s="69"/>
      <c r="T35" s="69"/>
      <c r="U35" s="69"/>
      <c r="V35" s="69"/>
      <c r="W35" s="69"/>
    </row>
    <row r="36" spans="1:23" ht="11.25" customHeight="1" x14ac:dyDescent="0.25">
      <c r="A36" s="63" t="str">
        <f>A3A!A317</f>
        <v>Vote 14 - [NAME OF VOTE 14]</v>
      </c>
      <c r="B36" s="55"/>
      <c r="C36" s="162">
        <f>A3A!C317</f>
        <v>0</v>
      </c>
      <c r="D36" s="162">
        <f>A3A!D317</f>
        <v>0</v>
      </c>
      <c r="E36" s="66">
        <f>A3A!E317</f>
        <v>0</v>
      </c>
      <c r="F36" s="67">
        <f>A3A!F317</f>
        <v>0</v>
      </c>
      <c r="G36" s="65">
        <f>A3A!G317</f>
        <v>0</v>
      </c>
      <c r="H36" s="66">
        <f>A3A!H317</f>
        <v>0</v>
      </c>
      <c r="I36" s="718">
        <f>A3A!I317</f>
        <v>0</v>
      </c>
      <c r="J36" s="65">
        <f>A3A!J317</f>
        <v>0</v>
      </c>
      <c r="K36" s="729">
        <f>A3A!K317</f>
        <v>0</v>
      </c>
      <c r="L36" s="66">
        <f>A3A!L318</f>
        <v>0</v>
      </c>
      <c r="M36" s="69"/>
      <c r="N36" s="69"/>
      <c r="O36" s="69"/>
      <c r="P36" s="69"/>
      <c r="Q36" s="69"/>
      <c r="R36" s="69"/>
      <c r="S36" s="69"/>
      <c r="T36" s="69"/>
      <c r="U36" s="69"/>
      <c r="V36" s="69"/>
      <c r="W36" s="69"/>
    </row>
    <row r="37" spans="1:23" ht="11.25" customHeight="1" x14ac:dyDescent="0.25">
      <c r="A37" s="63" t="str">
        <f>A3A!A328</f>
        <v>Vote 15 - [NAME OF VOTE 15]</v>
      </c>
      <c r="B37" s="55"/>
      <c r="C37" s="162">
        <f>A3A!C328</f>
        <v>0</v>
      </c>
      <c r="D37" s="162">
        <f>A3A!D328</f>
        <v>0</v>
      </c>
      <c r="E37" s="66">
        <f>A3A!E328</f>
        <v>0</v>
      </c>
      <c r="F37" s="67">
        <f>A3A!F328</f>
        <v>0</v>
      </c>
      <c r="G37" s="65">
        <f>A3A!G328</f>
        <v>0</v>
      </c>
      <c r="H37" s="66">
        <f>A3A!H328</f>
        <v>0</v>
      </c>
      <c r="I37" s="718">
        <f>A3A!I328</f>
        <v>0</v>
      </c>
      <c r="J37" s="65">
        <f>A3A!J328</f>
        <v>0</v>
      </c>
      <c r="K37" s="729">
        <f>A3A!K328</f>
        <v>0</v>
      </c>
      <c r="L37" s="66">
        <f>A3A!L329</f>
        <v>0</v>
      </c>
      <c r="M37" s="69"/>
      <c r="N37" s="69"/>
      <c r="O37" s="69"/>
      <c r="P37" s="69"/>
      <c r="Q37" s="69"/>
      <c r="R37" s="69"/>
      <c r="S37" s="69"/>
      <c r="T37" s="69"/>
      <c r="U37" s="69"/>
      <c r="V37" s="69"/>
      <c r="W37" s="69"/>
    </row>
    <row r="38" spans="1:23" ht="11.25" customHeight="1" x14ac:dyDescent="0.25">
      <c r="A38" s="788" t="s">
        <v>156</v>
      </c>
      <c r="B38" s="176">
        <v>2</v>
      </c>
      <c r="C38" s="122">
        <f>SUM(C23:C37)</f>
        <v>0</v>
      </c>
      <c r="D38" s="122">
        <f t="shared" ref="D38:K38" si="1">SUM(D23:D37)</f>
        <v>374167586.14133584</v>
      </c>
      <c r="E38" s="123">
        <f t="shared" si="1"/>
        <v>419517287.79000008</v>
      </c>
      <c r="F38" s="124">
        <f t="shared" si="1"/>
        <v>366051106.11000001</v>
      </c>
      <c r="G38" s="122">
        <f t="shared" si="1"/>
        <v>381311976.59000003</v>
      </c>
      <c r="H38" s="121">
        <f t="shared" si="1"/>
        <v>381311976.59000003</v>
      </c>
      <c r="I38" s="125">
        <f t="shared" si="1"/>
        <v>392659853</v>
      </c>
      <c r="J38" s="122">
        <f t="shared" si="1"/>
        <v>416219444.18000001</v>
      </c>
      <c r="K38" s="507">
        <f t="shared" si="1"/>
        <v>441192610.83080006</v>
      </c>
      <c r="L38" s="72">
        <f t="shared" ref="L38:W38" si="2">SUM(L23:L29)</f>
        <v>0</v>
      </c>
      <c r="M38" s="73">
        <f t="shared" si="2"/>
        <v>0</v>
      </c>
      <c r="N38" s="73">
        <f t="shared" si="2"/>
        <v>0</v>
      </c>
      <c r="O38" s="73">
        <f t="shared" si="2"/>
        <v>0</v>
      </c>
      <c r="P38" s="73">
        <f t="shared" si="2"/>
        <v>0</v>
      </c>
      <c r="Q38" s="73">
        <f t="shared" si="2"/>
        <v>0</v>
      </c>
      <c r="R38" s="73">
        <f t="shared" si="2"/>
        <v>0</v>
      </c>
      <c r="S38" s="73">
        <f t="shared" si="2"/>
        <v>0</v>
      </c>
      <c r="T38" s="73">
        <f t="shared" si="2"/>
        <v>0</v>
      </c>
      <c r="U38" s="73">
        <f t="shared" si="2"/>
        <v>0</v>
      </c>
      <c r="V38" s="73">
        <f t="shared" si="2"/>
        <v>0</v>
      </c>
      <c r="W38" s="73">
        <f t="shared" si="2"/>
        <v>0</v>
      </c>
    </row>
    <row r="39" spans="1:23" ht="13.5" thickBot="1" x14ac:dyDescent="0.3">
      <c r="A39" s="92" t="str">
        <f>result</f>
        <v>Surplus/(Deficit) for the year</v>
      </c>
      <c r="B39" s="93">
        <v>2</v>
      </c>
      <c r="C39" s="95">
        <f t="shared" ref="C39:W39" si="3">C20-C38</f>
        <v>0</v>
      </c>
      <c r="D39" s="95">
        <f t="shared" si="3"/>
        <v>-43726873.871335804</v>
      </c>
      <c r="E39" s="96">
        <f t="shared" si="3"/>
        <v>-43253829.070000112</v>
      </c>
      <c r="F39" s="97">
        <f t="shared" si="3"/>
        <v>-23732200.865960002</v>
      </c>
      <c r="G39" s="95">
        <f t="shared" si="3"/>
        <v>-7555718.2259600163</v>
      </c>
      <c r="H39" s="94">
        <f t="shared" si="3"/>
        <v>-7555718.2259600163</v>
      </c>
      <c r="I39" s="98">
        <f t="shared" si="3"/>
        <v>552474.99351882935</v>
      </c>
      <c r="J39" s="95">
        <f t="shared" si="3"/>
        <v>585623.49312996864</v>
      </c>
      <c r="K39" s="474">
        <f t="shared" si="3"/>
        <v>620760.90271770954</v>
      </c>
      <c r="L39" s="99">
        <f t="shared" si="3"/>
        <v>0</v>
      </c>
      <c r="M39" s="100">
        <f t="shared" si="3"/>
        <v>0</v>
      </c>
      <c r="N39" s="100">
        <f t="shared" si="3"/>
        <v>0</v>
      </c>
      <c r="O39" s="100">
        <f t="shared" si="3"/>
        <v>0</v>
      </c>
      <c r="P39" s="100">
        <f t="shared" si="3"/>
        <v>0</v>
      </c>
      <c r="Q39" s="100">
        <f t="shared" si="3"/>
        <v>0</v>
      </c>
      <c r="R39" s="100">
        <f t="shared" si="3"/>
        <v>0</v>
      </c>
      <c r="S39" s="100">
        <f t="shared" si="3"/>
        <v>0</v>
      </c>
      <c r="T39" s="100">
        <f t="shared" si="3"/>
        <v>0</v>
      </c>
      <c r="U39" s="100">
        <f t="shared" si="3"/>
        <v>0</v>
      </c>
      <c r="V39" s="100">
        <f t="shared" si="3"/>
        <v>0</v>
      </c>
      <c r="W39" s="100">
        <f t="shared" si="3"/>
        <v>0</v>
      </c>
    </row>
    <row r="40" spans="1:23" s="464" customFormat="1" ht="11.25" customHeight="1" thickTop="1" x14ac:dyDescent="0.25">
      <c r="A40" s="101" t="str">
        <f>head27a</f>
        <v>References</v>
      </c>
      <c r="B40" s="102"/>
      <c r="C40" s="132"/>
      <c r="D40" s="103"/>
      <c r="E40" s="104"/>
      <c r="F40" s="104"/>
      <c r="G40" s="104"/>
      <c r="H40" s="104"/>
      <c r="I40" s="104"/>
      <c r="J40" s="104"/>
      <c r="K40" s="104"/>
    </row>
    <row r="41" spans="1:23" s="464" customFormat="1" ht="11.25" customHeight="1" x14ac:dyDescent="0.25">
      <c r="A41" s="105" t="s">
        <v>2494</v>
      </c>
      <c r="B41" s="102"/>
      <c r="C41" s="103"/>
      <c r="D41" s="103"/>
      <c r="E41" s="104"/>
      <c r="F41" s="104"/>
      <c r="G41" s="104"/>
      <c r="H41" s="104"/>
      <c r="I41" s="104"/>
      <c r="J41" s="104"/>
      <c r="K41" s="104"/>
    </row>
    <row r="42" spans="1:23" s="464" customFormat="1" ht="11.25" customHeight="1" x14ac:dyDescent="0.25">
      <c r="A42" s="106" t="s">
        <v>163</v>
      </c>
      <c r="B42" s="102"/>
      <c r="C42" s="103"/>
      <c r="D42" s="103"/>
      <c r="E42" s="104"/>
      <c r="F42" s="104"/>
      <c r="G42" s="104"/>
      <c r="H42" s="104"/>
      <c r="I42" s="104"/>
      <c r="J42" s="104"/>
      <c r="K42" s="104"/>
    </row>
    <row r="43" spans="1:23" s="464" customFormat="1" ht="11.25" customHeight="1" x14ac:dyDescent="0.25">
      <c r="A43" s="106" t="s">
        <v>376</v>
      </c>
      <c r="B43" s="107"/>
      <c r="C43" s="108"/>
      <c r="D43" s="108"/>
      <c r="E43" s="109"/>
      <c r="F43" s="109"/>
      <c r="G43" s="109"/>
      <c r="H43" s="109"/>
      <c r="I43" s="109"/>
      <c r="J43" s="109"/>
      <c r="K43" s="109"/>
    </row>
    <row r="44" spans="1:23" ht="11.25" customHeight="1" x14ac:dyDescent="0.25">
      <c r="A44" s="132"/>
      <c r="B44" s="102"/>
    </row>
    <row r="45" spans="1:23" ht="11.25" customHeight="1" x14ac:dyDescent="0.25">
      <c r="A45" s="108" t="str">
        <f>"check "&amp;A39</f>
        <v>check Surplus/(Deficit) for the year</v>
      </c>
      <c r="B45" s="102"/>
      <c r="C45" s="109">
        <f>C39-A3A!C341</f>
        <v>0</v>
      </c>
      <c r="D45" s="109">
        <f>D39-A3A!D341</f>
        <v>0</v>
      </c>
      <c r="E45" s="109">
        <f>E39-A3A!E341</f>
        <v>0</v>
      </c>
      <c r="F45" s="109">
        <f>F39-A3A!F341</f>
        <v>0</v>
      </c>
      <c r="G45" s="109">
        <f>G39-A3A!G341</f>
        <v>0</v>
      </c>
      <c r="H45" s="109">
        <f>H39-A3A!H341</f>
        <v>0</v>
      </c>
      <c r="I45" s="109">
        <f>I39-A3A!I341</f>
        <v>0</v>
      </c>
      <c r="J45" s="109">
        <f>J39-A3A!J341</f>
        <v>0</v>
      </c>
      <c r="K45" s="109">
        <f>K39-A3A!K341</f>
        <v>0</v>
      </c>
    </row>
    <row r="46" spans="1:23" ht="11.25" customHeight="1" x14ac:dyDescent="0.25">
      <c r="A46" s="108"/>
      <c r="C46" s="109"/>
      <c r="D46" s="109"/>
      <c r="E46" s="109"/>
      <c r="F46" s="109"/>
      <c r="G46" s="109"/>
      <c r="H46" s="109"/>
      <c r="I46" s="109"/>
      <c r="J46" s="109"/>
      <c r="K46" s="109"/>
    </row>
    <row r="47" spans="1:23" ht="11.25" customHeight="1" x14ac:dyDescent="0.25"/>
    <row r="48" spans="1:23" ht="11.25" customHeight="1" x14ac:dyDescent="0.25"/>
    <row r="49" spans="3:11" ht="11.25" customHeight="1" x14ac:dyDescent="0.25">
      <c r="C49" s="75"/>
      <c r="D49" s="75"/>
      <c r="E49" s="75"/>
      <c r="F49" s="75"/>
      <c r="G49" s="75"/>
      <c r="H49" s="75"/>
      <c r="I49" s="75"/>
      <c r="J49" s="75"/>
      <c r="K49" s="75"/>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mergeCells count="3">
    <mergeCell ref="F2:H2"/>
    <mergeCell ref="I2:K2"/>
    <mergeCell ref="L2:W2"/>
  </mergeCells>
  <phoneticPr fontId="3" type="noConversion"/>
  <printOptions horizontalCentered="1"/>
  <pageMargins left="0.34" right="0" top="0.78740157480314965" bottom="0.59055118110236227" header="0.51181102362204722" footer="0.39370078740157483"/>
  <pageSetup paperSize="9" scale="86"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W380"/>
  <sheetViews>
    <sheetView showGridLines="0" showZeros="0" zoomScaleNormal="100" workbookViewId="0">
      <pane xSplit="2" ySplit="3" topLeftCell="C332" activePane="bottomRight" state="frozen"/>
      <selection pane="topRight"/>
      <selection pane="bottomLeft"/>
      <selection pane="bottomRight" activeCell="E333" sqref="E333"/>
    </sheetView>
  </sheetViews>
  <sheetFormatPr defaultRowHeight="12.75" x14ac:dyDescent="0.25"/>
  <cols>
    <col min="1" max="1" width="30.7109375" style="25" customWidth="1"/>
    <col min="2" max="2" width="3" style="645" customWidth="1"/>
    <col min="3" max="11" width="9.28515625" style="25" customWidth="1"/>
    <col min="12" max="23" width="9.140625" style="25" hidden="1" customWidth="1"/>
    <col min="24" max="16384" width="9.140625" style="25"/>
  </cols>
  <sheetData>
    <row r="1" spans="1:23" s="52" customFormat="1" x14ac:dyDescent="0.2">
      <c r="A1" s="23" t="str">
        <f>muni&amp;" - "&amp;Approve2&amp;"A"</f>
        <v>EC101 Dr Beyers Naude - Table A3 Budgeted Financial Performance (revenue and expenditure by municipal vote)A</v>
      </c>
      <c r="B1" s="23"/>
      <c r="C1" s="23"/>
      <c r="D1" s="23"/>
      <c r="E1" s="23"/>
      <c r="F1" s="23"/>
      <c r="G1" s="23"/>
      <c r="H1" s="23"/>
      <c r="I1" s="23"/>
      <c r="J1" s="23"/>
      <c r="K1" s="23"/>
    </row>
    <row r="2" spans="1:23" ht="28.5" customHeight="1" x14ac:dyDescent="0.25">
      <c r="A2" s="609" t="str">
        <f>Vdesc</f>
        <v>Vote Description</v>
      </c>
      <c r="B2" s="220" t="str">
        <f>head27</f>
        <v>Ref</v>
      </c>
      <c r="C2" s="26" t="str">
        <f>head1b</f>
        <v>2015/16</v>
      </c>
      <c r="D2" s="26" t="str">
        <f>head1A</f>
        <v>2016/17</v>
      </c>
      <c r="E2" s="22" t="str">
        <f>Head1</f>
        <v>2017/18</v>
      </c>
      <c r="F2" s="1907" t="str">
        <f>Head2</f>
        <v>Current Year 2018/19</v>
      </c>
      <c r="G2" s="1908"/>
      <c r="H2" s="1908"/>
      <c r="I2" s="1904" t="str">
        <f>Head3</f>
        <v>2019/20 Medium Term Revenue &amp; Expenditure Framework</v>
      </c>
      <c r="J2" s="1905"/>
      <c r="K2" s="1906"/>
      <c r="L2" s="1916" t="str">
        <f>Head4</f>
        <v>LTFS</v>
      </c>
      <c r="M2" s="1917"/>
      <c r="N2" s="1917"/>
      <c r="O2" s="1917"/>
      <c r="P2" s="1917"/>
      <c r="Q2" s="1917"/>
      <c r="R2" s="1917"/>
      <c r="S2" s="1917"/>
      <c r="T2" s="1917"/>
      <c r="U2" s="1917"/>
      <c r="V2" s="1917"/>
      <c r="W2" s="1918"/>
    </row>
    <row r="3" spans="1:23" ht="25.5" x14ac:dyDescent="0.25">
      <c r="A3" s="53" t="s">
        <v>573</v>
      </c>
      <c r="B3" s="619"/>
      <c r="C3" s="203" t="str">
        <f>Head5</f>
        <v>Audited Outcome</v>
      </c>
      <c r="D3" s="203"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c r="L3" s="884" t="str">
        <f>Head12</f>
        <v>Forecast 2022/23</v>
      </c>
      <c r="M3" s="885" t="str">
        <f>Head13</f>
        <v>Forecast 2023/24</v>
      </c>
      <c r="N3" s="885" t="str">
        <f>Head14</f>
        <v>Forecast 2024/25</v>
      </c>
      <c r="O3" s="885" t="str">
        <f>Head15</f>
        <v>Forecast 2025/26</v>
      </c>
      <c r="P3" s="885" t="str">
        <f>Head16</f>
        <v>Forecast 2026/27</v>
      </c>
      <c r="Q3" s="885" t="str">
        <f>Head17</f>
        <v>Forecast 2027/28</v>
      </c>
      <c r="R3" s="885" t="str">
        <f>Head18</f>
        <v>Forecast 2028/29</v>
      </c>
      <c r="S3" s="885" t="str">
        <f>Head19</f>
        <v>Forecast 2029/30</v>
      </c>
      <c r="T3" s="885" t="str">
        <f>Head20</f>
        <v>Forecast 2030/31</v>
      </c>
      <c r="U3" s="885" t="str">
        <f>Head21</f>
        <v>Forecast 2031/32</v>
      </c>
      <c r="V3" s="885" t="str">
        <f>Head22</f>
        <v>Forecast 2032/33</v>
      </c>
      <c r="W3" s="885" t="str">
        <f>Head23</f>
        <v>Forecast 2033/34</v>
      </c>
    </row>
    <row r="4" spans="1:23" ht="11.25" customHeight="1" x14ac:dyDescent="0.25">
      <c r="A4" s="54" t="s">
        <v>1210</v>
      </c>
      <c r="B4" s="55">
        <v>1</v>
      </c>
      <c r="C4" s="57"/>
      <c r="D4" s="57"/>
      <c r="E4" s="58"/>
      <c r="F4" s="59"/>
      <c r="G4" s="57"/>
      <c r="H4" s="56"/>
      <c r="I4" s="60"/>
      <c r="J4" s="57"/>
      <c r="K4" s="58"/>
      <c r="L4" s="61"/>
      <c r="M4" s="62"/>
      <c r="N4" s="62"/>
      <c r="O4" s="62"/>
      <c r="P4" s="62"/>
      <c r="Q4" s="62"/>
      <c r="R4" s="62"/>
      <c r="S4" s="62"/>
      <c r="T4" s="62"/>
      <c r="U4" s="62"/>
      <c r="V4" s="62"/>
      <c r="W4" s="62"/>
    </row>
    <row r="5" spans="1:23" ht="15" customHeight="1" x14ac:dyDescent="0.25">
      <c r="A5" s="189" t="str">
        <f>'Org structure'!A2</f>
        <v>Vote 1 - COUNCIL</v>
      </c>
      <c r="B5" s="663"/>
      <c r="C5" s="592">
        <f>SUM(C6:C15)</f>
        <v>0</v>
      </c>
      <c r="D5" s="592">
        <f t="shared" ref="D5:K5" si="0">SUM(D6:D15)</f>
        <v>24703075</v>
      </c>
      <c r="E5" s="595">
        <f t="shared" si="0"/>
        <v>12021647.18</v>
      </c>
      <c r="F5" s="594">
        <f t="shared" si="0"/>
        <v>0</v>
      </c>
      <c r="G5" s="592">
        <f t="shared" si="0"/>
        <v>0</v>
      </c>
      <c r="H5" s="593">
        <f t="shared" si="0"/>
        <v>0</v>
      </c>
      <c r="I5" s="610">
        <f t="shared" si="0"/>
        <v>51354</v>
      </c>
      <c r="J5" s="592">
        <f t="shared" si="0"/>
        <v>54435.240000000005</v>
      </c>
      <c r="K5" s="595">
        <f t="shared" si="0"/>
        <v>57701.354400000011</v>
      </c>
      <c r="L5" s="61"/>
      <c r="M5" s="62"/>
      <c r="N5" s="62"/>
      <c r="O5" s="62"/>
      <c r="P5" s="62"/>
      <c r="Q5" s="62"/>
      <c r="R5" s="62"/>
      <c r="S5" s="62"/>
      <c r="T5" s="62"/>
      <c r="U5" s="62"/>
      <c r="V5" s="62"/>
      <c r="W5" s="62"/>
    </row>
    <row r="6" spans="1:23" ht="11.25" customHeight="1" x14ac:dyDescent="0.25">
      <c r="A6" s="63" t="str">
        <f>'Org structure'!E3</f>
        <v>1.1 - Council General Expenses</v>
      </c>
      <c r="B6" s="652"/>
      <c r="C6" s="920"/>
      <c r="D6" s="920">
        <v>24703075</v>
      </c>
      <c r="E6" s="1322">
        <v>12021647.18</v>
      </c>
      <c r="F6" s="1323"/>
      <c r="G6" s="920"/>
      <c r="H6" s="921"/>
      <c r="I6" s="1324">
        <v>51354</v>
      </c>
      <c r="J6" s="920">
        <f>I6*1.06</f>
        <v>54435.240000000005</v>
      </c>
      <c r="K6" s="1322">
        <f>J6*1.06</f>
        <v>57701.354400000011</v>
      </c>
      <c r="L6" s="61"/>
      <c r="M6" s="62"/>
      <c r="N6" s="62"/>
      <c r="O6" s="62"/>
      <c r="P6" s="62"/>
      <c r="Q6" s="62"/>
      <c r="R6" s="62"/>
      <c r="S6" s="62"/>
      <c r="T6" s="62"/>
      <c r="U6" s="62"/>
      <c r="V6" s="62"/>
      <c r="W6" s="62"/>
    </row>
    <row r="7" spans="1:23" ht="11.25" customHeight="1" x14ac:dyDescent="0.25">
      <c r="A7" s="63">
        <f>'Org structure'!E4</f>
        <v>0</v>
      </c>
      <c r="B7" s="652"/>
      <c r="C7" s="920"/>
      <c r="D7" s="920"/>
      <c r="E7" s="1322"/>
      <c r="F7" s="1323"/>
      <c r="G7" s="920"/>
      <c r="H7" s="921"/>
      <c r="I7" s="1324"/>
      <c r="J7" s="920"/>
      <c r="K7" s="1322"/>
      <c r="L7" s="61"/>
      <c r="M7" s="62"/>
      <c r="N7" s="62"/>
      <c r="O7" s="62"/>
      <c r="P7" s="62"/>
      <c r="Q7" s="62"/>
      <c r="R7" s="62"/>
      <c r="S7" s="62"/>
      <c r="T7" s="62"/>
      <c r="U7" s="62"/>
      <c r="V7" s="62"/>
      <c r="W7" s="62"/>
    </row>
    <row r="8" spans="1:23" ht="11.25" customHeight="1" x14ac:dyDescent="0.25">
      <c r="A8" s="63">
        <f>'Org structure'!E5</f>
        <v>0</v>
      </c>
      <c r="B8" s="652"/>
      <c r="C8" s="920"/>
      <c r="D8" s="920"/>
      <c r="E8" s="1322"/>
      <c r="F8" s="1323"/>
      <c r="G8" s="920"/>
      <c r="H8" s="921"/>
      <c r="I8" s="1324"/>
      <c r="J8" s="920"/>
      <c r="K8" s="1322"/>
      <c r="L8" s="61"/>
      <c r="M8" s="62"/>
      <c r="N8" s="62"/>
      <c r="O8" s="62"/>
      <c r="P8" s="62"/>
      <c r="Q8" s="62"/>
      <c r="R8" s="62"/>
      <c r="S8" s="62"/>
      <c r="T8" s="62"/>
      <c r="U8" s="62"/>
      <c r="V8" s="62"/>
      <c r="W8" s="62"/>
    </row>
    <row r="9" spans="1:23" ht="11.25" customHeight="1" x14ac:dyDescent="0.25">
      <c r="A9" s="63">
        <f>'Org structure'!E6</f>
        <v>0</v>
      </c>
      <c r="B9" s="652"/>
      <c r="C9" s="920"/>
      <c r="D9" s="920"/>
      <c r="E9" s="1322"/>
      <c r="F9" s="1323"/>
      <c r="G9" s="920"/>
      <c r="H9" s="921"/>
      <c r="I9" s="1324"/>
      <c r="J9" s="920"/>
      <c r="K9" s="1322"/>
      <c r="L9" s="61"/>
      <c r="M9" s="62"/>
      <c r="N9" s="62"/>
      <c r="O9" s="62"/>
      <c r="P9" s="62"/>
      <c r="Q9" s="62"/>
      <c r="R9" s="62"/>
      <c r="S9" s="62"/>
      <c r="T9" s="62"/>
      <c r="U9" s="62"/>
      <c r="V9" s="62"/>
      <c r="W9" s="62"/>
    </row>
    <row r="10" spans="1:23" ht="11.25" customHeight="1" x14ac:dyDescent="0.25">
      <c r="A10" s="63">
        <f>'Org structure'!E7</f>
        <v>0</v>
      </c>
      <c r="B10" s="652"/>
      <c r="C10" s="920"/>
      <c r="D10" s="920"/>
      <c r="E10" s="1322"/>
      <c r="F10" s="1323"/>
      <c r="G10" s="920"/>
      <c r="H10" s="921"/>
      <c r="I10" s="1324"/>
      <c r="J10" s="920"/>
      <c r="K10" s="1322"/>
      <c r="L10" s="61"/>
      <c r="M10" s="62"/>
      <c r="N10" s="62"/>
      <c r="O10" s="62"/>
      <c r="P10" s="62"/>
      <c r="Q10" s="62"/>
      <c r="R10" s="62"/>
      <c r="S10" s="62"/>
      <c r="T10" s="62"/>
      <c r="U10" s="62"/>
      <c r="V10" s="62"/>
      <c r="W10" s="62"/>
    </row>
    <row r="11" spans="1:23" ht="11.25" customHeight="1" x14ac:dyDescent="0.25">
      <c r="A11" s="63">
        <f>'Org structure'!E8</f>
        <v>0</v>
      </c>
      <c r="B11" s="652"/>
      <c r="C11" s="920"/>
      <c r="D11" s="920"/>
      <c r="E11" s="1322"/>
      <c r="F11" s="1323"/>
      <c r="G11" s="920"/>
      <c r="H11" s="921"/>
      <c r="I11" s="1324"/>
      <c r="J11" s="920"/>
      <c r="K11" s="1322"/>
      <c r="L11" s="61"/>
      <c r="M11" s="62"/>
      <c r="N11" s="62"/>
      <c r="O11" s="62"/>
      <c r="P11" s="62"/>
      <c r="Q11" s="62"/>
      <c r="R11" s="62"/>
      <c r="S11" s="62"/>
      <c r="T11" s="62"/>
      <c r="U11" s="62"/>
      <c r="V11" s="62"/>
      <c r="W11" s="62"/>
    </row>
    <row r="12" spans="1:23" ht="11.25" customHeight="1" x14ac:dyDescent="0.25">
      <c r="A12" s="63">
        <f>'Org structure'!E9</f>
        <v>0</v>
      </c>
      <c r="B12" s="652"/>
      <c r="C12" s="920"/>
      <c r="D12" s="920"/>
      <c r="E12" s="1322"/>
      <c r="F12" s="1323"/>
      <c r="G12" s="920"/>
      <c r="H12" s="921"/>
      <c r="I12" s="1324"/>
      <c r="J12" s="920"/>
      <c r="K12" s="1322"/>
      <c r="L12" s="61"/>
      <c r="M12" s="62"/>
      <c r="N12" s="62"/>
      <c r="O12" s="62"/>
      <c r="P12" s="62"/>
      <c r="Q12" s="62"/>
      <c r="R12" s="62"/>
      <c r="S12" s="62"/>
      <c r="T12" s="62"/>
      <c r="U12" s="62"/>
      <c r="V12" s="62"/>
      <c r="W12" s="62"/>
    </row>
    <row r="13" spans="1:23" ht="11.25" customHeight="1" x14ac:dyDescent="0.25">
      <c r="A13" s="63">
        <f>'Org structure'!E10</f>
        <v>0</v>
      </c>
      <c r="B13" s="652"/>
      <c r="C13" s="920"/>
      <c r="D13" s="920"/>
      <c r="E13" s="1322"/>
      <c r="F13" s="1323"/>
      <c r="G13" s="920"/>
      <c r="H13" s="921"/>
      <c r="I13" s="1324"/>
      <c r="J13" s="920"/>
      <c r="K13" s="1322"/>
      <c r="L13" s="61"/>
      <c r="M13" s="62"/>
      <c r="N13" s="62"/>
      <c r="O13" s="62"/>
      <c r="P13" s="62"/>
      <c r="Q13" s="62"/>
      <c r="R13" s="62"/>
      <c r="S13" s="62"/>
      <c r="T13" s="62"/>
      <c r="U13" s="62"/>
      <c r="V13" s="62"/>
      <c r="W13" s="62"/>
    </row>
    <row r="14" spans="1:23" ht="11.25" customHeight="1" x14ac:dyDescent="0.25">
      <c r="A14" s="63">
        <f>'Org structure'!E11</f>
        <v>0</v>
      </c>
      <c r="B14" s="652"/>
      <c r="C14" s="920"/>
      <c r="D14" s="920"/>
      <c r="E14" s="1322"/>
      <c r="F14" s="1323"/>
      <c r="G14" s="920"/>
      <c r="H14" s="921"/>
      <c r="I14" s="1324"/>
      <c r="J14" s="920"/>
      <c r="K14" s="1322"/>
      <c r="L14" s="61"/>
      <c r="M14" s="62"/>
      <c r="N14" s="62"/>
      <c r="O14" s="62"/>
      <c r="P14" s="62"/>
      <c r="Q14" s="62"/>
      <c r="R14" s="62"/>
      <c r="S14" s="62"/>
      <c r="T14" s="62"/>
      <c r="U14" s="62"/>
      <c r="V14" s="62"/>
      <c r="W14" s="62"/>
    </row>
    <row r="15" spans="1:23" ht="11.25" customHeight="1" x14ac:dyDescent="0.25">
      <c r="A15" s="63">
        <f>'Org structure'!E12</f>
        <v>0</v>
      </c>
      <c r="B15" s="652"/>
      <c r="C15" s="920"/>
      <c r="D15" s="920"/>
      <c r="E15" s="1322"/>
      <c r="F15" s="1323"/>
      <c r="G15" s="920"/>
      <c r="H15" s="921"/>
      <c r="I15" s="1324"/>
      <c r="J15" s="920"/>
      <c r="K15" s="1322"/>
      <c r="L15" s="61"/>
      <c r="M15" s="62"/>
      <c r="N15" s="62"/>
      <c r="O15" s="62"/>
      <c r="P15" s="62"/>
      <c r="Q15" s="62"/>
      <c r="R15" s="62"/>
      <c r="S15" s="62"/>
      <c r="T15" s="62"/>
      <c r="U15" s="62"/>
      <c r="V15" s="62"/>
      <c r="W15" s="62"/>
    </row>
    <row r="16" spans="1:23" ht="15" customHeight="1" x14ac:dyDescent="0.25">
      <c r="A16" s="189" t="str">
        <f>'Org structure'!A3</f>
        <v>Vote 2 - OFFICE OF THE MUNICIPAL MANAGER</v>
      </c>
      <c r="B16" s="663"/>
      <c r="C16" s="592">
        <f>SUM(C17:C26)</f>
        <v>0</v>
      </c>
      <c r="D16" s="592">
        <f t="shared" ref="D16:K16" si="1">SUM(D17:D26)</f>
        <v>77212.22</v>
      </c>
      <c r="E16" s="595">
        <f t="shared" si="1"/>
        <v>200000</v>
      </c>
      <c r="F16" s="594">
        <f t="shared" si="1"/>
        <v>20000</v>
      </c>
      <c r="G16" s="592">
        <f t="shared" si="1"/>
        <v>1075000</v>
      </c>
      <c r="H16" s="593">
        <f t="shared" si="1"/>
        <v>1075000</v>
      </c>
      <c r="I16" s="610">
        <f t="shared" si="1"/>
        <v>20000</v>
      </c>
      <c r="J16" s="592">
        <f t="shared" si="1"/>
        <v>21200</v>
      </c>
      <c r="K16" s="595">
        <f t="shared" si="1"/>
        <v>22472</v>
      </c>
      <c r="L16" s="61"/>
      <c r="M16" s="62"/>
      <c r="N16" s="62"/>
      <c r="O16" s="62"/>
      <c r="P16" s="62"/>
      <c r="Q16" s="62"/>
      <c r="R16" s="62"/>
      <c r="S16" s="62"/>
      <c r="T16" s="62"/>
      <c r="U16" s="62"/>
      <c r="V16" s="62"/>
      <c r="W16" s="62"/>
    </row>
    <row r="17" spans="1:23" ht="11.25" customHeight="1" x14ac:dyDescent="0.25">
      <c r="A17" s="63" t="str">
        <f>'Org structure'!E14</f>
        <v>2.1 - Internal Audit</v>
      </c>
      <c r="B17" s="652"/>
      <c r="C17" s="920"/>
      <c r="D17" s="920"/>
      <c r="E17" s="1322"/>
      <c r="F17" s="1323"/>
      <c r="G17" s="920"/>
      <c r="H17" s="921"/>
      <c r="I17" s="1324"/>
      <c r="J17" s="920"/>
      <c r="K17" s="1322"/>
      <c r="L17" s="61"/>
      <c r="M17" s="62"/>
      <c r="N17" s="62"/>
      <c r="O17" s="62"/>
      <c r="P17" s="62"/>
      <c r="Q17" s="62"/>
      <c r="R17" s="62"/>
      <c r="S17" s="62"/>
      <c r="T17" s="62"/>
      <c r="U17" s="62"/>
      <c r="V17" s="62"/>
      <c r="W17" s="62"/>
    </row>
    <row r="18" spans="1:23" ht="11.25" customHeight="1" x14ac:dyDescent="0.25">
      <c r="A18" s="63" t="str">
        <f>'Org structure'!E15</f>
        <v>2.2 - Risk Management</v>
      </c>
      <c r="B18" s="652"/>
      <c r="C18" s="920"/>
      <c r="D18" s="920"/>
      <c r="E18" s="1322"/>
      <c r="F18" s="1323"/>
      <c r="G18" s="920"/>
      <c r="H18" s="921"/>
      <c r="I18" s="1324"/>
      <c r="J18" s="920"/>
      <c r="K18" s="1322"/>
      <c r="L18" s="61"/>
      <c r="M18" s="62"/>
      <c r="N18" s="62"/>
      <c r="O18" s="62"/>
      <c r="P18" s="62"/>
      <c r="Q18" s="62"/>
      <c r="R18" s="62"/>
      <c r="S18" s="62"/>
      <c r="T18" s="62"/>
      <c r="U18" s="62"/>
      <c r="V18" s="62"/>
      <c r="W18" s="62"/>
    </row>
    <row r="19" spans="1:23" ht="11.25" customHeight="1" x14ac:dyDescent="0.25">
      <c r="A19" s="63" t="str">
        <f>'Org structure'!E16</f>
        <v>2.3 - Institutional Performance Management</v>
      </c>
      <c r="B19" s="652"/>
      <c r="C19" s="920"/>
      <c r="D19" s="920"/>
      <c r="E19" s="1322"/>
      <c r="F19" s="1323"/>
      <c r="G19" s="920"/>
      <c r="H19" s="921"/>
      <c r="I19" s="1324"/>
      <c r="J19" s="920"/>
      <c r="K19" s="1322"/>
      <c r="L19" s="61"/>
      <c r="M19" s="62"/>
      <c r="N19" s="62"/>
      <c r="O19" s="62"/>
      <c r="P19" s="62"/>
      <c r="Q19" s="62"/>
      <c r="R19" s="62"/>
      <c r="S19" s="62"/>
      <c r="T19" s="62"/>
      <c r="U19" s="62"/>
      <c r="V19" s="62"/>
      <c r="W19" s="62"/>
    </row>
    <row r="20" spans="1:23" ht="11.25" customHeight="1" x14ac:dyDescent="0.25">
      <c r="A20" s="63" t="str">
        <f>'Org structure'!E17</f>
        <v>2.4 - IDP</v>
      </c>
      <c r="B20" s="652"/>
      <c r="C20" s="920"/>
      <c r="D20" s="920"/>
      <c r="E20" s="1322"/>
      <c r="F20" s="1323"/>
      <c r="G20" s="920"/>
      <c r="H20" s="921"/>
      <c r="I20" s="1324"/>
      <c r="J20" s="920"/>
      <c r="K20" s="1322"/>
      <c r="L20" s="61"/>
      <c r="M20" s="62"/>
      <c r="N20" s="62"/>
      <c r="O20" s="62"/>
      <c r="P20" s="62"/>
      <c r="Q20" s="62"/>
      <c r="R20" s="62"/>
      <c r="S20" s="62"/>
      <c r="T20" s="62"/>
      <c r="U20" s="62"/>
      <c r="V20" s="62"/>
      <c r="W20" s="62"/>
    </row>
    <row r="21" spans="1:23" ht="11.25" customHeight="1" x14ac:dyDescent="0.25">
      <c r="A21" s="63" t="str">
        <f>'Org structure'!E18</f>
        <v>2.5 - Economic Dev &amp; Tourism</v>
      </c>
      <c r="B21" s="652"/>
      <c r="C21" s="920"/>
      <c r="D21" s="920">
        <v>163007</v>
      </c>
      <c r="E21" s="1322">
        <v>200000</v>
      </c>
      <c r="F21" s="1323">
        <v>20000</v>
      </c>
      <c r="G21" s="1323">
        <v>20000</v>
      </c>
      <c r="H21" s="1323">
        <v>20000</v>
      </c>
      <c r="I21" s="1324">
        <v>20000</v>
      </c>
      <c r="J21" s="920">
        <f>I21*1.06</f>
        <v>21200</v>
      </c>
      <c r="K21" s="1322">
        <f>J21*1.06</f>
        <v>22472</v>
      </c>
      <c r="L21" s="61"/>
      <c r="M21" s="62"/>
      <c r="N21" s="62"/>
      <c r="O21" s="62"/>
      <c r="P21" s="62"/>
      <c r="Q21" s="62"/>
      <c r="R21" s="62"/>
      <c r="S21" s="62"/>
      <c r="T21" s="62"/>
      <c r="U21" s="62"/>
      <c r="V21" s="62"/>
      <c r="W21" s="62"/>
    </row>
    <row r="22" spans="1:23" ht="11.25" customHeight="1" x14ac:dyDescent="0.25">
      <c r="A22" s="63" t="str">
        <f>'Org structure'!E19</f>
        <v>2.6 - Communication &amp; IGR</v>
      </c>
      <c r="B22" s="652"/>
      <c r="C22" s="920"/>
      <c r="D22" s="920"/>
      <c r="E22" s="1322"/>
      <c r="F22" s="1323"/>
      <c r="G22" s="920">
        <v>1055000</v>
      </c>
      <c r="H22" s="920">
        <v>1055000</v>
      </c>
      <c r="I22" s="1324">
        <v>0</v>
      </c>
      <c r="J22" s="920">
        <v>0</v>
      </c>
      <c r="K22" s="1322">
        <v>0</v>
      </c>
      <c r="L22" s="61"/>
      <c r="M22" s="62"/>
      <c r="N22" s="62"/>
      <c r="O22" s="62"/>
      <c r="P22" s="62"/>
      <c r="Q22" s="62"/>
      <c r="R22" s="62"/>
      <c r="S22" s="62"/>
      <c r="T22" s="62"/>
      <c r="U22" s="62"/>
      <c r="V22" s="62"/>
      <c r="W22" s="62"/>
    </row>
    <row r="23" spans="1:23" ht="11.25" customHeight="1" x14ac:dyDescent="0.25">
      <c r="A23" s="63" t="str">
        <f>'Org structure'!E20</f>
        <v>2.7 - Executive support</v>
      </c>
      <c r="B23" s="652"/>
      <c r="C23" s="920"/>
      <c r="D23" s="920">
        <v>-85794.78</v>
      </c>
      <c r="E23" s="1322"/>
      <c r="F23" s="1323"/>
      <c r="G23" s="920"/>
      <c r="H23" s="921"/>
      <c r="I23" s="1324"/>
      <c r="J23" s="920"/>
      <c r="K23" s="1322"/>
      <c r="L23" s="61"/>
      <c r="M23" s="62"/>
      <c r="N23" s="62"/>
      <c r="O23" s="62"/>
      <c r="P23" s="62"/>
      <c r="Q23" s="62"/>
      <c r="R23" s="62"/>
      <c r="S23" s="62"/>
      <c r="T23" s="62"/>
      <c r="U23" s="62"/>
      <c r="V23" s="62"/>
      <c r="W23" s="62"/>
    </row>
    <row r="24" spans="1:23" ht="11.25" customHeight="1" x14ac:dyDescent="0.25">
      <c r="A24" s="63" t="str">
        <f>'Org structure'!E21</f>
        <v>2.8 - [Name of sub-vote]</v>
      </c>
      <c r="B24" s="652"/>
      <c r="C24" s="920"/>
      <c r="D24" s="920"/>
      <c r="E24" s="1322"/>
      <c r="F24" s="1323"/>
      <c r="G24" s="920"/>
      <c r="H24" s="921"/>
      <c r="I24" s="1324"/>
      <c r="J24" s="920"/>
      <c r="K24" s="1322"/>
      <c r="L24" s="61"/>
      <c r="M24" s="62"/>
      <c r="N24" s="62"/>
      <c r="O24" s="62"/>
      <c r="P24" s="62"/>
      <c r="Q24" s="62"/>
      <c r="R24" s="62"/>
      <c r="S24" s="62"/>
      <c r="T24" s="62"/>
      <c r="U24" s="62"/>
      <c r="V24" s="62"/>
      <c r="W24" s="62"/>
    </row>
    <row r="25" spans="1:23" ht="11.25" customHeight="1" x14ac:dyDescent="0.25">
      <c r="A25" s="63">
        <f>'Org structure'!E22</f>
        <v>0</v>
      </c>
      <c r="B25" s="652"/>
      <c r="C25" s="920"/>
      <c r="D25" s="920"/>
      <c r="E25" s="1322"/>
      <c r="F25" s="1323"/>
      <c r="G25" s="920"/>
      <c r="H25" s="921"/>
      <c r="I25" s="1324"/>
      <c r="J25" s="920"/>
      <c r="K25" s="1322"/>
      <c r="L25" s="61"/>
      <c r="M25" s="62"/>
      <c r="N25" s="62"/>
      <c r="O25" s="62"/>
      <c r="P25" s="62"/>
      <c r="Q25" s="62"/>
      <c r="R25" s="62"/>
      <c r="S25" s="62"/>
      <c r="T25" s="62"/>
      <c r="U25" s="62"/>
      <c r="V25" s="62"/>
      <c r="W25" s="62"/>
    </row>
    <row r="26" spans="1:23" ht="11.25" customHeight="1" x14ac:dyDescent="0.25">
      <c r="A26" s="63">
        <f>'Org structure'!E23</f>
        <v>0</v>
      </c>
      <c r="B26" s="652"/>
      <c r="C26" s="920"/>
      <c r="D26" s="920"/>
      <c r="E26" s="1322"/>
      <c r="F26" s="1323"/>
      <c r="G26" s="920"/>
      <c r="H26" s="921"/>
      <c r="I26" s="1324"/>
      <c r="J26" s="920"/>
      <c r="K26" s="1322"/>
      <c r="L26" s="61"/>
      <c r="M26" s="62"/>
      <c r="N26" s="62"/>
      <c r="O26" s="62"/>
      <c r="P26" s="62"/>
      <c r="Q26" s="62"/>
      <c r="R26" s="62"/>
      <c r="S26" s="62"/>
      <c r="T26" s="62"/>
      <c r="U26" s="62"/>
      <c r="V26" s="62"/>
      <c r="W26" s="62"/>
    </row>
    <row r="27" spans="1:23" ht="15" customHeight="1" x14ac:dyDescent="0.25">
      <c r="A27" s="189" t="str">
        <f>'Org structure'!A4</f>
        <v>Vote 3 - FINANCIAL SERVICES</v>
      </c>
      <c r="B27" s="663"/>
      <c r="C27" s="592">
        <f t="shared" ref="C27:K27" si="2">SUM(C28:C37)</f>
        <v>0</v>
      </c>
      <c r="D27" s="592">
        <f t="shared" si="2"/>
        <v>108777527.14</v>
      </c>
      <c r="E27" s="595">
        <f t="shared" si="2"/>
        <v>142299935.13</v>
      </c>
      <c r="F27" s="594">
        <f t="shared" si="2"/>
        <v>60807752.053639993</v>
      </c>
      <c r="G27" s="592">
        <f t="shared" si="2"/>
        <v>59243054.053639993</v>
      </c>
      <c r="H27" s="593">
        <f t="shared" si="2"/>
        <v>59243054.053639993</v>
      </c>
      <c r="I27" s="610">
        <f t="shared" si="2"/>
        <v>56001631.229999997</v>
      </c>
      <c r="J27" s="592">
        <f t="shared" si="2"/>
        <v>59361729.103799999</v>
      </c>
      <c r="K27" s="595">
        <f t="shared" si="2"/>
        <v>62923432.850028001</v>
      </c>
      <c r="L27" s="61"/>
      <c r="M27" s="62"/>
      <c r="N27" s="62"/>
      <c r="O27" s="62"/>
      <c r="P27" s="62"/>
      <c r="Q27" s="62"/>
      <c r="R27" s="62"/>
      <c r="S27" s="62"/>
      <c r="T27" s="62"/>
      <c r="U27" s="62"/>
      <c r="V27" s="62"/>
      <c r="W27" s="62"/>
    </row>
    <row r="28" spans="1:23" ht="11.25" customHeight="1" x14ac:dyDescent="0.25">
      <c r="A28" s="63" t="str">
        <f>'Org structure'!E25</f>
        <v>3.1 - Executive support</v>
      </c>
      <c r="B28" s="652"/>
      <c r="C28" s="920"/>
      <c r="D28" s="920">
        <f>87151830.14+21625697</f>
        <v>108777527.14</v>
      </c>
      <c r="E28" s="1322">
        <v>109242612.14</v>
      </c>
      <c r="F28" s="1323"/>
      <c r="G28" s="920">
        <v>0</v>
      </c>
      <c r="H28" s="922">
        <v>0</v>
      </c>
      <c r="I28" s="1324">
        <v>0</v>
      </c>
      <c r="J28" s="920">
        <v>0</v>
      </c>
      <c r="K28" s="1322">
        <v>0</v>
      </c>
      <c r="L28" s="61"/>
      <c r="M28" s="62"/>
      <c r="N28" s="62"/>
      <c r="O28" s="62"/>
      <c r="P28" s="62"/>
      <c r="Q28" s="62"/>
      <c r="R28" s="62"/>
      <c r="S28" s="62"/>
      <c r="T28" s="62"/>
      <c r="U28" s="62"/>
      <c r="V28" s="62"/>
      <c r="W28" s="62"/>
    </row>
    <row r="29" spans="1:23" ht="11.25" customHeight="1" x14ac:dyDescent="0.25">
      <c r="A29" s="63" t="str">
        <f>'Org structure'!E26</f>
        <v>3.2 - Budget &amp; Financial Reporting</v>
      </c>
      <c r="B29" s="652"/>
      <c r="C29" s="920"/>
      <c r="D29" s="920"/>
      <c r="E29" s="1322">
        <v>221288.61</v>
      </c>
      <c r="F29" s="1323">
        <v>6085000</v>
      </c>
      <c r="G29" s="920">
        <v>13609500</v>
      </c>
      <c r="H29" s="921">
        <v>13609500</v>
      </c>
      <c r="I29" s="1324">
        <v>4000000</v>
      </c>
      <c r="J29" s="920">
        <f>I29*1.06</f>
        <v>4240000</v>
      </c>
      <c r="K29" s="1322">
        <f>J29*1.06</f>
        <v>4494400</v>
      </c>
      <c r="L29" s="61"/>
      <c r="M29" s="62"/>
      <c r="N29" s="62"/>
      <c r="O29" s="62"/>
      <c r="P29" s="62"/>
      <c r="Q29" s="62"/>
      <c r="R29" s="62"/>
      <c r="S29" s="62"/>
      <c r="T29" s="62"/>
      <c r="U29" s="62"/>
      <c r="V29" s="62"/>
      <c r="W29" s="62"/>
    </row>
    <row r="30" spans="1:23" ht="11.25" customHeight="1" x14ac:dyDescent="0.25">
      <c r="A30" s="63" t="str">
        <f>'Org structure'!E27</f>
        <v>3.3 - Asset &amp; Fleet Management</v>
      </c>
      <c r="B30" s="652"/>
      <c r="C30" s="920"/>
      <c r="D30" s="920"/>
      <c r="E30" s="1322"/>
      <c r="F30" s="1323"/>
      <c r="G30" s="920">
        <v>0</v>
      </c>
      <c r="H30" s="921">
        <v>0</v>
      </c>
      <c r="I30" s="1324"/>
      <c r="J30" s="920"/>
      <c r="K30" s="1322"/>
      <c r="L30" s="61"/>
      <c r="M30" s="62"/>
      <c r="N30" s="62"/>
      <c r="O30" s="62"/>
      <c r="P30" s="62"/>
      <c r="Q30" s="62"/>
      <c r="R30" s="62"/>
      <c r="S30" s="62"/>
      <c r="T30" s="62"/>
      <c r="U30" s="62"/>
      <c r="V30" s="62"/>
      <c r="W30" s="62"/>
    </row>
    <row r="31" spans="1:23" ht="11.25" customHeight="1" x14ac:dyDescent="0.25">
      <c r="A31" s="63" t="str">
        <f>'Org structure'!E28</f>
        <v>3.4 - Financial Management Information systems</v>
      </c>
      <c r="B31" s="652"/>
      <c r="C31" s="920"/>
      <c r="D31" s="920"/>
      <c r="E31" s="1322"/>
      <c r="F31" s="1323"/>
      <c r="G31" s="920">
        <v>0</v>
      </c>
      <c r="H31" s="921">
        <v>0</v>
      </c>
      <c r="I31" s="1324"/>
      <c r="J31" s="920"/>
      <c r="K31" s="1322"/>
      <c r="L31" s="61"/>
      <c r="M31" s="62"/>
      <c r="N31" s="62"/>
      <c r="O31" s="62"/>
      <c r="P31" s="62"/>
      <c r="Q31" s="62"/>
      <c r="R31" s="62"/>
      <c r="S31" s="62"/>
      <c r="T31" s="62"/>
      <c r="U31" s="62"/>
      <c r="V31" s="62"/>
      <c r="W31" s="62"/>
    </row>
    <row r="32" spans="1:23" ht="11.25" customHeight="1" x14ac:dyDescent="0.25">
      <c r="A32" s="63" t="str">
        <f>'Org structure'!E29</f>
        <v>3.5 - Cashier Receipting &amp; Debtors</v>
      </c>
      <c r="B32" s="652"/>
      <c r="C32" s="920"/>
      <c r="D32" s="920"/>
      <c r="E32" s="1322">
        <v>32836034.379999999</v>
      </c>
      <c r="F32" s="1323">
        <v>54650133.573639996</v>
      </c>
      <c r="G32" s="920">
        <v>45560935.573639996</v>
      </c>
      <c r="H32" s="921">
        <v>45560935.573639996</v>
      </c>
      <c r="I32" s="1324">
        <v>52001631.229999997</v>
      </c>
      <c r="J32" s="920">
        <f>I32*1.06</f>
        <v>55121729.103799999</v>
      </c>
      <c r="K32" s="1322">
        <f>J32*1.06</f>
        <v>58429032.850028001</v>
      </c>
      <c r="L32" s="61"/>
      <c r="M32" s="62"/>
      <c r="N32" s="62"/>
      <c r="O32" s="62"/>
      <c r="P32" s="62"/>
      <c r="Q32" s="62"/>
      <c r="R32" s="62"/>
      <c r="S32" s="62"/>
      <c r="T32" s="62"/>
      <c r="U32" s="62"/>
      <c r="V32" s="62"/>
      <c r="W32" s="62"/>
    </row>
    <row r="33" spans="1:23" ht="11.25" customHeight="1" x14ac:dyDescent="0.25">
      <c r="A33" s="63" t="str">
        <f>'Org structure'!E30</f>
        <v>3.6 - Credit control</v>
      </c>
      <c r="B33" s="652"/>
      <c r="C33" s="920"/>
      <c r="D33" s="920"/>
      <c r="E33" s="1322"/>
      <c r="F33" s="1323"/>
      <c r="G33" s="920">
        <v>0</v>
      </c>
      <c r="H33" s="921">
        <v>0</v>
      </c>
      <c r="I33" s="1324">
        <v>0</v>
      </c>
      <c r="J33" s="920">
        <v>0</v>
      </c>
      <c r="K33" s="1322">
        <v>0</v>
      </c>
      <c r="L33" s="61"/>
      <c r="M33" s="62"/>
      <c r="N33" s="62"/>
      <c r="O33" s="62"/>
      <c r="P33" s="62"/>
      <c r="Q33" s="62"/>
      <c r="R33" s="62"/>
      <c r="S33" s="62"/>
      <c r="T33" s="62"/>
      <c r="U33" s="62"/>
      <c r="V33" s="62"/>
      <c r="W33" s="62"/>
    </row>
    <row r="34" spans="1:23" ht="11.25" customHeight="1" x14ac:dyDescent="0.25">
      <c r="A34" s="63" t="str">
        <f>'Org structure'!E31</f>
        <v>3.7 - Expenditure</v>
      </c>
      <c r="B34" s="652"/>
      <c r="C34" s="920"/>
      <c r="D34" s="920"/>
      <c r="E34" s="1322"/>
      <c r="F34" s="1323"/>
      <c r="G34" s="920">
        <v>0</v>
      </c>
      <c r="H34" s="921">
        <v>0</v>
      </c>
      <c r="I34" s="1324">
        <v>0</v>
      </c>
      <c r="J34" s="920">
        <v>0</v>
      </c>
      <c r="K34" s="1322">
        <v>0</v>
      </c>
      <c r="L34" s="61"/>
      <c r="M34" s="62"/>
      <c r="N34" s="62"/>
      <c r="O34" s="62"/>
      <c r="P34" s="62"/>
      <c r="Q34" s="62"/>
      <c r="R34" s="62"/>
      <c r="S34" s="62"/>
      <c r="T34" s="62"/>
      <c r="U34" s="62"/>
      <c r="V34" s="62"/>
      <c r="W34" s="62"/>
    </row>
    <row r="35" spans="1:23" ht="11.25" customHeight="1" x14ac:dyDescent="0.25">
      <c r="A35" s="63" t="str">
        <f>'Org structure'!E32</f>
        <v>3.8 - Supply Chain</v>
      </c>
      <c r="B35" s="652"/>
      <c r="C35" s="920"/>
      <c r="D35" s="920"/>
      <c r="E35" s="1322"/>
      <c r="F35" s="1323">
        <v>72618.48</v>
      </c>
      <c r="G35" s="920">
        <v>72618.48</v>
      </c>
      <c r="H35" s="921">
        <v>72618.48</v>
      </c>
      <c r="I35" s="1324">
        <v>0</v>
      </c>
      <c r="J35" s="920">
        <v>0</v>
      </c>
      <c r="K35" s="1322">
        <v>0</v>
      </c>
      <c r="L35" s="61"/>
      <c r="M35" s="62"/>
      <c r="N35" s="62"/>
      <c r="O35" s="62"/>
      <c r="P35" s="62"/>
      <c r="Q35" s="62"/>
      <c r="R35" s="62"/>
      <c r="S35" s="62"/>
      <c r="T35" s="62"/>
      <c r="U35" s="62"/>
      <c r="V35" s="62"/>
      <c r="W35" s="62"/>
    </row>
    <row r="36" spans="1:23" ht="11.25" customHeight="1" x14ac:dyDescent="0.25">
      <c r="A36" s="63" t="str">
        <f>'Org structure'!E33</f>
        <v xml:space="preserve">3.9 - </v>
      </c>
      <c r="B36" s="652"/>
      <c r="C36" s="920"/>
      <c r="D36" s="920"/>
      <c r="E36" s="1322"/>
      <c r="F36" s="1323"/>
      <c r="G36" s="920"/>
      <c r="H36" s="921"/>
      <c r="I36" s="1324"/>
      <c r="J36" s="920"/>
      <c r="K36" s="1322"/>
      <c r="L36" s="61"/>
      <c r="M36" s="62"/>
      <c r="N36" s="62"/>
      <c r="O36" s="62"/>
      <c r="P36" s="62"/>
      <c r="Q36" s="62"/>
      <c r="R36" s="62"/>
      <c r="S36" s="62"/>
      <c r="T36" s="62"/>
      <c r="U36" s="62"/>
      <c r="V36" s="62"/>
      <c r="W36" s="62"/>
    </row>
    <row r="37" spans="1:23" ht="11.25" customHeight="1" x14ac:dyDescent="0.25">
      <c r="A37" s="63" t="str">
        <f>'Org structure'!E34</f>
        <v xml:space="preserve">3.10 - </v>
      </c>
      <c r="B37" s="652"/>
      <c r="C37" s="920"/>
      <c r="D37" s="920"/>
      <c r="E37" s="1322"/>
      <c r="F37" s="1323"/>
      <c r="G37" s="920"/>
      <c r="H37" s="921"/>
      <c r="I37" s="1324"/>
      <c r="J37" s="920"/>
      <c r="K37" s="1322"/>
      <c r="L37" s="61"/>
      <c r="M37" s="62"/>
      <c r="N37" s="62"/>
      <c r="O37" s="62"/>
      <c r="P37" s="62"/>
      <c r="Q37" s="62"/>
      <c r="R37" s="62"/>
      <c r="S37" s="62"/>
      <c r="T37" s="62"/>
      <c r="U37" s="62"/>
      <c r="V37" s="62"/>
      <c r="W37" s="62"/>
    </row>
    <row r="38" spans="1:23" ht="15" customHeight="1" x14ac:dyDescent="0.25">
      <c r="A38" s="189" t="str">
        <f>'Org structure'!A5</f>
        <v>Vote 4 - CORPORATE SERVICES</v>
      </c>
      <c r="B38" s="663"/>
      <c r="C38" s="592">
        <f t="shared" ref="C38:K38" si="3">SUM(C39:C48)</f>
        <v>0</v>
      </c>
      <c r="D38" s="592">
        <f t="shared" si="3"/>
        <v>515980.97</v>
      </c>
      <c r="E38" s="595">
        <f t="shared" si="3"/>
        <v>871736.2300000001</v>
      </c>
      <c r="F38" s="594">
        <f t="shared" si="3"/>
        <v>16681059.779999999</v>
      </c>
      <c r="G38" s="592">
        <f t="shared" si="3"/>
        <v>16695722.779999999</v>
      </c>
      <c r="H38" s="593">
        <f t="shared" si="3"/>
        <v>16695722.779999999</v>
      </c>
      <c r="I38" s="610">
        <f t="shared" si="3"/>
        <v>20598553.538163319</v>
      </c>
      <c r="J38" s="592">
        <f t="shared" si="3"/>
        <v>21834466.750453122</v>
      </c>
      <c r="K38" s="595">
        <f t="shared" si="3"/>
        <v>23144534.755480312</v>
      </c>
      <c r="L38" s="61"/>
      <c r="M38" s="62"/>
      <c r="N38" s="62"/>
      <c r="O38" s="62"/>
      <c r="P38" s="62"/>
      <c r="Q38" s="62"/>
      <c r="R38" s="62"/>
      <c r="S38" s="62"/>
      <c r="T38" s="62"/>
      <c r="U38" s="62"/>
      <c r="V38" s="62"/>
      <c r="W38" s="62"/>
    </row>
    <row r="39" spans="1:23" ht="11.25" customHeight="1" x14ac:dyDescent="0.25">
      <c r="A39" s="63" t="str">
        <f>'Org structure'!E36</f>
        <v>4.1 - Executive support; Secretariat; Registry &amp; Office Auxiliary</v>
      </c>
      <c r="B39" s="652"/>
      <c r="C39" s="920"/>
      <c r="D39" s="920">
        <v>186532.97</v>
      </c>
      <c r="E39" s="1322">
        <v>384454.21</v>
      </c>
      <c r="F39" s="1323">
        <v>343019.18</v>
      </c>
      <c r="G39" s="920">
        <v>343019.18</v>
      </c>
      <c r="H39" s="921">
        <v>343019.18</v>
      </c>
      <c r="I39" s="1324">
        <v>365492</v>
      </c>
      <c r="J39" s="920">
        <f>I39*1.06</f>
        <v>387421.52</v>
      </c>
      <c r="K39" s="1322">
        <f>J39*1.06</f>
        <v>410666.81120000005</v>
      </c>
      <c r="L39" s="61"/>
      <c r="M39" s="62"/>
      <c r="N39" s="62"/>
      <c r="O39" s="62"/>
      <c r="P39" s="62"/>
      <c r="Q39" s="62"/>
      <c r="R39" s="62"/>
      <c r="S39" s="62"/>
      <c r="T39" s="62"/>
      <c r="U39" s="62"/>
      <c r="V39" s="62"/>
      <c r="W39" s="62"/>
    </row>
    <row r="40" spans="1:23" ht="11.25" customHeight="1" x14ac:dyDescent="0.25">
      <c r="A40" s="63" t="str">
        <f>'Org structure'!E37</f>
        <v>4.2 - ICT</v>
      </c>
      <c r="B40" s="652"/>
      <c r="C40" s="920"/>
      <c r="D40" s="920"/>
      <c r="E40" s="1322"/>
      <c r="F40" s="1323"/>
      <c r="G40" s="920">
        <v>0</v>
      </c>
      <c r="H40" s="921">
        <v>0</v>
      </c>
      <c r="I40" s="1324">
        <v>0</v>
      </c>
      <c r="J40" s="920">
        <v>0</v>
      </c>
      <c r="K40" s="1322">
        <v>0</v>
      </c>
      <c r="L40" s="61"/>
      <c r="M40" s="62"/>
      <c r="N40" s="62"/>
      <c r="O40" s="62"/>
      <c r="P40" s="62"/>
      <c r="Q40" s="62"/>
      <c r="R40" s="62"/>
      <c r="S40" s="62"/>
      <c r="T40" s="62"/>
      <c r="U40" s="62"/>
      <c r="V40" s="62"/>
      <c r="W40" s="62"/>
    </row>
    <row r="41" spans="1:23" ht="11.25" customHeight="1" x14ac:dyDescent="0.25">
      <c r="A41" s="63" t="str">
        <f>'Org structure'!E38</f>
        <v>4.3 - Office of Political office bearers</v>
      </c>
      <c r="B41" s="652"/>
      <c r="C41" s="920"/>
      <c r="D41" s="920"/>
      <c r="E41" s="1322"/>
      <c r="F41" s="1323">
        <v>5600000</v>
      </c>
      <c r="G41" s="920">
        <v>5600000</v>
      </c>
      <c r="H41" s="921">
        <v>5600000</v>
      </c>
      <c r="I41" s="1324">
        <v>6965664.5381633202</v>
      </c>
      <c r="J41" s="920">
        <f>I41*1.06</f>
        <v>7383604.4104531193</v>
      </c>
      <c r="K41" s="1322">
        <f>J41*1.06</f>
        <v>7826620.6750803068</v>
      </c>
      <c r="L41" s="61"/>
      <c r="M41" s="62"/>
      <c r="N41" s="62"/>
      <c r="O41" s="62"/>
      <c r="P41" s="62"/>
      <c r="Q41" s="62"/>
      <c r="R41" s="62"/>
      <c r="S41" s="62"/>
      <c r="T41" s="62"/>
      <c r="U41" s="62"/>
      <c r="V41" s="62"/>
      <c r="W41" s="62"/>
    </row>
    <row r="42" spans="1:23" ht="11.25" customHeight="1" x14ac:dyDescent="0.25">
      <c r="A42" s="63" t="str">
        <f>'Org structure'!E39</f>
        <v>4.4 - Property Management</v>
      </c>
      <c r="B42" s="652"/>
      <c r="C42" s="920"/>
      <c r="D42" s="920">
        <v>270625</v>
      </c>
      <c r="E42" s="1322">
        <v>424194.11</v>
      </c>
      <c r="F42" s="1323">
        <v>444857.59999999998</v>
      </c>
      <c r="G42" s="920">
        <v>459520.6</v>
      </c>
      <c r="H42" s="921">
        <v>459520.6</v>
      </c>
      <c r="I42" s="1324">
        <v>514411</v>
      </c>
      <c r="J42" s="920">
        <f>I42*1.06</f>
        <v>545275.66</v>
      </c>
      <c r="K42" s="1322">
        <f>J42*1.06</f>
        <v>577992.19960000005</v>
      </c>
      <c r="L42" s="61"/>
      <c r="M42" s="62"/>
      <c r="N42" s="62"/>
      <c r="O42" s="62"/>
      <c r="P42" s="62"/>
      <c r="Q42" s="62"/>
      <c r="R42" s="62"/>
      <c r="S42" s="62"/>
      <c r="T42" s="62"/>
      <c r="U42" s="62"/>
      <c r="V42" s="62"/>
      <c r="W42" s="62"/>
    </row>
    <row r="43" spans="1:23" ht="11.25" customHeight="1" x14ac:dyDescent="0.25">
      <c r="A43" s="63" t="str">
        <f>'Org structure'!E40</f>
        <v>4.5 - Labour relations &amp; Occupational health</v>
      </c>
      <c r="B43" s="652"/>
      <c r="C43" s="920"/>
      <c r="D43" s="920"/>
      <c r="E43" s="1322"/>
      <c r="F43" s="1323"/>
      <c r="G43" s="920">
        <v>0</v>
      </c>
      <c r="H43" s="921">
        <v>0</v>
      </c>
      <c r="I43" s="1324">
        <v>0</v>
      </c>
      <c r="J43" s="920">
        <v>0</v>
      </c>
      <c r="K43" s="1322">
        <v>0</v>
      </c>
      <c r="L43" s="61"/>
      <c r="M43" s="62"/>
      <c r="N43" s="62"/>
      <c r="O43" s="62"/>
      <c r="P43" s="62"/>
      <c r="Q43" s="62"/>
      <c r="R43" s="62"/>
      <c r="S43" s="62"/>
      <c r="T43" s="62"/>
      <c r="U43" s="62"/>
      <c r="V43" s="62"/>
      <c r="W43" s="62"/>
    </row>
    <row r="44" spans="1:23" ht="11.25" customHeight="1" x14ac:dyDescent="0.25">
      <c r="A44" s="63" t="str">
        <f>'Org structure'!E41</f>
        <v>4.6 - Training &amp; Development</v>
      </c>
      <c r="B44" s="652"/>
      <c r="C44" s="920"/>
      <c r="D44" s="920"/>
      <c r="E44" s="1322"/>
      <c r="F44" s="1323"/>
      <c r="G44" s="920">
        <v>0</v>
      </c>
      <c r="H44" s="921">
        <v>0</v>
      </c>
      <c r="I44" s="1324">
        <v>0</v>
      </c>
      <c r="J44" s="920">
        <v>0</v>
      </c>
      <c r="K44" s="1322">
        <v>0</v>
      </c>
      <c r="L44" s="61"/>
      <c r="M44" s="62"/>
      <c r="N44" s="62"/>
      <c r="O44" s="62"/>
      <c r="P44" s="62"/>
      <c r="Q44" s="62"/>
      <c r="R44" s="62"/>
      <c r="S44" s="62"/>
      <c r="T44" s="62"/>
      <c r="U44" s="62"/>
      <c r="V44" s="62"/>
      <c r="W44" s="62"/>
    </row>
    <row r="45" spans="1:23" ht="11.25" customHeight="1" x14ac:dyDescent="0.25">
      <c r="A45" s="63" t="str">
        <f>'Org structure'!E42</f>
        <v>4.7 - HR Administration</v>
      </c>
      <c r="B45" s="652"/>
      <c r="C45" s="920"/>
      <c r="D45" s="920"/>
      <c r="E45" s="1322"/>
      <c r="F45" s="1323"/>
      <c r="G45" s="920">
        <v>0</v>
      </c>
      <c r="H45" s="921">
        <v>0</v>
      </c>
      <c r="I45" s="1324">
        <v>0</v>
      </c>
      <c r="J45" s="920">
        <v>0</v>
      </c>
      <c r="K45" s="1322">
        <v>0</v>
      </c>
      <c r="L45" s="61"/>
      <c r="M45" s="62"/>
      <c r="N45" s="62"/>
      <c r="O45" s="62"/>
      <c r="P45" s="62"/>
      <c r="Q45" s="62"/>
      <c r="R45" s="62"/>
      <c r="S45" s="62"/>
      <c r="T45" s="62"/>
      <c r="U45" s="62"/>
      <c r="V45" s="62"/>
      <c r="W45" s="62"/>
    </row>
    <row r="46" spans="1:23" ht="11.25" customHeight="1" x14ac:dyDescent="0.25">
      <c r="A46" s="63" t="str">
        <f>'Org structure'!E43</f>
        <v>4.8 - Community facilities &amp; halls</v>
      </c>
      <c r="B46" s="652"/>
      <c r="C46" s="920"/>
      <c r="D46" s="920">
        <v>58168</v>
      </c>
      <c r="E46" s="1322">
        <v>63087.91</v>
      </c>
      <c r="F46" s="1323">
        <v>10292206</v>
      </c>
      <c r="G46" s="920">
        <v>10292206</v>
      </c>
      <c r="H46" s="921">
        <v>10292206</v>
      </c>
      <c r="I46" s="1324">
        <v>12751986</v>
      </c>
      <c r="J46" s="920">
        <f>I46*1.06</f>
        <v>13517105.16</v>
      </c>
      <c r="K46" s="1322">
        <f>J46*1.06</f>
        <v>14328131.469600001</v>
      </c>
      <c r="L46" s="61"/>
      <c r="M46" s="62"/>
      <c r="N46" s="62"/>
      <c r="O46" s="62"/>
      <c r="P46" s="62"/>
      <c r="Q46" s="62"/>
      <c r="R46" s="62"/>
      <c r="S46" s="62"/>
      <c r="T46" s="62"/>
      <c r="U46" s="62"/>
      <c r="V46" s="62"/>
      <c r="W46" s="62"/>
    </row>
    <row r="47" spans="1:23" ht="11.25" customHeight="1" x14ac:dyDescent="0.25">
      <c r="A47" s="63" t="str">
        <f>'Org structure'!E44</f>
        <v>4.9 - Museums &amp; art galleries</v>
      </c>
      <c r="B47" s="652"/>
      <c r="C47" s="920"/>
      <c r="D47" s="920">
        <v>655</v>
      </c>
      <c r="E47" s="1322"/>
      <c r="F47" s="1323">
        <v>977</v>
      </c>
      <c r="G47" s="920">
        <v>977</v>
      </c>
      <c r="H47" s="921">
        <v>977</v>
      </c>
      <c r="I47" s="1324">
        <v>1000</v>
      </c>
      <c r="J47" s="920">
        <f>I47*1.06</f>
        <v>1060</v>
      </c>
      <c r="K47" s="1322">
        <f>J47*1.06</f>
        <v>1123.6000000000001</v>
      </c>
      <c r="L47" s="61"/>
      <c r="M47" s="62"/>
      <c r="N47" s="62"/>
      <c r="O47" s="62"/>
      <c r="P47" s="62"/>
      <c r="Q47" s="62"/>
      <c r="R47" s="62"/>
      <c r="S47" s="62"/>
      <c r="T47" s="62"/>
      <c r="U47" s="62"/>
      <c r="V47" s="62"/>
      <c r="W47" s="62"/>
    </row>
    <row r="48" spans="1:23" ht="11.25" customHeight="1" x14ac:dyDescent="0.25">
      <c r="A48" s="63" t="str">
        <f>'Org structure'!E45</f>
        <v>4.10 - Special Projects Unit</v>
      </c>
      <c r="B48" s="652"/>
      <c r="C48" s="920"/>
      <c r="D48" s="920"/>
      <c r="E48" s="1322"/>
      <c r="F48" s="1323"/>
      <c r="G48" s="920">
        <v>0</v>
      </c>
      <c r="H48" s="921">
        <v>0</v>
      </c>
      <c r="I48" s="1324">
        <v>0</v>
      </c>
      <c r="J48" s="920">
        <v>0</v>
      </c>
      <c r="K48" s="1322">
        <v>0</v>
      </c>
      <c r="L48" s="61"/>
      <c r="M48" s="62"/>
      <c r="N48" s="62"/>
      <c r="O48" s="62"/>
      <c r="P48" s="62"/>
      <c r="Q48" s="62"/>
      <c r="R48" s="62"/>
      <c r="S48" s="62"/>
      <c r="T48" s="62"/>
      <c r="U48" s="62"/>
      <c r="V48" s="62"/>
      <c r="W48" s="62"/>
    </row>
    <row r="49" spans="1:23" ht="15" customHeight="1" x14ac:dyDescent="0.25">
      <c r="A49" s="189" t="str">
        <f>'Org structure'!A6</f>
        <v>Vote 5 - INFRASTRUCTURE SERVICES</v>
      </c>
      <c r="B49" s="663"/>
      <c r="C49" s="592">
        <f>SUM(C50:C59)</f>
        <v>0</v>
      </c>
      <c r="D49" s="592">
        <f t="shared" ref="D49:K49" si="4">SUM(D50:D59)</f>
        <v>183132552.15000004</v>
      </c>
      <c r="E49" s="595">
        <f t="shared" si="4"/>
        <v>199231460.87</v>
      </c>
      <c r="F49" s="594">
        <f t="shared" si="4"/>
        <v>225012123.84</v>
      </c>
      <c r="G49" s="592">
        <f t="shared" si="4"/>
        <v>256820774.84</v>
      </c>
      <c r="H49" s="593">
        <f t="shared" si="4"/>
        <v>256820774.84</v>
      </c>
      <c r="I49" s="610">
        <f t="shared" si="4"/>
        <v>263728671.06487641</v>
      </c>
      <c r="J49" s="592">
        <f t="shared" si="4"/>
        <v>279552391.32876903</v>
      </c>
      <c r="K49" s="595">
        <f t="shared" si="4"/>
        <v>296325534.8084951</v>
      </c>
      <c r="L49" s="61"/>
      <c r="M49" s="62"/>
      <c r="N49" s="62"/>
      <c r="O49" s="62"/>
      <c r="P49" s="62"/>
      <c r="Q49" s="62"/>
      <c r="R49" s="62"/>
      <c r="S49" s="62"/>
      <c r="T49" s="62"/>
      <c r="U49" s="62"/>
      <c r="V49" s="62"/>
      <c r="W49" s="62"/>
    </row>
    <row r="50" spans="1:23" ht="11.25" customHeight="1" x14ac:dyDescent="0.25">
      <c r="A50" s="63" t="str">
        <f>'Org structure'!E47</f>
        <v>5.1 - Executive support</v>
      </c>
      <c r="B50" s="652"/>
      <c r="C50" s="920"/>
      <c r="D50" s="920">
        <v>26117060</v>
      </c>
      <c r="E50" s="1322">
        <v>254216.15</v>
      </c>
      <c r="F50" s="1323">
        <v>1032000</v>
      </c>
      <c r="G50" s="920">
        <v>1206150</v>
      </c>
      <c r="H50" s="921">
        <v>1206150</v>
      </c>
      <c r="I50" s="1324">
        <v>1251000</v>
      </c>
      <c r="J50" s="920">
        <f t="shared" ref="J50:K54" si="5">I50*1.06</f>
        <v>1326060</v>
      </c>
      <c r="K50" s="1322">
        <f t="shared" si="5"/>
        <v>1405623.6</v>
      </c>
      <c r="L50" s="61"/>
      <c r="M50" s="62"/>
      <c r="N50" s="62"/>
      <c r="O50" s="62"/>
      <c r="P50" s="62"/>
      <c r="Q50" s="62"/>
      <c r="R50" s="62"/>
      <c r="S50" s="62"/>
      <c r="T50" s="62"/>
      <c r="U50" s="62"/>
      <c r="V50" s="62"/>
      <c r="W50" s="62"/>
    </row>
    <row r="51" spans="1:23" ht="11.25" customHeight="1" x14ac:dyDescent="0.25">
      <c r="A51" s="63" t="str">
        <f>'Org structure'!E48</f>
        <v xml:space="preserve">5.2 - Water services </v>
      </c>
      <c r="B51" s="652"/>
      <c r="C51" s="920"/>
      <c r="D51" s="920">
        <v>40829733.5</v>
      </c>
      <c r="E51" s="1322">
        <v>43622498.520000003</v>
      </c>
      <c r="F51" s="1323">
        <v>69327900</v>
      </c>
      <c r="G51" s="920">
        <v>93933872</v>
      </c>
      <c r="H51" s="921">
        <v>93933872</v>
      </c>
      <c r="I51" s="1324">
        <v>70222539.610263899</v>
      </c>
      <c r="J51" s="920">
        <f t="shared" si="5"/>
        <v>74435891.986879736</v>
      </c>
      <c r="K51" s="1322">
        <f t="shared" si="5"/>
        <v>78902045.506092519</v>
      </c>
      <c r="L51" s="61"/>
      <c r="M51" s="62"/>
      <c r="N51" s="62"/>
      <c r="O51" s="62"/>
      <c r="P51" s="62"/>
      <c r="Q51" s="62"/>
      <c r="R51" s="62"/>
      <c r="S51" s="62"/>
      <c r="T51" s="62"/>
      <c r="U51" s="62"/>
      <c r="V51" s="62"/>
      <c r="W51" s="62"/>
    </row>
    <row r="52" spans="1:23" ht="11.25" customHeight="1" x14ac:dyDescent="0.25">
      <c r="A52" s="63" t="str">
        <f>'Org structure'!E49</f>
        <v>5.3 - Public works</v>
      </c>
      <c r="B52" s="652"/>
      <c r="C52" s="920"/>
      <c r="D52" s="920">
        <f>2051+806</f>
        <v>2857</v>
      </c>
      <c r="E52" s="1322">
        <v>15079.15</v>
      </c>
      <c r="F52" s="1323">
        <v>9610698</v>
      </c>
      <c r="G52" s="920">
        <v>3126376</v>
      </c>
      <c r="H52" s="921">
        <v>3126376</v>
      </c>
      <c r="I52" s="1324">
        <v>10303134</v>
      </c>
      <c r="J52" s="920">
        <f t="shared" si="5"/>
        <v>10921322.040000001</v>
      </c>
      <c r="K52" s="1322">
        <f t="shared" si="5"/>
        <v>11576601.362400001</v>
      </c>
      <c r="L52" s="61"/>
      <c r="M52" s="62"/>
      <c r="N52" s="62"/>
      <c r="O52" s="62"/>
      <c r="P52" s="62"/>
      <c r="Q52" s="62"/>
      <c r="R52" s="62"/>
      <c r="S52" s="62"/>
      <c r="T52" s="62"/>
      <c r="U52" s="62"/>
      <c r="V52" s="62"/>
      <c r="W52" s="62"/>
    </row>
    <row r="53" spans="1:23" ht="11.25" customHeight="1" x14ac:dyDescent="0.25">
      <c r="A53" s="63" t="str">
        <f>'Org structure'!E50</f>
        <v>5.4 - Waste Water services</v>
      </c>
      <c r="B53" s="652"/>
      <c r="C53" s="920"/>
      <c r="D53" s="920">
        <v>3120761</v>
      </c>
      <c r="E53" s="1322">
        <v>15710654.050000001</v>
      </c>
      <c r="F53" s="1323">
        <v>24619426.82</v>
      </c>
      <c r="G53" s="920">
        <v>24619426.82</v>
      </c>
      <c r="H53" s="921">
        <v>24619426.82</v>
      </c>
      <c r="I53" s="1324">
        <v>34225060.554612502</v>
      </c>
      <c r="J53" s="920">
        <f t="shared" si="5"/>
        <v>36278564.187889256</v>
      </c>
      <c r="K53" s="1322">
        <f t="shared" si="5"/>
        <v>38455278.039162613</v>
      </c>
      <c r="L53" s="61"/>
      <c r="M53" s="62"/>
      <c r="N53" s="62"/>
      <c r="O53" s="62"/>
      <c r="P53" s="62"/>
      <c r="Q53" s="62"/>
      <c r="R53" s="62"/>
      <c r="S53" s="62"/>
      <c r="T53" s="62"/>
      <c r="U53" s="62"/>
      <c r="V53" s="62"/>
      <c r="W53" s="62"/>
    </row>
    <row r="54" spans="1:23" ht="11.25" customHeight="1" x14ac:dyDescent="0.25">
      <c r="A54" s="63" t="str">
        <f>'Org structure'!E51</f>
        <v>5.5 - Electrical Services</v>
      </c>
      <c r="B54" s="652"/>
      <c r="C54" s="920"/>
      <c r="D54" s="920">
        <v>88506857.980000004</v>
      </c>
      <c r="E54" s="1322">
        <f>111185609.03+587161.22</f>
        <v>111772770.25</v>
      </c>
      <c r="F54" s="1323">
        <v>119089978</v>
      </c>
      <c r="G54" s="920">
        <v>132602829</v>
      </c>
      <c r="H54" s="921">
        <v>132602829</v>
      </c>
      <c r="I54" s="1324">
        <v>145976031</v>
      </c>
      <c r="J54" s="920">
        <f t="shared" si="5"/>
        <v>154734592.86000001</v>
      </c>
      <c r="K54" s="1322">
        <f t="shared" si="5"/>
        <v>164018668.43160003</v>
      </c>
      <c r="L54" s="61"/>
      <c r="M54" s="62"/>
      <c r="N54" s="62"/>
      <c r="O54" s="62"/>
      <c r="P54" s="62"/>
      <c r="Q54" s="62"/>
      <c r="R54" s="62"/>
      <c r="S54" s="62"/>
      <c r="T54" s="62"/>
      <c r="U54" s="62"/>
      <c r="V54" s="62"/>
      <c r="W54" s="62"/>
    </row>
    <row r="55" spans="1:23" ht="11.25" customHeight="1" x14ac:dyDescent="0.25">
      <c r="A55" s="63" t="str">
        <f>'Org structure'!E52</f>
        <v>5.6 - Mechanical workshop</v>
      </c>
      <c r="B55" s="652"/>
      <c r="C55" s="920"/>
      <c r="D55" s="920"/>
      <c r="E55" s="1322"/>
      <c r="F55" s="1323"/>
      <c r="G55" s="920">
        <v>0</v>
      </c>
      <c r="H55" s="921">
        <v>0</v>
      </c>
      <c r="I55" s="1324"/>
      <c r="J55" s="920"/>
      <c r="K55" s="1322"/>
      <c r="L55" s="61"/>
      <c r="M55" s="62"/>
      <c r="N55" s="62"/>
      <c r="O55" s="62"/>
      <c r="P55" s="62"/>
      <c r="Q55" s="62"/>
      <c r="R55" s="62"/>
      <c r="S55" s="62"/>
      <c r="T55" s="62"/>
      <c r="U55" s="62"/>
      <c r="V55" s="62"/>
      <c r="W55" s="62"/>
    </row>
    <row r="56" spans="1:23" ht="11.25" customHeight="1" x14ac:dyDescent="0.25">
      <c r="A56" s="63" t="str">
        <f>'Org structure'!E53</f>
        <v>5.7 - PMU Capital projects &amp; GIS</v>
      </c>
      <c r="B56" s="652"/>
      <c r="C56" s="920"/>
      <c r="D56" s="920">
        <v>24555282.670000002</v>
      </c>
      <c r="E56" s="1322">
        <v>27856242.75</v>
      </c>
      <c r="F56" s="1323">
        <v>1013350</v>
      </c>
      <c r="G56" s="920">
        <v>1013350</v>
      </c>
      <c r="H56" s="921">
        <v>1013350</v>
      </c>
      <c r="I56" s="1324">
        <v>1370561.9</v>
      </c>
      <c r="J56" s="920">
        <f>I56*1.06</f>
        <v>1452795.6140000001</v>
      </c>
      <c r="K56" s="1322">
        <f>J56*1.06</f>
        <v>1539963.3508400002</v>
      </c>
      <c r="L56" s="61"/>
      <c r="M56" s="62"/>
      <c r="N56" s="62"/>
      <c r="O56" s="62"/>
      <c r="P56" s="62"/>
      <c r="Q56" s="62"/>
      <c r="R56" s="62"/>
      <c r="S56" s="62"/>
      <c r="T56" s="62"/>
      <c r="U56" s="62"/>
      <c r="V56" s="62"/>
      <c r="W56" s="62"/>
    </row>
    <row r="57" spans="1:23" ht="11.25" customHeight="1" x14ac:dyDescent="0.25">
      <c r="A57" s="63" t="str">
        <f>'Org structure'!E54</f>
        <v>5.8 - Town Planning</v>
      </c>
      <c r="B57" s="652"/>
      <c r="C57" s="920"/>
      <c r="D57" s="920"/>
      <c r="E57" s="1322"/>
      <c r="F57" s="1323">
        <v>318771.01999999996</v>
      </c>
      <c r="G57" s="920">
        <v>318771.01999999996</v>
      </c>
      <c r="H57" s="921">
        <v>318771.01999999996</v>
      </c>
      <c r="I57" s="1324">
        <v>380344</v>
      </c>
      <c r="J57" s="920">
        <f>I57*1.06</f>
        <v>403164.64</v>
      </c>
      <c r="K57" s="1322">
        <f>J57*1.06</f>
        <v>427354.51840000006</v>
      </c>
      <c r="L57" s="61"/>
      <c r="M57" s="62"/>
      <c r="N57" s="62"/>
      <c r="O57" s="62"/>
      <c r="P57" s="62"/>
      <c r="Q57" s="62"/>
      <c r="R57" s="62"/>
      <c r="S57" s="62"/>
      <c r="T57" s="62"/>
      <c r="U57" s="62"/>
      <c r="V57" s="62"/>
      <c r="W57" s="62"/>
    </row>
    <row r="58" spans="1:23" ht="11.25" customHeight="1" x14ac:dyDescent="0.25">
      <c r="A58" s="63" t="str">
        <f>'Org structure'!E55</f>
        <v>5.9 - Building Control</v>
      </c>
      <c r="B58" s="652"/>
      <c r="C58" s="920"/>
      <c r="D58" s="920"/>
      <c r="E58" s="1322"/>
      <c r="F58" s="1323"/>
      <c r="G58" s="920">
        <v>0</v>
      </c>
      <c r="H58" s="921">
        <v>0</v>
      </c>
      <c r="I58" s="1324"/>
      <c r="J58" s="920"/>
      <c r="K58" s="1322"/>
      <c r="L58" s="61"/>
      <c r="M58" s="62"/>
      <c r="N58" s="62"/>
      <c r="O58" s="62"/>
      <c r="P58" s="62"/>
      <c r="Q58" s="62"/>
      <c r="R58" s="62"/>
      <c r="S58" s="62"/>
      <c r="T58" s="62"/>
      <c r="U58" s="62"/>
      <c r="V58" s="62"/>
      <c r="W58" s="62"/>
    </row>
    <row r="59" spans="1:23" ht="11.25" customHeight="1" x14ac:dyDescent="0.25">
      <c r="A59" s="63" t="str">
        <f>'Org structure'!E56</f>
        <v>5.10 - Workshop Carpenter</v>
      </c>
      <c r="B59" s="652"/>
      <c r="C59" s="920"/>
      <c r="D59" s="920"/>
      <c r="E59" s="1322"/>
      <c r="F59" s="1323"/>
      <c r="G59" s="920"/>
      <c r="H59" s="921"/>
      <c r="I59" s="1324"/>
      <c r="J59" s="920"/>
      <c r="K59" s="1322"/>
      <c r="L59" s="61"/>
      <c r="M59" s="62"/>
      <c r="N59" s="62"/>
      <c r="O59" s="62"/>
      <c r="P59" s="62"/>
      <c r="Q59" s="62"/>
      <c r="R59" s="62"/>
      <c r="S59" s="62"/>
      <c r="T59" s="62"/>
      <c r="U59" s="62"/>
      <c r="V59" s="62"/>
      <c r="W59" s="62"/>
    </row>
    <row r="60" spans="1:23" ht="15" customHeight="1" x14ac:dyDescent="0.25">
      <c r="A60" s="189" t="str">
        <f>'Org structure'!A7</f>
        <v>Vote 6 - COMMUNITY SERVICES</v>
      </c>
      <c r="B60" s="663"/>
      <c r="C60" s="592">
        <f>SUM(C61:C71)</f>
        <v>0</v>
      </c>
      <c r="D60" s="592">
        <f t="shared" ref="D60:K60" si="6">SUM(D61:D71)</f>
        <v>13234364.790000001</v>
      </c>
      <c r="E60" s="592">
        <f t="shared" si="6"/>
        <v>21638679.310000002</v>
      </c>
      <c r="F60" s="592">
        <f t="shared" si="6"/>
        <v>39797969.5704</v>
      </c>
      <c r="G60" s="592">
        <f t="shared" si="6"/>
        <v>39921706.690400004</v>
      </c>
      <c r="H60" s="592">
        <f t="shared" si="6"/>
        <v>39921706.690400004</v>
      </c>
      <c r="I60" s="592">
        <f t="shared" si="6"/>
        <v>52812118.160479099</v>
      </c>
      <c r="J60" s="592">
        <f t="shared" si="6"/>
        <v>55980845.250107847</v>
      </c>
      <c r="K60" s="592">
        <f t="shared" si="6"/>
        <v>59339695.965114325</v>
      </c>
      <c r="L60" s="61"/>
      <c r="M60" s="62"/>
      <c r="N60" s="62"/>
      <c r="O60" s="62"/>
      <c r="P60" s="62"/>
      <c r="Q60" s="62"/>
      <c r="R60" s="62"/>
      <c r="S60" s="62"/>
      <c r="T60" s="62"/>
      <c r="U60" s="62"/>
      <c r="V60" s="62"/>
      <c r="W60" s="62"/>
    </row>
    <row r="61" spans="1:23" ht="11.25" customHeight="1" x14ac:dyDescent="0.25">
      <c r="A61" s="63" t="str">
        <f>'Org structure'!E58</f>
        <v>6.1 - Administrative support</v>
      </c>
      <c r="B61" s="652"/>
      <c r="C61" s="920"/>
      <c r="D61" s="920"/>
      <c r="E61" s="1322"/>
      <c r="F61" s="1323"/>
      <c r="G61" s="920">
        <v>0</v>
      </c>
      <c r="H61" s="921">
        <v>0</v>
      </c>
      <c r="I61" s="1324"/>
      <c r="J61" s="920"/>
      <c r="K61" s="1322"/>
      <c r="L61" s="61"/>
      <c r="M61" s="62"/>
      <c r="N61" s="62"/>
      <c r="O61" s="62"/>
      <c r="P61" s="62"/>
      <c r="Q61" s="62"/>
      <c r="R61" s="62"/>
      <c r="S61" s="62"/>
      <c r="T61" s="62"/>
      <c r="U61" s="62"/>
      <c r="V61" s="62"/>
      <c r="W61" s="62"/>
    </row>
    <row r="62" spans="1:23" ht="11.25" customHeight="1" x14ac:dyDescent="0.25">
      <c r="A62" s="63" t="str">
        <f>'Org structure'!E59</f>
        <v>6.2 - Parks, Cemetries &amp; public amenities</v>
      </c>
      <c r="B62" s="652"/>
      <c r="C62" s="920"/>
      <c r="D62" s="920">
        <f>70627+91313+207501</f>
        <v>369441</v>
      </c>
      <c r="E62" s="1322">
        <f>162926.43+239894.65+12816.79+59855.28</f>
        <v>475493.14999999991</v>
      </c>
      <c r="F62" s="1323">
        <v>3373207</v>
      </c>
      <c r="G62" s="920">
        <v>1247956</v>
      </c>
      <c r="H62" s="921">
        <v>1247956</v>
      </c>
      <c r="I62" s="1324">
        <v>788214</v>
      </c>
      <c r="J62" s="920">
        <f t="shared" ref="J62:K68" si="7">I62*1.06</f>
        <v>835506.84000000008</v>
      </c>
      <c r="K62" s="1322">
        <f t="shared" si="7"/>
        <v>885637.25040000014</v>
      </c>
      <c r="L62" s="61"/>
      <c r="M62" s="62"/>
      <c r="N62" s="62"/>
      <c r="O62" s="62"/>
      <c r="P62" s="62"/>
      <c r="Q62" s="62"/>
      <c r="R62" s="62"/>
      <c r="S62" s="62"/>
      <c r="T62" s="62"/>
      <c r="U62" s="62"/>
      <c r="V62" s="62"/>
      <c r="W62" s="62"/>
    </row>
    <row r="63" spans="1:23" ht="11.25" customHeight="1" x14ac:dyDescent="0.25">
      <c r="A63" s="63" t="str">
        <f>'Org structure'!E60</f>
        <v>6.3 - Library services</v>
      </c>
      <c r="B63" s="652"/>
      <c r="C63" s="920"/>
      <c r="D63" s="920">
        <v>2288179.3199999998</v>
      </c>
      <c r="E63" s="1322">
        <v>2295228.2200000002</v>
      </c>
      <c r="F63" s="1323">
        <v>2350006</v>
      </c>
      <c r="G63" s="920">
        <v>2360006</v>
      </c>
      <c r="H63" s="921">
        <v>2360006</v>
      </c>
      <c r="I63" s="1324">
        <v>2501100</v>
      </c>
      <c r="J63" s="920">
        <f t="shared" si="7"/>
        <v>2651166</v>
      </c>
      <c r="K63" s="1322">
        <f t="shared" si="7"/>
        <v>2810235.96</v>
      </c>
      <c r="L63" s="61"/>
      <c r="M63" s="62"/>
      <c r="N63" s="62"/>
      <c r="O63" s="62"/>
      <c r="P63" s="62"/>
      <c r="Q63" s="62"/>
      <c r="R63" s="62"/>
      <c r="S63" s="62"/>
      <c r="T63" s="62"/>
      <c r="U63" s="62"/>
      <c r="V63" s="62"/>
      <c r="W63" s="62"/>
    </row>
    <row r="64" spans="1:23" ht="11.25" customHeight="1" x14ac:dyDescent="0.25">
      <c r="A64" s="63" t="str">
        <f>'Org structure'!E61</f>
        <v>6.4 - Human Settlements</v>
      </c>
      <c r="B64" s="652"/>
      <c r="C64" s="920"/>
      <c r="D64" s="920">
        <v>1106938</v>
      </c>
      <c r="E64" s="1322">
        <v>296898.24</v>
      </c>
      <c r="F64" s="1323">
        <v>97647.88</v>
      </c>
      <c r="G64" s="920">
        <v>101378</v>
      </c>
      <c r="H64" s="921">
        <v>101378</v>
      </c>
      <c r="I64" s="1324">
        <v>12073.704</v>
      </c>
      <c r="J64" s="920">
        <f t="shared" si="7"/>
        <v>12798.12624</v>
      </c>
      <c r="K64" s="1322">
        <f t="shared" si="7"/>
        <v>13566.013814400001</v>
      </c>
      <c r="L64" s="61"/>
      <c r="M64" s="62"/>
      <c r="N64" s="62"/>
      <c r="O64" s="62"/>
      <c r="P64" s="62"/>
      <c r="Q64" s="62"/>
      <c r="R64" s="62"/>
      <c r="S64" s="62"/>
      <c r="T64" s="62"/>
      <c r="U64" s="62"/>
      <c r="V64" s="62"/>
      <c r="W64" s="62"/>
    </row>
    <row r="65" spans="1:23" ht="11.25" customHeight="1" x14ac:dyDescent="0.25">
      <c r="A65" s="63" t="str">
        <f>'Org structure'!E62</f>
        <v>6.5 - Environmental management</v>
      </c>
      <c r="B65" s="652"/>
      <c r="C65" s="920"/>
      <c r="D65" s="920">
        <v>1207547</v>
      </c>
      <c r="E65" s="1322">
        <v>1207547</v>
      </c>
      <c r="F65" s="1323">
        <v>1279999.82</v>
      </c>
      <c r="G65" s="920">
        <v>1369124.82</v>
      </c>
      <c r="H65" s="921">
        <v>1369124.82</v>
      </c>
      <c r="I65" s="1324">
        <v>1451272.5</v>
      </c>
      <c r="J65" s="920">
        <f t="shared" si="7"/>
        <v>1538348.85</v>
      </c>
      <c r="K65" s="1322">
        <f t="shared" si="7"/>
        <v>1630649.7810000002</v>
      </c>
      <c r="L65" s="61"/>
      <c r="M65" s="62"/>
      <c r="N65" s="62"/>
      <c r="O65" s="62"/>
      <c r="P65" s="62"/>
      <c r="Q65" s="62"/>
      <c r="R65" s="62"/>
      <c r="S65" s="62"/>
      <c r="T65" s="62"/>
      <c r="U65" s="62"/>
      <c r="V65" s="62"/>
      <c r="W65" s="62"/>
    </row>
    <row r="66" spans="1:23" ht="11.25" customHeight="1" x14ac:dyDescent="0.25">
      <c r="A66" s="63" t="str">
        <f>'Org structure'!E63</f>
        <v>6.6 - Traffic &amp; law enforcement services</v>
      </c>
      <c r="B66" s="652"/>
      <c r="C66" s="920"/>
      <c r="D66" s="920">
        <f>212863+838</f>
        <v>213701</v>
      </c>
      <c r="E66" s="1322">
        <v>83954.42</v>
      </c>
      <c r="F66" s="1323">
        <v>125300</v>
      </c>
      <c r="G66" s="920">
        <v>25300</v>
      </c>
      <c r="H66" s="921">
        <v>25300</v>
      </c>
      <c r="I66" s="1324">
        <v>15300</v>
      </c>
      <c r="J66" s="920">
        <f t="shared" si="7"/>
        <v>16218</v>
      </c>
      <c r="K66" s="1322">
        <f t="shared" si="7"/>
        <v>17191.080000000002</v>
      </c>
      <c r="L66" s="61"/>
      <c r="M66" s="62"/>
      <c r="N66" s="62"/>
      <c r="O66" s="62"/>
      <c r="P66" s="62"/>
      <c r="Q66" s="62"/>
      <c r="R66" s="62"/>
      <c r="S66" s="62"/>
      <c r="T66" s="62"/>
      <c r="U66" s="62"/>
      <c r="V66" s="62"/>
      <c r="W66" s="62"/>
    </row>
    <row r="67" spans="1:23" ht="11.25" customHeight="1" x14ac:dyDescent="0.25">
      <c r="A67" s="63" t="str">
        <f>'Org structure'!E64</f>
        <v>6.7 - Driving license testing station; Motor vehicle registration &amp; Vehicle testing station</v>
      </c>
      <c r="B67" s="652"/>
      <c r="C67" s="920"/>
      <c r="D67" s="920">
        <v>3200305.47</v>
      </c>
      <c r="E67" s="1322">
        <f>1621033.7-E66</f>
        <v>1537079.28</v>
      </c>
      <c r="F67" s="1323">
        <v>4183060.8703999999</v>
      </c>
      <c r="G67" s="920">
        <v>4087692.8703999999</v>
      </c>
      <c r="H67" s="921">
        <v>4087692.8703999999</v>
      </c>
      <c r="I67" s="1324">
        <v>5320779</v>
      </c>
      <c r="J67" s="920">
        <f t="shared" si="7"/>
        <v>5640025.7400000002</v>
      </c>
      <c r="K67" s="1322">
        <f t="shared" si="7"/>
        <v>5978427.2844000002</v>
      </c>
      <c r="L67" s="61"/>
      <c r="M67" s="62"/>
      <c r="N67" s="62"/>
      <c r="O67" s="62"/>
      <c r="P67" s="62"/>
      <c r="Q67" s="62"/>
      <c r="R67" s="62"/>
      <c r="S67" s="62"/>
      <c r="T67" s="62"/>
      <c r="U67" s="62"/>
      <c r="V67" s="62"/>
      <c r="W67" s="62"/>
    </row>
    <row r="68" spans="1:23" ht="11.25" customHeight="1" x14ac:dyDescent="0.25">
      <c r="A68" s="63" t="str">
        <f>'Org structure'!E65</f>
        <v>6.8 - Disaster management &amp; Fire services</v>
      </c>
      <c r="B68" s="652"/>
      <c r="C68" s="920"/>
      <c r="D68" s="920">
        <v>1672482</v>
      </c>
      <c r="E68" s="1322">
        <v>926744.74</v>
      </c>
      <c r="F68" s="1323">
        <v>1965558</v>
      </c>
      <c r="G68" s="920">
        <v>1883928</v>
      </c>
      <c r="H68" s="921">
        <v>1883928</v>
      </c>
      <c r="I68" s="1324">
        <v>1999032.8</v>
      </c>
      <c r="J68" s="920">
        <f t="shared" si="7"/>
        <v>2118974.7680000002</v>
      </c>
      <c r="K68" s="1322">
        <f t="shared" si="7"/>
        <v>2246113.2540800003</v>
      </c>
      <c r="L68" s="61"/>
      <c r="M68" s="62"/>
      <c r="N68" s="62"/>
      <c r="O68" s="62"/>
      <c r="P68" s="62"/>
      <c r="Q68" s="62"/>
      <c r="R68" s="62"/>
      <c r="S68" s="62"/>
      <c r="T68" s="62"/>
      <c r="U68" s="62"/>
      <c r="V68" s="62"/>
      <c r="W68" s="62"/>
    </row>
    <row r="69" spans="1:23" ht="11.25" customHeight="1" x14ac:dyDescent="0.25">
      <c r="A69" s="63" t="str">
        <f>'Org structure'!E66</f>
        <v>6.9 - Area Cleansing</v>
      </c>
      <c r="B69" s="652"/>
      <c r="C69" s="920"/>
      <c r="D69" s="920"/>
      <c r="E69" s="1322"/>
      <c r="F69" s="1323"/>
      <c r="G69" s="920">
        <v>0</v>
      </c>
      <c r="H69" s="921">
        <v>0</v>
      </c>
      <c r="I69" s="1324">
        <v>0</v>
      </c>
      <c r="J69" s="920">
        <v>0</v>
      </c>
      <c r="K69" s="1322">
        <f>J69*1.06</f>
        <v>0</v>
      </c>
      <c r="L69" s="61"/>
      <c r="M69" s="62"/>
      <c r="N69" s="62"/>
      <c r="O69" s="62"/>
      <c r="P69" s="62"/>
      <c r="Q69" s="62"/>
      <c r="R69" s="62"/>
      <c r="S69" s="62"/>
      <c r="T69" s="62"/>
      <c r="U69" s="62"/>
      <c r="V69" s="62"/>
      <c r="W69" s="62"/>
    </row>
    <row r="70" spans="1:23" ht="11.25" customHeight="1" x14ac:dyDescent="0.25">
      <c r="A70" s="63" t="str">
        <f>'Org structure'!E67</f>
        <v>6.10 - Refuse removal, Skips &amp; illegal dumping</v>
      </c>
      <c r="B70" s="652"/>
      <c r="C70" s="920"/>
      <c r="D70" s="920">
        <v>3175771</v>
      </c>
      <c r="E70" s="1322">
        <v>14815734.26</v>
      </c>
      <c r="F70" s="1323">
        <v>26423190</v>
      </c>
      <c r="G70" s="920">
        <v>28846321</v>
      </c>
      <c r="H70" s="921">
        <v>28846321</v>
      </c>
      <c r="I70" s="1324">
        <v>40724346.156479098</v>
      </c>
      <c r="J70" s="920">
        <f>I70*1.06</f>
        <v>43167806.925867848</v>
      </c>
      <c r="K70" s="1322">
        <f>J70*1.06</f>
        <v>45757875.34141992</v>
      </c>
      <c r="L70" s="61"/>
      <c r="M70" s="62"/>
      <c r="N70" s="62"/>
      <c r="O70" s="62"/>
      <c r="P70" s="62"/>
      <c r="Q70" s="62"/>
      <c r="R70" s="62"/>
      <c r="S70" s="62"/>
      <c r="T70" s="62"/>
      <c r="U70" s="62"/>
      <c r="V70" s="62"/>
      <c r="W70" s="62"/>
    </row>
    <row r="71" spans="1:23" ht="11.25" customHeight="1" x14ac:dyDescent="0.25">
      <c r="A71" s="63" t="str">
        <f>'Org structure'!E68</f>
        <v>6.11 - Landfill sites &amp; transfer stations</v>
      </c>
      <c r="B71" s="652"/>
      <c r="C71" s="920"/>
      <c r="D71" s="920"/>
      <c r="E71" s="1322"/>
      <c r="F71" s="1323"/>
      <c r="G71" s="920"/>
      <c r="H71" s="921"/>
      <c r="I71" s="1324">
        <v>0</v>
      </c>
      <c r="J71" s="920">
        <v>0</v>
      </c>
      <c r="K71" s="1322">
        <f>J71*1.06</f>
        <v>0</v>
      </c>
      <c r="L71" s="61"/>
      <c r="M71" s="62"/>
      <c r="N71" s="62"/>
      <c r="O71" s="62"/>
      <c r="P71" s="62"/>
      <c r="Q71" s="62"/>
      <c r="R71" s="62"/>
      <c r="S71" s="62"/>
      <c r="T71" s="62"/>
      <c r="U71" s="62"/>
      <c r="V71" s="62"/>
      <c r="W71" s="62"/>
    </row>
    <row r="72" spans="1:23" ht="15" customHeight="1" x14ac:dyDescent="0.25">
      <c r="A72" s="189" t="str">
        <f>'Org structure'!A8</f>
        <v>Vote 7 - [NAME OF VOTE 7]</v>
      </c>
      <c r="B72" s="663"/>
      <c r="C72" s="592">
        <f>SUM(C73:C82)</f>
        <v>0</v>
      </c>
      <c r="D72" s="592">
        <f t="shared" ref="D72:K72" si="8">SUM(D73:D82)</f>
        <v>0</v>
      </c>
      <c r="E72" s="595">
        <f t="shared" si="8"/>
        <v>0</v>
      </c>
      <c r="F72" s="594">
        <f t="shared" si="8"/>
        <v>0</v>
      </c>
      <c r="G72" s="592">
        <f t="shared" si="8"/>
        <v>0</v>
      </c>
      <c r="H72" s="593">
        <f t="shared" si="8"/>
        <v>0</v>
      </c>
      <c r="I72" s="610">
        <f t="shared" si="8"/>
        <v>0</v>
      </c>
      <c r="J72" s="592">
        <f t="shared" si="8"/>
        <v>0</v>
      </c>
      <c r="K72" s="595">
        <f t="shared" si="8"/>
        <v>0</v>
      </c>
      <c r="L72" s="61"/>
      <c r="M72" s="62"/>
      <c r="N72" s="62"/>
      <c r="O72" s="62"/>
      <c r="P72" s="62"/>
      <c r="Q72" s="62"/>
      <c r="R72" s="62"/>
      <c r="S72" s="62"/>
      <c r="T72" s="62"/>
      <c r="U72" s="62"/>
      <c r="V72" s="62"/>
      <c r="W72" s="62"/>
    </row>
    <row r="73" spans="1:23" ht="11.25" customHeight="1" x14ac:dyDescent="0.25">
      <c r="A73" s="63" t="str">
        <f>'Org structure'!E70</f>
        <v>7.1 - [Name of sub-vote]</v>
      </c>
      <c r="B73" s="652"/>
      <c r="C73" s="920"/>
      <c r="D73" s="920"/>
      <c r="E73" s="1322"/>
      <c r="F73" s="1323"/>
      <c r="G73" s="920"/>
      <c r="H73" s="921"/>
      <c r="I73" s="1324"/>
      <c r="J73" s="920"/>
      <c r="K73" s="1322"/>
      <c r="L73" s="61"/>
      <c r="M73" s="62"/>
      <c r="N73" s="62"/>
      <c r="O73" s="62"/>
      <c r="P73" s="62"/>
      <c r="Q73" s="62"/>
      <c r="R73" s="62"/>
      <c r="S73" s="62"/>
      <c r="T73" s="62"/>
      <c r="U73" s="62"/>
      <c r="V73" s="62"/>
      <c r="W73" s="62"/>
    </row>
    <row r="74" spans="1:23" ht="11.25" customHeight="1" x14ac:dyDescent="0.25">
      <c r="A74" s="63">
        <f>'Org structure'!E71</f>
        <v>0</v>
      </c>
      <c r="B74" s="652"/>
      <c r="C74" s="920"/>
      <c r="D74" s="920"/>
      <c r="E74" s="1322"/>
      <c r="F74" s="1323"/>
      <c r="G74" s="920"/>
      <c r="H74" s="921"/>
      <c r="I74" s="1324"/>
      <c r="J74" s="920"/>
      <c r="K74" s="1322"/>
      <c r="L74" s="61"/>
      <c r="M74" s="62"/>
      <c r="N74" s="62"/>
      <c r="O74" s="62"/>
      <c r="P74" s="62"/>
      <c r="Q74" s="62"/>
      <c r="R74" s="62"/>
      <c r="S74" s="62"/>
      <c r="T74" s="62"/>
      <c r="U74" s="62"/>
      <c r="V74" s="62"/>
      <c r="W74" s="62"/>
    </row>
    <row r="75" spans="1:23" ht="11.25" customHeight="1" x14ac:dyDescent="0.25">
      <c r="A75" s="63">
        <f>'Org structure'!E72</f>
        <v>0</v>
      </c>
      <c r="B75" s="652"/>
      <c r="C75" s="920"/>
      <c r="D75" s="920"/>
      <c r="E75" s="1322"/>
      <c r="F75" s="1323"/>
      <c r="G75" s="920"/>
      <c r="H75" s="921"/>
      <c r="I75" s="1324"/>
      <c r="J75" s="920"/>
      <c r="K75" s="1322"/>
      <c r="L75" s="61"/>
      <c r="M75" s="62"/>
      <c r="N75" s="62"/>
      <c r="O75" s="62"/>
      <c r="P75" s="62"/>
      <c r="Q75" s="62"/>
      <c r="R75" s="62"/>
      <c r="S75" s="62"/>
      <c r="T75" s="62"/>
      <c r="U75" s="62"/>
      <c r="V75" s="62"/>
      <c r="W75" s="62"/>
    </row>
    <row r="76" spans="1:23" ht="11.25" customHeight="1" x14ac:dyDescent="0.25">
      <c r="A76" s="63">
        <f>'Org structure'!E73</f>
        <v>0</v>
      </c>
      <c r="B76" s="652"/>
      <c r="C76" s="920"/>
      <c r="D76" s="920"/>
      <c r="E76" s="1322"/>
      <c r="F76" s="1323"/>
      <c r="G76" s="920"/>
      <c r="H76" s="921"/>
      <c r="I76" s="1324"/>
      <c r="J76" s="920"/>
      <c r="K76" s="1322"/>
      <c r="L76" s="61"/>
      <c r="M76" s="62"/>
      <c r="N76" s="62"/>
      <c r="O76" s="62"/>
      <c r="P76" s="62"/>
      <c r="Q76" s="62"/>
      <c r="R76" s="62"/>
      <c r="S76" s="62"/>
      <c r="T76" s="62"/>
      <c r="U76" s="62"/>
      <c r="V76" s="62"/>
      <c r="W76" s="62"/>
    </row>
    <row r="77" spans="1:23" ht="11.25" customHeight="1" x14ac:dyDescent="0.25">
      <c r="A77" s="63">
        <f>'Org structure'!E74</f>
        <v>0</v>
      </c>
      <c r="B77" s="652"/>
      <c r="C77" s="920"/>
      <c r="D77" s="920"/>
      <c r="E77" s="1322"/>
      <c r="F77" s="1323"/>
      <c r="G77" s="920"/>
      <c r="H77" s="921"/>
      <c r="I77" s="1324"/>
      <c r="J77" s="920"/>
      <c r="K77" s="1322"/>
      <c r="L77" s="61"/>
      <c r="M77" s="62"/>
      <c r="N77" s="62"/>
      <c r="O77" s="62"/>
      <c r="P77" s="62"/>
      <c r="Q77" s="62"/>
      <c r="R77" s="62"/>
      <c r="S77" s="62"/>
      <c r="T77" s="62"/>
      <c r="U77" s="62"/>
      <c r="V77" s="62"/>
      <c r="W77" s="62"/>
    </row>
    <row r="78" spans="1:23" ht="11.25" customHeight="1" x14ac:dyDescent="0.25">
      <c r="A78" s="63">
        <f>'Org structure'!E75</f>
        <v>0</v>
      </c>
      <c r="B78" s="652"/>
      <c r="C78" s="920"/>
      <c r="D78" s="920"/>
      <c r="E78" s="1322"/>
      <c r="F78" s="1323"/>
      <c r="G78" s="920"/>
      <c r="H78" s="921"/>
      <c r="I78" s="1324"/>
      <c r="J78" s="920"/>
      <c r="K78" s="1322"/>
      <c r="L78" s="61"/>
      <c r="M78" s="62"/>
      <c r="N78" s="62"/>
      <c r="O78" s="62"/>
      <c r="P78" s="62"/>
      <c r="Q78" s="62"/>
      <c r="R78" s="62"/>
      <c r="S78" s="62"/>
      <c r="T78" s="62"/>
      <c r="U78" s="62"/>
      <c r="V78" s="62"/>
      <c r="W78" s="62"/>
    </row>
    <row r="79" spans="1:23" ht="11.25" customHeight="1" x14ac:dyDescent="0.25">
      <c r="A79" s="63">
        <f>'Org structure'!E76</f>
        <v>0</v>
      </c>
      <c r="B79" s="652"/>
      <c r="C79" s="920"/>
      <c r="D79" s="920"/>
      <c r="E79" s="1322"/>
      <c r="F79" s="1323"/>
      <c r="G79" s="920"/>
      <c r="H79" s="921"/>
      <c r="I79" s="1324"/>
      <c r="J79" s="920"/>
      <c r="K79" s="1322"/>
      <c r="L79" s="68"/>
      <c r="M79" s="69"/>
      <c r="N79" s="69"/>
      <c r="O79" s="69"/>
      <c r="P79" s="69"/>
      <c r="Q79" s="69"/>
      <c r="R79" s="69"/>
      <c r="S79" s="69"/>
      <c r="T79" s="69"/>
      <c r="U79" s="69"/>
      <c r="V79" s="69"/>
      <c r="W79" s="69"/>
    </row>
    <row r="80" spans="1:23" ht="11.25" customHeight="1" x14ac:dyDescent="0.25">
      <c r="A80" s="63">
        <f>'Org structure'!E77</f>
        <v>0</v>
      </c>
      <c r="B80" s="652"/>
      <c r="C80" s="920"/>
      <c r="D80" s="920"/>
      <c r="E80" s="1322"/>
      <c r="F80" s="1323"/>
      <c r="G80" s="920"/>
      <c r="H80" s="921"/>
      <c r="I80" s="1324"/>
      <c r="J80" s="920"/>
      <c r="K80" s="1322"/>
      <c r="L80" s="68"/>
      <c r="M80" s="69"/>
      <c r="N80" s="69"/>
      <c r="O80" s="69"/>
      <c r="P80" s="69"/>
      <c r="Q80" s="69"/>
      <c r="R80" s="69"/>
      <c r="S80" s="69"/>
      <c r="T80" s="69"/>
      <c r="U80" s="69"/>
      <c r="V80" s="69"/>
      <c r="W80" s="69"/>
    </row>
    <row r="81" spans="1:23" ht="11.25" customHeight="1" x14ac:dyDescent="0.25">
      <c r="A81" s="63">
        <f>'Org structure'!E78</f>
        <v>0</v>
      </c>
      <c r="B81" s="652"/>
      <c r="C81" s="920"/>
      <c r="D81" s="920"/>
      <c r="E81" s="1322"/>
      <c r="F81" s="1323"/>
      <c r="G81" s="920"/>
      <c r="H81" s="921"/>
      <c r="I81" s="1324"/>
      <c r="J81" s="920"/>
      <c r="K81" s="1322"/>
      <c r="L81" s="68"/>
      <c r="M81" s="69"/>
      <c r="N81" s="69"/>
      <c r="O81" s="69"/>
      <c r="P81" s="69"/>
      <c r="Q81" s="69"/>
      <c r="R81" s="69"/>
      <c r="S81" s="69"/>
      <c r="T81" s="69"/>
      <c r="U81" s="69"/>
      <c r="V81" s="69"/>
      <c r="W81" s="69"/>
    </row>
    <row r="82" spans="1:23" ht="11.25" customHeight="1" x14ac:dyDescent="0.25">
      <c r="A82" s="63">
        <f>'Org structure'!E79</f>
        <v>0</v>
      </c>
      <c r="B82" s="652"/>
      <c r="C82" s="920"/>
      <c r="D82" s="920"/>
      <c r="E82" s="1322"/>
      <c r="F82" s="1323"/>
      <c r="G82" s="920"/>
      <c r="H82" s="921"/>
      <c r="I82" s="1324"/>
      <c r="J82" s="920"/>
      <c r="K82" s="1322"/>
      <c r="L82" s="68"/>
      <c r="M82" s="69"/>
      <c r="N82" s="69"/>
      <c r="O82" s="69"/>
      <c r="P82" s="69"/>
      <c r="Q82" s="69"/>
      <c r="R82" s="69"/>
      <c r="S82" s="69"/>
      <c r="T82" s="69"/>
      <c r="U82" s="69"/>
      <c r="V82" s="69"/>
      <c r="W82" s="69"/>
    </row>
    <row r="83" spans="1:23" ht="15" customHeight="1" x14ac:dyDescent="0.25">
      <c r="A83" s="189" t="str">
        <f>'Org structure'!A9</f>
        <v>Vote 8 - [NAME OF VOTE 8]</v>
      </c>
      <c r="B83" s="652"/>
      <c r="C83" s="592">
        <f>SUM(C84:C93)</f>
        <v>0</v>
      </c>
      <c r="D83" s="592">
        <f t="shared" ref="D83:K83" si="9">SUM(D84:D93)</f>
        <v>0</v>
      </c>
      <c r="E83" s="595">
        <f t="shared" si="9"/>
        <v>0</v>
      </c>
      <c r="F83" s="594">
        <f t="shared" si="9"/>
        <v>0</v>
      </c>
      <c r="G83" s="592">
        <f t="shared" si="9"/>
        <v>0</v>
      </c>
      <c r="H83" s="593">
        <f t="shared" si="9"/>
        <v>0</v>
      </c>
      <c r="I83" s="610">
        <f t="shared" si="9"/>
        <v>0</v>
      </c>
      <c r="J83" s="592">
        <f t="shared" si="9"/>
        <v>0</v>
      </c>
      <c r="K83" s="595">
        <f t="shared" si="9"/>
        <v>0</v>
      </c>
      <c r="L83" s="68"/>
      <c r="M83" s="69"/>
      <c r="N83" s="69"/>
      <c r="O83" s="69"/>
      <c r="P83" s="69"/>
      <c r="Q83" s="69"/>
      <c r="R83" s="69"/>
      <c r="S83" s="69"/>
      <c r="T83" s="69"/>
      <c r="U83" s="69"/>
      <c r="V83" s="69"/>
      <c r="W83" s="69"/>
    </row>
    <row r="84" spans="1:23" ht="11.25" customHeight="1" x14ac:dyDescent="0.25">
      <c r="A84" s="63" t="str">
        <f>'Org structure'!E81</f>
        <v>8.1 - [Name of sub-vote]</v>
      </c>
      <c r="B84" s="652"/>
      <c r="C84" s="920"/>
      <c r="D84" s="920"/>
      <c r="E84" s="1322"/>
      <c r="F84" s="1323"/>
      <c r="G84" s="920"/>
      <c r="H84" s="921"/>
      <c r="I84" s="1324"/>
      <c r="J84" s="920"/>
      <c r="K84" s="1322"/>
      <c r="L84" s="68"/>
      <c r="M84" s="69"/>
      <c r="N84" s="69"/>
      <c r="O84" s="69"/>
      <c r="P84" s="69"/>
      <c r="Q84" s="69"/>
      <c r="R84" s="69"/>
      <c r="S84" s="69"/>
      <c r="T84" s="69"/>
      <c r="U84" s="69"/>
      <c r="V84" s="69"/>
      <c r="W84" s="69"/>
    </row>
    <row r="85" spans="1:23" ht="11.25" customHeight="1" x14ac:dyDescent="0.25">
      <c r="A85" s="63">
        <f>'Org structure'!E82</f>
        <v>0</v>
      </c>
      <c r="B85" s="652"/>
      <c r="C85" s="920"/>
      <c r="D85" s="920"/>
      <c r="E85" s="1322"/>
      <c r="F85" s="1323"/>
      <c r="G85" s="920"/>
      <c r="H85" s="921"/>
      <c r="I85" s="1324"/>
      <c r="J85" s="920"/>
      <c r="K85" s="1322"/>
      <c r="L85" s="68"/>
      <c r="M85" s="69"/>
      <c r="N85" s="69"/>
      <c r="O85" s="69"/>
      <c r="P85" s="69"/>
      <c r="Q85" s="69"/>
      <c r="R85" s="69"/>
      <c r="S85" s="69"/>
      <c r="T85" s="69"/>
      <c r="U85" s="69"/>
      <c r="V85" s="69"/>
      <c r="W85" s="69"/>
    </row>
    <row r="86" spans="1:23" ht="11.25" customHeight="1" x14ac:dyDescent="0.25">
      <c r="A86" s="63">
        <f>'Org structure'!E83</f>
        <v>0</v>
      </c>
      <c r="B86" s="652"/>
      <c r="C86" s="920"/>
      <c r="D86" s="920"/>
      <c r="E86" s="1322"/>
      <c r="F86" s="1323"/>
      <c r="G86" s="920"/>
      <c r="H86" s="921"/>
      <c r="I86" s="1324"/>
      <c r="J86" s="920"/>
      <c r="K86" s="1322"/>
      <c r="L86" s="68"/>
      <c r="M86" s="69"/>
      <c r="N86" s="69"/>
      <c r="O86" s="69"/>
      <c r="P86" s="69"/>
      <c r="Q86" s="69"/>
      <c r="R86" s="69"/>
      <c r="S86" s="69"/>
      <c r="T86" s="69"/>
      <c r="U86" s="69"/>
      <c r="V86" s="69"/>
      <c r="W86" s="69"/>
    </row>
    <row r="87" spans="1:23" ht="11.25" customHeight="1" x14ac:dyDescent="0.25">
      <c r="A87" s="63">
        <f>'Org structure'!E84</f>
        <v>0</v>
      </c>
      <c r="B87" s="652"/>
      <c r="C87" s="920"/>
      <c r="D87" s="920"/>
      <c r="E87" s="1322"/>
      <c r="F87" s="1323"/>
      <c r="G87" s="920"/>
      <c r="H87" s="921"/>
      <c r="I87" s="1324"/>
      <c r="J87" s="920"/>
      <c r="K87" s="1322"/>
      <c r="L87" s="68"/>
      <c r="M87" s="69"/>
      <c r="N87" s="69"/>
      <c r="O87" s="69"/>
      <c r="P87" s="69"/>
      <c r="Q87" s="69"/>
      <c r="R87" s="69"/>
      <c r="S87" s="69"/>
      <c r="T87" s="69"/>
      <c r="U87" s="69"/>
      <c r="V87" s="69"/>
      <c r="W87" s="69"/>
    </row>
    <row r="88" spans="1:23" ht="11.25" customHeight="1" x14ac:dyDescent="0.25">
      <c r="A88" s="63">
        <f>'Org structure'!E85</f>
        <v>0</v>
      </c>
      <c r="B88" s="652"/>
      <c r="C88" s="920"/>
      <c r="D88" s="920"/>
      <c r="E88" s="1322"/>
      <c r="F88" s="1323"/>
      <c r="G88" s="920"/>
      <c r="H88" s="921"/>
      <c r="I88" s="1324"/>
      <c r="J88" s="920"/>
      <c r="K88" s="1322"/>
      <c r="L88" s="68"/>
      <c r="M88" s="69"/>
      <c r="N88" s="69"/>
      <c r="O88" s="69"/>
      <c r="P88" s="69"/>
      <c r="Q88" s="69"/>
      <c r="R88" s="69"/>
      <c r="S88" s="69"/>
      <c r="T88" s="69"/>
      <c r="U88" s="69"/>
      <c r="V88" s="69"/>
      <c r="W88" s="69"/>
    </row>
    <row r="89" spans="1:23" ht="11.25" customHeight="1" x14ac:dyDescent="0.25">
      <c r="A89" s="63">
        <f>'Org structure'!E86</f>
        <v>0</v>
      </c>
      <c r="B89" s="652"/>
      <c r="C89" s="920"/>
      <c r="D89" s="920"/>
      <c r="E89" s="1322"/>
      <c r="F89" s="1323"/>
      <c r="G89" s="920"/>
      <c r="H89" s="921"/>
      <c r="I89" s="1324"/>
      <c r="J89" s="920"/>
      <c r="K89" s="1322"/>
      <c r="L89" s="68"/>
      <c r="M89" s="69"/>
      <c r="N89" s="69"/>
      <c r="O89" s="69"/>
      <c r="P89" s="69"/>
      <c r="Q89" s="69"/>
      <c r="R89" s="69"/>
      <c r="S89" s="69"/>
      <c r="T89" s="69"/>
      <c r="U89" s="69"/>
      <c r="V89" s="69"/>
      <c r="W89" s="69"/>
    </row>
    <row r="90" spans="1:23" ht="11.25" customHeight="1" x14ac:dyDescent="0.25">
      <c r="A90" s="63">
        <f>'Org structure'!E87</f>
        <v>0</v>
      </c>
      <c r="B90" s="652"/>
      <c r="C90" s="920"/>
      <c r="D90" s="920"/>
      <c r="E90" s="1322"/>
      <c r="F90" s="1323"/>
      <c r="G90" s="920"/>
      <c r="H90" s="921"/>
      <c r="I90" s="1324"/>
      <c r="J90" s="920"/>
      <c r="K90" s="1322"/>
      <c r="L90" s="68"/>
      <c r="M90" s="69"/>
      <c r="N90" s="69"/>
      <c r="O90" s="69"/>
      <c r="P90" s="69"/>
      <c r="Q90" s="69"/>
      <c r="R90" s="69"/>
      <c r="S90" s="69"/>
      <c r="T90" s="69"/>
      <c r="U90" s="69"/>
      <c r="V90" s="69"/>
      <c r="W90" s="69"/>
    </row>
    <row r="91" spans="1:23" ht="11.25" customHeight="1" x14ac:dyDescent="0.25">
      <c r="A91" s="63">
        <f>'Org structure'!E88</f>
        <v>0</v>
      </c>
      <c r="B91" s="652"/>
      <c r="C91" s="920"/>
      <c r="D91" s="920"/>
      <c r="E91" s="1322"/>
      <c r="F91" s="1323"/>
      <c r="G91" s="920"/>
      <c r="H91" s="921"/>
      <c r="I91" s="1324"/>
      <c r="J91" s="920"/>
      <c r="K91" s="1322"/>
      <c r="L91" s="68"/>
      <c r="M91" s="69"/>
      <c r="N91" s="69"/>
      <c r="O91" s="69"/>
      <c r="P91" s="69"/>
      <c r="Q91" s="69"/>
      <c r="R91" s="69"/>
      <c r="S91" s="69"/>
      <c r="T91" s="69"/>
      <c r="U91" s="69"/>
      <c r="V91" s="69"/>
      <c r="W91" s="69"/>
    </row>
    <row r="92" spans="1:23" ht="11.25" customHeight="1" x14ac:dyDescent="0.25">
      <c r="A92" s="63">
        <f>'Org structure'!E89</f>
        <v>0</v>
      </c>
      <c r="B92" s="652"/>
      <c r="C92" s="920"/>
      <c r="D92" s="920"/>
      <c r="E92" s="1322"/>
      <c r="F92" s="1323"/>
      <c r="G92" s="920"/>
      <c r="H92" s="921"/>
      <c r="I92" s="1324"/>
      <c r="J92" s="920"/>
      <c r="K92" s="1322"/>
      <c r="L92" s="68"/>
      <c r="M92" s="69"/>
      <c r="N92" s="69"/>
      <c r="O92" s="69"/>
      <c r="P92" s="69"/>
      <c r="Q92" s="69"/>
      <c r="R92" s="69"/>
      <c r="S92" s="69"/>
      <c r="T92" s="69"/>
      <c r="U92" s="69"/>
      <c r="V92" s="69"/>
      <c r="W92" s="69"/>
    </row>
    <row r="93" spans="1:23" ht="11.25" customHeight="1" x14ac:dyDescent="0.25">
      <c r="A93" s="63">
        <f>'Org structure'!E90</f>
        <v>0</v>
      </c>
      <c r="B93" s="652"/>
      <c r="C93" s="920"/>
      <c r="D93" s="920"/>
      <c r="E93" s="1322"/>
      <c r="F93" s="1323"/>
      <c r="G93" s="920"/>
      <c r="H93" s="921"/>
      <c r="I93" s="1324"/>
      <c r="J93" s="920"/>
      <c r="K93" s="1322"/>
      <c r="L93" s="68"/>
      <c r="M93" s="69"/>
      <c r="N93" s="69"/>
      <c r="O93" s="69"/>
      <c r="P93" s="69"/>
      <c r="Q93" s="69"/>
      <c r="R93" s="69"/>
      <c r="S93" s="69"/>
      <c r="T93" s="69"/>
      <c r="U93" s="69"/>
      <c r="V93" s="69"/>
      <c r="W93" s="69"/>
    </row>
    <row r="94" spans="1:23" ht="15" customHeight="1" x14ac:dyDescent="0.25">
      <c r="A94" s="189" t="str">
        <f>'Org structure'!A10</f>
        <v>Vote 9 - [NAME OF VOTE 9]</v>
      </c>
      <c r="B94" s="652"/>
      <c r="C94" s="592">
        <f>SUM(C95:C104)</f>
        <v>0</v>
      </c>
      <c r="D94" s="592">
        <f t="shared" ref="D94:K94" si="10">SUM(D95:D104)</f>
        <v>0</v>
      </c>
      <c r="E94" s="595">
        <f t="shared" si="10"/>
        <v>0</v>
      </c>
      <c r="F94" s="594">
        <f t="shared" si="10"/>
        <v>0</v>
      </c>
      <c r="G94" s="592">
        <f t="shared" si="10"/>
        <v>0</v>
      </c>
      <c r="H94" s="593">
        <f t="shared" si="10"/>
        <v>0</v>
      </c>
      <c r="I94" s="610">
        <f t="shared" si="10"/>
        <v>0</v>
      </c>
      <c r="J94" s="592">
        <f t="shared" si="10"/>
        <v>0</v>
      </c>
      <c r="K94" s="595">
        <f t="shared" si="10"/>
        <v>0</v>
      </c>
      <c r="L94" s="68"/>
      <c r="M94" s="69"/>
      <c r="N94" s="69"/>
      <c r="O94" s="69"/>
      <c r="P94" s="69"/>
      <c r="Q94" s="69"/>
      <c r="R94" s="69"/>
      <c r="S94" s="69"/>
      <c r="T94" s="69"/>
      <c r="U94" s="69"/>
      <c r="V94" s="69"/>
      <c r="W94" s="69"/>
    </row>
    <row r="95" spans="1:23" ht="11.25" customHeight="1" x14ac:dyDescent="0.25">
      <c r="A95" s="63" t="str">
        <f>'Org structure'!E92</f>
        <v>9.1 - [Name of sub-vote]</v>
      </c>
      <c r="B95" s="652"/>
      <c r="C95" s="920"/>
      <c r="D95" s="920"/>
      <c r="E95" s="1322"/>
      <c r="F95" s="1323"/>
      <c r="G95" s="920"/>
      <c r="H95" s="921"/>
      <c r="I95" s="1324"/>
      <c r="J95" s="920"/>
      <c r="K95" s="1322"/>
      <c r="L95" s="68"/>
      <c r="M95" s="69"/>
      <c r="N95" s="69"/>
      <c r="O95" s="69"/>
      <c r="P95" s="69"/>
      <c r="Q95" s="69"/>
      <c r="R95" s="69"/>
      <c r="S95" s="69"/>
      <c r="T95" s="69"/>
      <c r="U95" s="69"/>
      <c r="V95" s="69"/>
      <c r="W95" s="69"/>
    </row>
    <row r="96" spans="1:23" ht="11.25" customHeight="1" x14ac:dyDescent="0.25">
      <c r="A96" s="63">
        <f>'Org structure'!E93</f>
        <v>0</v>
      </c>
      <c r="B96" s="652"/>
      <c r="C96" s="920"/>
      <c r="D96" s="920"/>
      <c r="E96" s="1322"/>
      <c r="F96" s="1323"/>
      <c r="G96" s="920"/>
      <c r="H96" s="921"/>
      <c r="I96" s="1324"/>
      <c r="J96" s="920"/>
      <c r="K96" s="1322"/>
      <c r="L96" s="68"/>
      <c r="M96" s="69"/>
      <c r="N96" s="69"/>
      <c r="O96" s="69"/>
      <c r="P96" s="69"/>
      <c r="Q96" s="69"/>
      <c r="R96" s="69"/>
      <c r="S96" s="69"/>
      <c r="T96" s="69"/>
      <c r="U96" s="69"/>
      <c r="V96" s="69"/>
      <c r="W96" s="69"/>
    </row>
    <row r="97" spans="1:23" ht="11.25" customHeight="1" x14ac:dyDescent="0.25">
      <c r="A97" s="63">
        <f>'Org structure'!E94</f>
        <v>0</v>
      </c>
      <c r="B97" s="652"/>
      <c r="C97" s="920"/>
      <c r="D97" s="920"/>
      <c r="E97" s="1322"/>
      <c r="F97" s="1323"/>
      <c r="G97" s="920"/>
      <c r="H97" s="921"/>
      <c r="I97" s="1324"/>
      <c r="J97" s="920"/>
      <c r="K97" s="1322"/>
      <c r="L97" s="68"/>
      <c r="M97" s="69"/>
      <c r="N97" s="69"/>
      <c r="O97" s="69"/>
      <c r="P97" s="69"/>
      <c r="Q97" s="69"/>
      <c r="R97" s="69"/>
      <c r="S97" s="69"/>
      <c r="T97" s="69"/>
      <c r="U97" s="69"/>
      <c r="V97" s="69"/>
      <c r="W97" s="69"/>
    </row>
    <row r="98" spans="1:23" ht="11.25" customHeight="1" x14ac:dyDescent="0.25">
      <c r="A98" s="63">
        <f>'Org structure'!E95</f>
        <v>0</v>
      </c>
      <c r="B98" s="652"/>
      <c r="C98" s="920"/>
      <c r="D98" s="920"/>
      <c r="E98" s="1322"/>
      <c r="F98" s="1323"/>
      <c r="G98" s="920"/>
      <c r="H98" s="921"/>
      <c r="I98" s="1324"/>
      <c r="J98" s="920"/>
      <c r="K98" s="1322"/>
      <c r="L98" s="68"/>
      <c r="M98" s="69"/>
      <c r="N98" s="69"/>
      <c r="O98" s="69"/>
      <c r="P98" s="69"/>
      <c r="Q98" s="69"/>
      <c r="R98" s="69"/>
      <c r="S98" s="69"/>
      <c r="T98" s="69"/>
      <c r="U98" s="69"/>
      <c r="V98" s="69"/>
      <c r="W98" s="69"/>
    </row>
    <row r="99" spans="1:23" ht="11.25" customHeight="1" x14ac:dyDescent="0.25">
      <c r="A99" s="63">
        <f>'Org structure'!E96</f>
        <v>0</v>
      </c>
      <c r="B99" s="652"/>
      <c r="C99" s="920"/>
      <c r="D99" s="920"/>
      <c r="E99" s="1322"/>
      <c r="F99" s="1323"/>
      <c r="G99" s="920"/>
      <c r="H99" s="921"/>
      <c r="I99" s="1324"/>
      <c r="J99" s="920"/>
      <c r="K99" s="1322"/>
      <c r="L99" s="68"/>
      <c r="M99" s="69"/>
      <c r="N99" s="69"/>
      <c r="O99" s="69"/>
      <c r="P99" s="69"/>
      <c r="Q99" s="69"/>
      <c r="R99" s="69"/>
      <c r="S99" s="69"/>
      <c r="T99" s="69"/>
      <c r="U99" s="69"/>
      <c r="V99" s="69"/>
      <c r="W99" s="69"/>
    </row>
    <row r="100" spans="1:23" ht="11.25" customHeight="1" x14ac:dyDescent="0.25">
      <c r="A100" s="63">
        <f>'Org structure'!E97</f>
        <v>0</v>
      </c>
      <c r="B100" s="652"/>
      <c r="C100" s="920"/>
      <c r="D100" s="920"/>
      <c r="E100" s="1322"/>
      <c r="F100" s="1323"/>
      <c r="G100" s="920"/>
      <c r="H100" s="921"/>
      <c r="I100" s="1324"/>
      <c r="J100" s="920"/>
      <c r="K100" s="1322"/>
      <c r="L100" s="68"/>
      <c r="M100" s="69"/>
      <c r="N100" s="69"/>
      <c r="O100" s="69"/>
      <c r="P100" s="69"/>
      <c r="Q100" s="69"/>
      <c r="R100" s="69"/>
      <c r="S100" s="69"/>
      <c r="T100" s="69"/>
      <c r="U100" s="69"/>
      <c r="V100" s="69"/>
      <c r="W100" s="69"/>
    </row>
    <row r="101" spans="1:23" ht="11.25" customHeight="1" x14ac:dyDescent="0.25">
      <c r="A101" s="63">
        <f>'Org structure'!E98</f>
        <v>0</v>
      </c>
      <c r="B101" s="652"/>
      <c r="C101" s="920"/>
      <c r="D101" s="920"/>
      <c r="E101" s="1322"/>
      <c r="F101" s="1323"/>
      <c r="G101" s="920"/>
      <c r="H101" s="921"/>
      <c r="I101" s="1324"/>
      <c r="J101" s="920"/>
      <c r="K101" s="1322"/>
      <c r="L101" s="68"/>
      <c r="M101" s="69"/>
      <c r="N101" s="69"/>
      <c r="O101" s="69"/>
      <c r="P101" s="69"/>
      <c r="Q101" s="69"/>
      <c r="R101" s="69"/>
      <c r="S101" s="69"/>
      <c r="T101" s="69"/>
      <c r="U101" s="69"/>
      <c r="V101" s="69"/>
      <c r="W101" s="69"/>
    </row>
    <row r="102" spans="1:23" ht="11.25" customHeight="1" x14ac:dyDescent="0.25">
      <c r="A102" s="63">
        <f>'Org structure'!E99</f>
        <v>0</v>
      </c>
      <c r="B102" s="652"/>
      <c r="C102" s="920"/>
      <c r="D102" s="920"/>
      <c r="E102" s="1322"/>
      <c r="F102" s="1323"/>
      <c r="G102" s="920"/>
      <c r="H102" s="921"/>
      <c r="I102" s="1324"/>
      <c r="J102" s="920"/>
      <c r="K102" s="1322"/>
      <c r="L102" s="68"/>
      <c r="M102" s="69"/>
      <c r="N102" s="69"/>
      <c r="O102" s="69"/>
      <c r="P102" s="69"/>
      <c r="Q102" s="69"/>
      <c r="R102" s="69"/>
      <c r="S102" s="69"/>
      <c r="T102" s="69"/>
      <c r="U102" s="69"/>
      <c r="V102" s="69"/>
      <c r="W102" s="69"/>
    </row>
    <row r="103" spans="1:23" ht="11.25" customHeight="1" x14ac:dyDescent="0.25">
      <c r="A103" s="63">
        <f>'Org structure'!E100</f>
        <v>0</v>
      </c>
      <c r="B103" s="652"/>
      <c r="C103" s="920"/>
      <c r="D103" s="920"/>
      <c r="E103" s="1322"/>
      <c r="F103" s="1323"/>
      <c r="G103" s="920"/>
      <c r="H103" s="921"/>
      <c r="I103" s="1324"/>
      <c r="J103" s="920"/>
      <c r="K103" s="1322"/>
      <c r="L103" s="68"/>
      <c r="M103" s="69"/>
      <c r="N103" s="69"/>
      <c r="O103" s="69"/>
      <c r="P103" s="69"/>
      <c r="Q103" s="69"/>
      <c r="R103" s="69"/>
      <c r="S103" s="69"/>
      <c r="T103" s="69"/>
      <c r="U103" s="69"/>
      <c r="V103" s="69"/>
      <c r="W103" s="69"/>
    </row>
    <row r="104" spans="1:23" ht="11.25" customHeight="1" x14ac:dyDescent="0.25">
      <c r="A104" s="63">
        <f>'Org structure'!E101</f>
        <v>0</v>
      </c>
      <c r="B104" s="652"/>
      <c r="C104" s="920"/>
      <c r="D104" s="920"/>
      <c r="E104" s="1322"/>
      <c r="F104" s="1323"/>
      <c r="G104" s="920"/>
      <c r="H104" s="921"/>
      <c r="I104" s="1324"/>
      <c r="J104" s="920"/>
      <c r="K104" s="1322"/>
      <c r="L104" s="68"/>
      <c r="M104" s="69"/>
      <c r="N104" s="69"/>
      <c r="O104" s="69"/>
      <c r="P104" s="69"/>
      <c r="Q104" s="69"/>
      <c r="R104" s="69"/>
      <c r="S104" s="69"/>
      <c r="T104" s="69"/>
      <c r="U104" s="69"/>
      <c r="V104" s="69"/>
      <c r="W104" s="69"/>
    </row>
    <row r="105" spans="1:23" ht="15" customHeight="1" x14ac:dyDescent="0.25">
      <c r="A105" s="189" t="str">
        <f>'Org structure'!A11</f>
        <v>Vote 10 - [NAME OF VOTE 10]</v>
      </c>
      <c r="B105" s="652"/>
      <c r="C105" s="592">
        <f>SUM(C106:C115)</f>
        <v>0</v>
      </c>
      <c r="D105" s="592">
        <f t="shared" ref="D105:K105" si="11">SUM(D106:D115)</f>
        <v>0</v>
      </c>
      <c r="E105" s="595">
        <f t="shared" si="11"/>
        <v>0</v>
      </c>
      <c r="F105" s="594">
        <f t="shared" si="11"/>
        <v>0</v>
      </c>
      <c r="G105" s="592">
        <f t="shared" si="11"/>
        <v>0</v>
      </c>
      <c r="H105" s="593">
        <f t="shared" si="11"/>
        <v>0</v>
      </c>
      <c r="I105" s="610">
        <f t="shared" si="11"/>
        <v>0</v>
      </c>
      <c r="J105" s="592">
        <f t="shared" si="11"/>
        <v>0</v>
      </c>
      <c r="K105" s="595">
        <f t="shared" si="11"/>
        <v>0</v>
      </c>
      <c r="L105" s="68"/>
      <c r="M105" s="69"/>
      <c r="N105" s="69"/>
      <c r="O105" s="69"/>
      <c r="P105" s="69"/>
      <c r="Q105" s="69"/>
      <c r="R105" s="69"/>
      <c r="S105" s="69"/>
      <c r="T105" s="69"/>
      <c r="U105" s="69"/>
      <c r="V105" s="69"/>
      <c r="W105" s="69"/>
    </row>
    <row r="106" spans="1:23" ht="11.25" customHeight="1" x14ac:dyDescent="0.25">
      <c r="A106" s="63" t="str">
        <f>'Org structure'!E103</f>
        <v>10.1 - [Name of sub-vote]</v>
      </c>
      <c r="B106" s="652"/>
      <c r="C106" s="920"/>
      <c r="D106" s="920"/>
      <c r="E106" s="1322"/>
      <c r="F106" s="1323"/>
      <c r="G106" s="920"/>
      <c r="H106" s="921"/>
      <c r="I106" s="1324"/>
      <c r="J106" s="920"/>
      <c r="K106" s="1322"/>
      <c r="L106" s="68"/>
      <c r="M106" s="69"/>
      <c r="N106" s="69"/>
      <c r="O106" s="69"/>
      <c r="P106" s="69"/>
      <c r="Q106" s="69"/>
      <c r="R106" s="69"/>
      <c r="S106" s="69"/>
      <c r="T106" s="69"/>
      <c r="U106" s="69"/>
      <c r="V106" s="69"/>
      <c r="W106" s="69"/>
    </row>
    <row r="107" spans="1:23" ht="11.25" customHeight="1" x14ac:dyDescent="0.25">
      <c r="A107" s="63">
        <f>'Org structure'!E104</f>
        <v>0</v>
      </c>
      <c r="B107" s="652"/>
      <c r="C107" s="920"/>
      <c r="D107" s="920"/>
      <c r="E107" s="1322"/>
      <c r="F107" s="1323"/>
      <c r="G107" s="920"/>
      <c r="H107" s="921"/>
      <c r="I107" s="1324"/>
      <c r="J107" s="920"/>
      <c r="K107" s="1322"/>
      <c r="L107" s="68"/>
      <c r="M107" s="69"/>
      <c r="N107" s="69"/>
      <c r="O107" s="69"/>
      <c r="P107" s="69"/>
      <c r="Q107" s="69"/>
      <c r="R107" s="69"/>
      <c r="S107" s="69"/>
      <c r="T107" s="69"/>
      <c r="U107" s="69"/>
      <c r="V107" s="69"/>
      <c r="W107" s="69"/>
    </row>
    <row r="108" spans="1:23" ht="11.25" customHeight="1" x14ac:dyDescent="0.25">
      <c r="A108" s="63">
        <f>'Org structure'!E105</f>
        <v>0</v>
      </c>
      <c r="B108" s="652"/>
      <c r="C108" s="920"/>
      <c r="D108" s="920"/>
      <c r="E108" s="1322"/>
      <c r="F108" s="1323"/>
      <c r="G108" s="920"/>
      <c r="H108" s="921"/>
      <c r="I108" s="1324"/>
      <c r="J108" s="920"/>
      <c r="K108" s="1322"/>
      <c r="L108" s="68"/>
      <c r="M108" s="69"/>
      <c r="N108" s="69"/>
      <c r="O108" s="69"/>
      <c r="P108" s="69"/>
      <c r="Q108" s="69"/>
      <c r="R108" s="69"/>
      <c r="S108" s="69"/>
      <c r="T108" s="69"/>
      <c r="U108" s="69"/>
      <c r="V108" s="69"/>
      <c r="W108" s="69"/>
    </row>
    <row r="109" spans="1:23" ht="11.25" customHeight="1" x14ac:dyDescent="0.25">
      <c r="A109" s="63">
        <f>'Org structure'!E106</f>
        <v>0</v>
      </c>
      <c r="B109" s="652"/>
      <c r="C109" s="920"/>
      <c r="D109" s="920"/>
      <c r="E109" s="1322"/>
      <c r="F109" s="1323"/>
      <c r="G109" s="920"/>
      <c r="H109" s="921"/>
      <c r="I109" s="1324"/>
      <c r="J109" s="920"/>
      <c r="K109" s="1322"/>
      <c r="L109" s="68"/>
      <c r="M109" s="69"/>
      <c r="N109" s="69"/>
      <c r="O109" s="69"/>
      <c r="P109" s="69"/>
      <c r="Q109" s="69"/>
      <c r="R109" s="69"/>
      <c r="S109" s="69"/>
      <c r="T109" s="69"/>
      <c r="U109" s="69"/>
      <c r="V109" s="69"/>
      <c r="W109" s="69"/>
    </row>
    <row r="110" spans="1:23" ht="11.25" customHeight="1" x14ac:dyDescent="0.25">
      <c r="A110" s="63">
        <f>'Org structure'!E107</f>
        <v>0</v>
      </c>
      <c r="B110" s="652"/>
      <c r="C110" s="920"/>
      <c r="D110" s="920"/>
      <c r="E110" s="1322"/>
      <c r="F110" s="1323"/>
      <c r="G110" s="920"/>
      <c r="H110" s="921"/>
      <c r="I110" s="1324"/>
      <c r="J110" s="920"/>
      <c r="K110" s="1322"/>
      <c r="L110" s="68"/>
      <c r="M110" s="69"/>
      <c r="N110" s="69"/>
      <c r="O110" s="69"/>
      <c r="P110" s="69"/>
      <c r="Q110" s="69"/>
      <c r="R110" s="69"/>
      <c r="S110" s="69"/>
      <c r="T110" s="69"/>
      <c r="U110" s="69"/>
      <c r="V110" s="69"/>
      <c r="W110" s="69"/>
    </row>
    <row r="111" spans="1:23" ht="11.25" customHeight="1" x14ac:dyDescent="0.25">
      <c r="A111" s="63">
        <f>'Org structure'!E108</f>
        <v>0</v>
      </c>
      <c r="B111" s="652"/>
      <c r="C111" s="920"/>
      <c r="D111" s="920"/>
      <c r="E111" s="1322"/>
      <c r="F111" s="1323"/>
      <c r="G111" s="920"/>
      <c r="H111" s="921"/>
      <c r="I111" s="1324"/>
      <c r="J111" s="920"/>
      <c r="K111" s="1322"/>
      <c r="L111" s="68"/>
      <c r="M111" s="69"/>
      <c r="N111" s="69"/>
      <c r="O111" s="69"/>
      <c r="P111" s="69"/>
      <c r="Q111" s="69"/>
      <c r="R111" s="69"/>
      <c r="S111" s="69"/>
      <c r="T111" s="69"/>
      <c r="U111" s="69"/>
      <c r="V111" s="69"/>
      <c r="W111" s="69"/>
    </row>
    <row r="112" spans="1:23" ht="11.25" customHeight="1" x14ac:dyDescent="0.25">
      <c r="A112" s="63">
        <f>'Org structure'!E109</f>
        <v>0</v>
      </c>
      <c r="B112" s="652"/>
      <c r="C112" s="920"/>
      <c r="D112" s="920"/>
      <c r="E112" s="1322"/>
      <c r="F112" s="1323"/>
      <c r="G112" s="920"/>
      <c r="H112" s="921"/>
      <c r="I112" s="1324"/>
      <c r="J112" s="920"/>
      <c r="K112" s="1322"/>
      <c r="L112" s="68"/>
      <c r="M112" s="69"/>
      <c r="N112" s="69"/>
      <c r="O112" s="69"/>
      <c r="P112" s="69"/>
      <c r="Q112" s="69"/>
      <c r="R112" s="69"/>
      <c r="S112" s="69"/>
      <c r="T112" s="69"/>
      <c r="U112" s="69"/>
      <c r="V112" s="69"/>
      <c r="W112" s="69"/>
    </row>
    <row r="113" spans="1:23" ht="11.25" customHeight="1" x14ac:dyDescent="0.25">
      <c r="A113" s="63">
        <f>'Org structure'!E110</f>
        <v>0</v>
      </c>
      <c r="B113" s="652"/>
      <c r="C113" s="920"/>
      <c r="D113" s="920"/>
      <c r="E113" s="1322"/>
      <c r="F113" s="1323"/>
      <c r="G113" s="920"/>
      <c r="H113" s="921"/>
      <c r="I113" s="1324"/>
      <c r="J113" s="920"/>
      <c r="K113" s="1322"/>
      <c r="L113" s="68"/>
      <c r="M113" s="69"/>
      <c r="N113" s="69"/>
      <c r="O113" s="69"/>
      <c r="P113" s="69"/>
      <c r="Q113" s="69"/>
      <c r="R113" s="69"/>
      <c r="S113" s="69"/>
      <c r="T113" s="69"/>
      <c r="U113" s="69"/>
      <c r="V113" s="69"/>
      <c r="W113" s="69"/>
    </row>
    <row r="114" spans="1:23" ht="11.25" customHeight="1" x14ac:dyDescent="0.25">
      <c r="A114" s="63">
        <f>'Org structure'!E111</f>
        <v>0</v>
      </c>
      <c r="B114" s="652"/>
      <c r="C114" s="920"/>
      <c r="D114" s="920"/>
      <c r="E114" s="1322"/>
      <c r="F114" s="1323"/>
      <c r="G114" s="920"/>
      <c r="H114" s="921"/>
      <c r="I114" s="1324"/>
      <c r="J114" s="920"/>
      <c r="K114" s="1322"/>
      <c r="L114" s="68"/>
      <c r="M114" s="69"/>
      <c r="N114" s="69"/>
      <c r="O114" s="69"/>
      <c r="P114" s="69"/>
      <c r="Q114" s="69"/>
      <c r="R114" s="69"/>
      <c r="S114" s="69"/>
      <c r="T114" s="69"/>
      <c r="U114" s="69"/>
      <c r="V114" s="69"/>
      <c r="W114" s="69"/>
    </row>
    <row r="115" spans="1:23" ht="11.25" customHeight="1" x14ac:dyDescent="0.25">
      <c r="A115" s="63">
        <f>'Org structure'!E112</f>
        <v>0</v>
      </c>
      <c r="B115" s="652"/>
      <c r="C115" s="920"/>
      <c r="D115" s="920"/>
      <c r="E115" s="1322"/>
      <c r="F115" s="1323"/>
      <c r="G115" s="920"/>
      <c r="H115" s="921"/>
      <c r="I115" s="1324"/>
      <c r="J115" s="920"/>
      <c r="K115" s="1322"/>
      <c r="L115" s="68"/>
      <c r="M115" s="69"/>
      <c r="N115" s="69"/>
      <c r="O115" s="69"/>
      <c r="P115" s="69"/>
      <c r="Q115" s="69"/>
      <c r="R115" s="69"/>
      <c r="S115" s="69"/>
      <c r="T115" s="69"/>
      <c r="U115" s="69"/>
      <c r="V115" s="69"/>
      <c r="W115" s="69"/>
    </row>
    <row r="116" spans="1:23" ht="15" customHeight="1" x14ac:dyDescent="0.25">
      <c r="A116" s="1077" t="str">
        <f>'Org structure'!A12</f>
        <v>Vote 11 - [NAME OF VOTE 11]</v>
      </c>
      <c r="B116" s="652"/>
      <c r="C116" s="592">
        <f>SUM(C117:C126)</f>
        <v>0</v>
      </c>
      <c r="D116" s="592">
        <f t="shared" ref="D116:K116" si="12">SUM(D117:D126)</f>
        <v>0</v>
      </c>
      <c r="E116" s="595">
        <f t="shared" si="12"/>
        <v>0</v>
      </c>
      <c r="F116" s="594">
        <f t="shared" si="12"/>
        <v>0</v>
      </c>
      <c r="G116" s="592">
        <f t="shared" si="12"/>
        <v>0</v>
      </c>
      <c r="H116" s="593">
        <f t="shared" si="12"/>
        <v>0</v>
      </c>
      <c r="I116" s="610">
        <f t="shared" si="12"/>
        <v>0</v>
      </c>
      <c r="J116" s="592">
        <f t="shared" si="12"/>
        <v>0</v>
      </c>
      <c r="K116" s="595">
        <f t="shared" si="12"/>
        <v>0</v>
      </c>
      <c r="L116" s="68"/>
      <c r="M116" s="69"/>
      <c r="N116" s="69"/>
      <c r="O116" s="69"/>
      <c r="P116" s="69"/>
      <c r="Q116" s="69"/>
      <c r="R116" s="69"/>
      <c r="S116" s="69"/>
      <c r="T116" s="69"/>
      <c r="U116" s="69"/>
      <c r="V116" s="69"/>
      <c r="W116" s="69"/>
    </row>
    <row r="117" spans="1:23" ht="11.25" customHeight="1" x14ac:dyDescent="0.25">
      <c r="A117" s="63" t="str">
        <f>'Org structure'!E114</f>
        <v>11.1 - [Name of sub-vote]</v>
      </c>
      <c r="B117" s="652"/>
      <c r="C117" s="920"/>
      <c r="D117" s="920"/>
      <c r="E117" s="1322"/>
      <c r="F117" s="1323"/>
      <c r="G117" s="920"/>
      <c r="H117" s="921"/>
      <c r="I117" s="1324"/>
      <c r="J117" s="920"/>
      <c r="K117" s="1322"/>
      <c r="L117" s="68"/>
      <c r="M117" s="69"/>
      <c r="N117" s="69"/>
      <c r="O117" s="69"/>
      <c r="P117" s="69"/>
      <c r="Q117" s="69"/>
      <c r="R117" s="69"/>
      <c r="S117" s="69"/>
      <c r="T117" s="69"/>
      <c r="U117" s="69"/>
      <c r="V117" s="69"/>
      <c r="W117" s="69"/>
    </row>
    <row r="118" spans="1:23" ht="11.25" customHeight="1" x14ac:dyDescent="0.25">
      <c r="A118" s="63">
        <f>'Org structure'!E115</f>
        <v>0</v>
      </c>
      <c r="B118" s="652"/>
      <c r="C118" s="920"/>
      <c r="D118" s="920"/>
      <c r="E118" s="1322"/>
      <c r="F118" s="1323"/>
      <c r="G118" s="920"/>
      <c r="H118" s="921"/>
      <c r="I118" s="1324"/>
      <c r="J118" s="920"/>
      <c r="K118" s="1322"/>
      <c r="L118" s="68"/>
      <c r="M118" s="69"/>
      <c r="N118" s="69"/>
      <c r="O118" s="69"/>
      <c r="P118" s="69"/>
      <c r="Q118" s="69"/>
      <c r="R118" s="69"/>
      <c r="S118" s="69"/>
      <c r="T118" s="69"/>
      <c r="U118" s="69"/>
      <c r="V118" s="69"/>
      <c r="W118" s="69"/>
    </row>
    <row r="119" spans="1:23" ht="11.25" customHeight="1" x14ac:dyDescent="0.25">
      <c r="A119" s="63">
        <f>'Org structure'!E116</f>
        <v>0</v>
      </c>
      <c r="B119" s="652"/>
      <c r="C119" s="920"/>
      <c r="D119" s="920"/>
      <c r="E119" s="1322"/>
      <c r="F119" s="1323"/>
      <c r="G119" s="920"/>
      <c r="H119" s="921"/>
      <c r="I119" s="1324"/>
      <c r="J119" s="920"/>
      <c r="K119" s="1322"/>
      <c r="L119" s="68"/>
      <c r="M119" s="69"/>
      <c r="N119" s="69"/>
      <c r="O119" s="69"/>
      <c r="P119" s="69"/>
      <c r="Q119" s="69"/>
      <c r="R119" s="69"/>
      <c r="S119" s="69"/>
      <c r="T119" s="69"/>
      <c r="U119" s="69"/>
      <c r="V119" s="69"/>
      <c r="W119" s="69"/>
    </row>
    <row r="120" spans="1:23" ht="11.25" customHeight="1" x14ac:dyDescent="0.25">
      <c r="A120" s="63">
        <f>'Org structure'!E117</f>
        <v>0</v>
      </c>
      <c r="B120" s="652"/>
      <c r="C120" s="920"/>
      <c r="D120" s="920"/>
      <c r="E120" s="1322"/>
      <c r="F120" s="1323"/>
      <c r="G120" s="920"/>
      <c r="H120" s="921"/>
      <c r="I120" s="1324"/>
      <c r="J120" s="920"/>
      <c r="K120" s="1322"/>
      <c r="L120" s="68"/>
      <c r="M120" s="69"/>
      <c r="N120" s="69"/>
      <c r="O120" s="69"/>
      <c r="P120" s="69"/>
      <c r="Q120" s="69"/>
      <c r="R120" s="69"/>
      <c r="S120" s="69"/>
      <c r="T120" s="69"/>
      <c r="U120" s="69"/>
      <c r="V120" s="69"/>
      <c r="W120" s="69"/>
    </row>
    <row r="121" spans="1:23" ht="11.25" customHeight="1" x14ac:dyDescent="0.25">
      <c r="A121" s="63">
        <f>'Org structure'!E118</f>
        <v>0</v>
      </c>
      <c r="B121" s="652"/>
      <c r="C121" s="920"/>
      <c r="D121" s="920"/>
      <c r="E121" s="1322"/>
      <c r="F121" s="1323"/>
      <c r="G121" s="920"/>
      <c r="H121" s="921"/>
      <c r="I121" s="1324"/>
      <c r="J121" s="920"/>
      <c r="K121" s="1322"/>
      <c r="L121" s="68"/>
      <c r="M121" s="69"/>
      <c r="N121" s="69"/>
      <c r="O121" s="69"/>
      <c r="P121" s="69"/>
      <c r="Q121" s="69"/>
      <c r="R121" s="69"/>
      <c r="S121" s="69"/>
      <c r="T121" s="69"/>
      <c r="U121" s="69"/>
      <c r="V121" s="69"/>
      <c r="W121" s="69"/>
    </row>
    <row r="122" spans="1:23" ht="11.25" customHeight="1" x14ac:dyDescent="0.25">
      <c r="A122" s="63">
        <f>'Org structure'!E119</f>
        <v>0</v>
      </c>
      <c r="B122" s="652"/>
      <c r="C122" s="920"/>
      <c r="D122" s="920"/>
      <c r="E122" s="1322"/>
      <c r="F122" s="1323"/>
      <c r="G122" s="920"/>
      <c r="H122" s="921"/>
      <c r="I122" s="1324"/>
      <c r="J122" s="920"/>
      <c r="K122" s="1322"/>
      <c r="L122" s="68"/>
      <c r="M122" s="69"/>
      <c r="N122" s="69"/>
      <c r="O122" s="69"/>
      <c r="P122" s="69"/>
      <c r="Q122" s="69"/>
      <c r="R122" s="69"/>
      <c r="S122" s="69"/>
      <c r="T122" s="69"/>
      <c r="U122" s="69"/>
      <c r="V122" s="69"/>
      <c r="W122" s="69"/>
    </row>
    <row r="123" spans="1:23" ht="11.25" customHeight="1" x14ac:dyDescent="0.25">
      <c r="A123" s="63">
        <f>'Org structure'!E120</f>
        <v>0</v>
      </c>
      <c r="B123" s="652"/>
      <c r="C123" s="920"/>
      <c r="D123" s="920"/>
      <c r="E123" s="1322"/>
      <c r="F123" s="1323"/>
      <c r="G123" s="920"/>
      <c r="H123" s="921"/>
      <c r="I123" s="1324"/>
      <c r="J123" s="920"/>
      <c r="K123" s="1322"/>
      <c r="L123" s="68"/>
      <c r="M123" s="69"/>
      <c r="N123" s="69"/>
      <c r="O123" s="69"/>
      <c r="P123" s="69"/>
      <c r="Q123" s="69"/>
      <c r="R123" s="69"/>
      <c r="S123" s="69"/>
      <c r="T123" s="69"/>
      <c r="U123" s="69"/>
      <c r="V123" s="69"/>
      <c r="W123" s="69"/>
    </row>
    <row r="124" spans="1:23" ht="11.25" customHeight="1" x14ac:dyDescent="0.25">
      <c r="A124" s="63">
        <f>'Org structure'!E121</f>
        <v>0</v>
      </c>
      <c r="B124" s="652"/>
      <c r="C124" s="920"/>
      <c r="D124" s="920"/>
      <c r="E124" s="1322"/>
      <c r="F124" s="1323"/>
      <c r="G124" s="920"/>
      <c r="H124" s="921"/>
      <c r="I124" s="1324"/>
      <c r="J124" s="920"/>
      <c r="K124" s="1322"/>
      <c r="L124" s="68"/>
      <c r="M124" s="69"/>
      <c r="N124" s="69"/>
      <c r="O124" s="69"/>
      <c r="P124" s="69"/>
      <c r="Q124" s="69"/>
      <c r="R124" s="69"/>
      <c r="S124" s="69"/>
      <c r="T124" s="69"/>
      <c r="U124" s="69"/>
      <c r="V124" s="69"/>
      <c r="W124" s="69"/>
    </row>
    <row r="125" spans="1:23" ht="11.25" customHeight="1" x14ac:dyDescent="0.25">
      <c r="A125" s="63">
        <f>'Org structure'!E122</f>
        <v>0</v>
      </c>
      <c r="B125" s="652"/>
      <c r="C125" s="920"/>
      <c r="D125" s="920"/>
      <c r="E125" s="1322"/>
      <c r="F125" s="1323"/>
      <c r="G125" s="920"/>
      <c r="H125" s="921"/>
      <c r="I125" s="1324"/>
      <c r="J125" s="920"/>
      <c r="K125" s="1322"/>
      <c r="L125" s="68"/>
      <c r="M125" s="69"/>
      <c r="N125" s="69"/>
      <c r="O125" s="69"/>
      <c r="P125" s="69"/>
      <c r="Q125" s="69"/>
      <c r="R125" s="69"/>
      <c r="S125" s="69"/>
      <c r="T125" s="69"/>
      <c r="U125" s="69"/>
      <c r="V125" s="69"/>
      <c r="W125" s="69"/>
    </row>
    <row r="126" spans="1:23" ht="11.25" customHeight="1" x14ac:dyDescent="0.25">
      <c r="A126" s="63">
        <f>'Org structure'!E123</f>
        <v>0</v>
      </c>
      <c r="B126" s="652"/>
      <c r="C126" s="920"/>
      <c r="D126" s="920"/>
      <c r="E126" s="1322"/>
      <c r="F126" s="1323"/>
      <c r="G126" s="920"/>
      <c r="H126" s="921"/>
      <c r="I126" s="1324"/>
      <c r="J126" s="920"/>
      <c r="K126" s="1322"/>
      <c r="L126" s="68"/>
      <c r="M126" s="69"/>
      <c r="N126" s="69"/>
      <c r="O126" s="69"/>
      <c r="P126" s="69"/>
      <c r="Q126" s="69"/>
      <c r="R126" s="69"/>
      <c r="S126" s="69"/>
      <c r="T126" s="69"/>
      <c r="U126" s="69"/>
      <c r="V126" s="69"/>
      <c r="W126" s="69"/>
    </row>
    <row r="127" spans="1:23" ht="15" customHeight="1" x14ac:dyDescent="0.25">
      <c r="A127" s="1077" t="str">
        <f>'Org structure'!A13</f>
        <v>Vote 12 - [NAME OF VOTE 12]</v>
      </c>
      <c r="B127" s="652"/>
      <c r="C127" s="592">
        <f>SUM(C128:C137)</f>
        <v>0</v>
      </c>
      <c r="D127" s="592">
        <f t="shared" ref="D127:K127" si="13">SUM(D128:D137)</f>
        <v>0</v>
      </c>
      <c r="E127" s="595">
        <f t="shared" si="13"/>
        <v>0</v>
      </c>
      <c r="F127" s="594">
        <f t="shared" si="13"/>
        <v>0</v>
      </c>
      <c r="G127" s="592">
        <f t="shared" si="13"/>
        <v>0</v>
      </c>
      <c r="H127" s="593">
        <f t="shared" si="13"/>
        <v>0</v>
      </c>
      <c r="I127" s="610">
        <f t="shared" si="13"/>
        <v>0</v>
      </c>
      <c r="J127" s="592">
        <f t="shared" si="13"/>
        <v>0</v>
      </c>
      <c r="K127" s="595">
        <f t="shared" si="13"/>
        <v>0</v>
      </c>
      <c r="L127" s="68"/>
      <c r="M127" s="69"/>
      <c r="N127" s="69"/>
      <c r="O127" s="69"/>
      <c r="P127" s="69"/>
      <c r="Q127" s="69"/>
      <c r="R127" s="69"/>
      <c r="S127" s="69"/>
      <c r="T127" s="69"/>
      <c r="U127" s="69"/>
      <c r="V127" s="69"/>
      <c r="W127" s="69"/>
    </row>
    <row r="128" spans="1:23" ht="11.25" customHeight="1" x14ac:dyDescent="0.25">
      <c r="A128" s="63" t="str">
        <f>'Org structure'!E125</f>
        <v>12.1 - [Name of sub-vote]</v>
      </c>
      <c r="B128" s="652"/>
      <c r="C128" s="920"/>
      <c r="D128" s="920"/>
      <c r="E128" s="1322"/>
      <c r="F128" s="1323"/>
      <c r="G128" s="920"/>
      <c r="H128" s="921"/>
      <c r="I128" s="1324"/>
      <c r="J128" s="920"/>
      <c r="K128" s="1322"/>
      <c r="L128" s="68"/>
      <c r="M128" s="69"/>
      <c r="N128" s="69"/>
      <c r="O128" s="69"/>
      <c r="P128" s="69"/>
      <c r="Q128" s="69"/>
      <c r="R128" s="69"/>
      <c r="S128" s="69"/>
      <c r="T128" s="69"/>
      <c r="U128" s="69"/>
      <c r="V128" s="69"/>
      <c r="W128" s="69"/>
    </row>
    <row r="129" spans="1:23" ht="11.25" customHeight="1" x14ac:dyDescent="0.25">
      <c r="A129" s="63">
        <f>'Org structure'!E126</f>
        <v>0</v>
      </c>
      <c r="B129" s="652"/>
      <c r="C129" s="920"/>
      <c r="D129" s="920"/>
      <c r="E129" s="1322"/>
      <c r="F129" s="1323"/>
      <c r="G129" s="920"/>
      <c r="H129" s="921"/>
      <c r="I129" s="1324"/>
      <c r="J129" s="920"/>
      <c r="K129" s="1322"/>
      <c r="L129" s="68"/>
      <c r="M129" s="69"/>
      <c r="N129" s="69"/>
      <c r="O129" s="69"/>
      <c r="P129" s="69"/>
      <c r="Q129" s="69"/>
      <c r="R129" s="69"/>
      <c r="S129" s="69"/>
      <c r="T129" s="69"/>
      <c r="U129" s="69"/>
      <c r="V129" s="69"/>
      <c r="W129" s="69"/>
    </row>
    <row r="130" spans="1:23" ht="11.25" customHeight="1" x14ac:dyDescent="0.25">
      <c r="A130" s="63">
        <f>'Org structure'!E127</f>
        <v>0</v>
      </c>
      <c r="B130" s="652"/>
      <c r="C130" s="920"/>
      <c r="D130" s="920"/>
      <c r="E130" s="1322"/>
      <c r="F130" s="1323"/>
      <c r="G130" s="920"/>
      <c r="H130" s="921"/>
      <c r="I130" s="1324"/>
      <c r="J130" s="920"/>
      <c r="K130" s="1322"/>
      <c r="L130" s="68"/>
      <c r="M130" s="69"/>
      <c r="N130" s="69"/>
      <c r="O130" s="69"/>
      <c r="P130" s="69"/>
      <c r="Q130" s="69"/>
      <c r="R130" s="69"/>
      <c r="S130" s="69"/>
      <c r="T130" s="69"/>
      <c r="U130" s="69"/>
      <c r="V130" s="69"/>
      <c r="W130" s="69"/>
    </row>
    <row r="131" spans="1:23" ht="11.25" customHeight="1" x14ac:dyDescent="0.25">
      <c r="A131" s="63">
        <f>'Org structure'!E128</f>
        <v>0</v>
      </c>
      <c r="B131" s="652"/>
      <c r="C131" s="920"/>
      <c r="D131" s="920"/>
      <c r="E131" s="1322"/>
      <c r="F131" s="1323"/>
      <c r="G131" s="920"/>
      <c r="H131" s="921"/>
      <c r="I131" s="1324"/>
      <c r="J131" s="920"/>
      <c r="K131" s="1322"/>
      <c r="L131" s="68"/>
      <c r="M131" s="69"/>
      <c r="N131" s="69"/>
      <c r="O131" s="69"/>
      <c r="P131" s="69"/>
      <c r="Q131" s="69"/>
      <c r="R131" s="69"/>
      <c r="S131" s="69"/>
      <c r="T131" s="69"/>
      <c r="U131" s="69"/>
      <c r="V131" s="69"/>
      <c r="W131" s="69"/>
    </row>
    <row r="132" spans="1:23" ht="11.25" customHeight="1" x14ac:dyDescent="0.25">
      <c r="A132" s="63">
        <f>'Org structure'!E129</f>
        <v>0</v>
      </c>
      <c r="B132" s="652"/>
      <c r="C132" s="920"/>
      <c r="D132" s="920"/>
      <c r="E132" s="1322"/>
      <c r="F132" s="1323"/>
      <c r="G132" s="920"/>
      <c r="H132" s="921"/>
      <c r="I132" s="1324"/>
      <c r="J132" s="920"/>
      <c r="K132" s="1322"/>
      <c r="L132" s="68"/>
      <c r="M132" s="69"/>
      <c r="N132" s="69"/>
      <c r="O132" s="69"/>
      <c r="P132" s="69"/>
      <c r="Q132" s="69"/>
      <c r="R132" s="69"/>
      <c r="S132" s="69"/>
      <c r="T132" s="69"/>
      <c r="U132" s="69"/>
      <c r="V132" s="69"/>
      <c r="W132" s="69"/>
    </row>
    <row r="133" spans="1:23" ht="11.25" customHeight="1" x14ac:dyDescent="0.25">
      <c r="A133" s="63">
        <f>'Org structure'!E130</f>
        <v>0</v>
      </c>
      <c r="B133" s="652"/>
      <c r="C133" s="920"/>
      <c r="D133" s="920"/>
      <c r="E133" s="1322"/>
      <c r="F133" s="1323"/>
      <c r="G133" s="920"/>
      <c r="H133" s="921"/>
      <c r="I133" s="1324"/>
      <c r="J133" s="920"/>
      <c r="K133" s="1322"/>
      <c r="L133" s="68"/>
      <c r="M133" s="69"/>
      <c r="N133" s="69"/>
      <c r="O133" s="69"/>
      <c r="P133" s="69"/>
      <c r="Q133" s="69"/>
      <c r="R133" s="69"/>
      <c r="S133" s="69"/>
      <c r="T133" s="69"/>
      <c r="U133" s="69"/>
      <c r="V133" s="69"/>
      <c r="W133" s="69"/>
    </row>
    <row r="134" spans="1:23" ht="11.25" customHeight="1" x14ac:dyDescent="0.25">
      <c r="A134" s="63">
        <f>'Org structure'!E131</f>
        <v>0</v>
      </c>
      <c r="B134" s="652"/>
      <c r="C134" s="920"/>
      <c r="D134" s="920"/>
      <c r="E134" s="1322"/>
      <c r="F134" s="1323"/>
      <c r="G134" s="920"/>
      <c r="H134" s="921"/>
      <c r="I134" s="1324"/>
      <c r="J134" s="920"/>
      <c r="K134" s="1322"/>
      <c r="L134" s="68"/>
      <c r="M134" s="69"/>
      <c r="N134" s="69"/>
      <c r="O134" s="69"/>
      <c r="P134" s="69"/>
      <c r="Q134" s="69"/>
      <c r="R134" s="69"/>
      <c r="S134" s="69"/>
      <c r="T134" s="69"/>
      <c r="U134" s="69"/>
      <c r="V134" s="69"/>
      <c r="W134" s="69"/>
    </row>
    <row r="135" spans="1:23" ht="11.25" customHeight="1" x14ac:dyDescent="0.25">
      <c r="A135" s="63">
        <f>'Org structure'!E132</f>
        <v>0</v>
      </c>
      <c r="B135" s="652"/>
      <c r="C135" s="920"/>
      <c r="D135" s="920"/>
      <c r="E135" s="1322"/>
      <c r="F135" s="1323"/>
      <c r="G135" s="920"/>
      <c r="H135" s="921"/>
      <c r="I135" s="1324"/>
      <c r="J135" s="920"/>
      <c r="K135" s="1322"/>
      <c r="L135" s="68"/>
      <c r="M135" s="69"/>
      <c r="N135" s="69"/>
      <c r="O135" s="69"/>
      <c r="P135" s="69"/>
      <c r="Q135" s="69"/>
      <c r="R135" s="69"/>
      <c r="S135" s="69"/>
      <c r="T135" s="69"/>
      <c r="U135" s="69"/>
      <c r="V135" s="69"/>
      <c r="W135" s="69"/>
    </row>
    <row r="136" spans="1:23" ht="11.25" customHeight="1" x14ac:dyDescent="0.25">
      <c r="A136" s="63">
        <f>'Org structure'!E133</f>
        <v>0</v>
      </c>
      <c r="B136" s="652"/>
      <c r="C136" s="920"/>
      <c r="D136" s="920"/>
      <c r="E136" s="1322"/>
      <c r="F136" s="1323"/>
      <c r="G136" s="920"/>
      <c r="H136" s="921"/>
      <c r="I136" s="1324"/>
      <c r="J136" s="920"/>
      <c r="K136" s="1322"/>
      <c r="L136" s="68"/>
      <c r="M136" s="69"/>
      <c r="N136" s="69"/>
      <c r="O136" s="69"/>
      <c r="P136" s="69"/>
      <c r="Q136" s="69"/>
      <c r="R136" s="69"/>
      <c r="S136" s="69"/>
      <c r="T136" s="69"/>
      <c r="U136" s="69"/>
      <c r="V136" s="69"/>
      <c r="W136" s="69"/>
    </row>
    <row r="137" spans="1:23" ht="11.25" customHeight="1" x14ac:dyDescent="0.25">
      <c r="A137" s="63">
        <f>'Org structure'!E134</f>
        <v>0</v>
      </c>
      <c r="B137" s="652"/>
      <c r="C137" s="920"/>
      <c r="D137" s="920"/>
      <c r="E137" s="1322"/>
      <c r="F137" s="1323"/>
      <c r="G137" s="920"/>
      <c r="H137" s="921"/>
      <c r="I137" s="1324"/>
      <c r="J137" s="920"/>
      <c r="K137" s="1322"/>
      <c r="L137" s="68"/>
      <c r="M137" s="69"/>
      <c r="N137" s="69"/>
      <c r="O137" s="69"/>
      <c r="P137" s="69"/>
      <c r="Q137" s="69"/>
      <c r="R137" s="69"/>
      <c r="S137" s="69"/>
      <c r="T137" s="69"/>
      <c r="U137" s="69"/>
      <c r="V137" s="69"/>
      <c r="W137" s="69"/>
    </row>
    <row r="138" spans="1:23" ht="15" customHeight="1" x14ac:dyDescent="0.25">
      <c r="A138" s="1077" t="str">
        <f>'Org structure'!A14</f>
        <v>Vote 13 - [NAME OF VOTE 13]</v>
      </c>
      <c r="B138" s="652"/>
      <c r="C138" s="592">
        <f>SUM(C139:C148)</f>
        <v>0</v>
      </c>
      <c r="D138" s="592">
        <f t="shared" ref="D138:K138" si="14">SUM(D139:D148)</f>
        <v>0</v>
      </c>
      <c r="E138" s="595">
        <f t="shared" si="14"/>
        <v>0</v>
      </c>
      <c r="F138" s="594">
        <f t="shared" si="14"/>
        <v>0</v>
      </c>
      <c r="G138" s="592">
        <f t="shared" si="14"/>
        <v>0</v>
      </c>
      <c r="H138" s="593">
        <f t="shared" si="14"/>
        <v>0</v>
      </c>
      <c r="I138" s="610">
        <f t="shared" si="14"/>
        <v>0</v>
      </c>
      <c r="J138" s="592">
        <f t="shared" si="14"/>
        <v>0</v>
      </c>
      <c r="K138" s="595">
        <f t="shared" si="14"/>
        <v>0</v>
      </c>
      <c r="L138" s="68"/>
      <c r="M138" s="69"/>
      <c r="N138" s="69"/>
      <c r="O138" s="69"/>
      <c r="P138" s="69"/>
      <c r="Q138" s="69"/>
      <c r="R138" s="69"/>
      <c r="S138" s="69"/>
      <c r="T138" s="69"/>
      <c r="U138" s="69"/>
      <c r="V138" s="69"/>
      <c r="W138" s="69"/>
    </row>
    <row r="139" spans="1:23" ht="11.25" customHeight="1" x14ac:dyDescent="0.25">
      <c r="A139" s="63" t="str">
        <f>'Org structure'!E136</f>
        <v>13.1 - [Name of sub-vote]</v>
      </c>
      <c r="B139" s="652"/>
      <c r="C139" s="920"/>
      <c r="D139" s="920"/>
      <c r="E139" s="1322"/>
      <c r="F139" s="1323"/>
      <c r="G139" s="920"/>
      <c r="H139" s="921"/>
      <c r="I139" s="1324"/>
      <c r="J139" s="920"/>
      <c r="K139" s="1322"/>
      <c r="L139" s="68"/>
      <c r="M139" s="69"/>
      <c r="N139" s="69"/>
      <c r="O139" s="69"/>
      <c r="P139" s="69"/>
      <c r="Q139" s="69"/>
      <c r="R139" s="69"/>
      <c r="S139" s="69"/>
      <c r="T139" s="69"/>
      <c r="U139" s="69"/>
      <c r="V139" s="69"/>
      <c r="W139" s="69"/>
    </row>
    <row r="140" spans="1:23" ht="11.25" customHeight="1" x14ac:dyDescent="0.25">
      <c r="A140" s="63">
        <f>'Org structure'!E137</f>
        <v>0</v>
      </c>
      <c r="B140" s="652"/>
      <c r="C140" s="920"/>
      <c r="D140" s="920"/>
      <c r="E140" s="1322"/>
      <c r="F140" s="1323"/>
      <c r="G140" s="920"/>
      <c r="H140" s="921"/>
      <c r="I140" s="1324"/>
      <c r="J140" s="920"/>
      <c r="K140" s="1322"/>
      <c r="L140" s="68"/>
      <c r="M140" s="69"/>
      <c r="N140" s="69"/>
      <c r="O140" s="69"/>
      <c r="P140" s="69"/>
      <c r="Q140" s="69"/>
      <c r="R140" s="69"/>
      <c r="S140" s="69"/>
      <c r="T140" s="69"/>
      <c r="U140" s="69"/>
      <c r="V140" s="69"/>
      <c r="W140" s="69"/>
    </row>
    <row r="141" spans="1:23" ht="11.25" customHeight="1" x14ac:dyDescent="0.25">
      <c r="A141" s="63">
        <f>'Org structure'!E138</f>
        <v>0</v>
      </c>
      <c r="B141" s="652"/>
      <c r="C141" s="920"/>
      <c r="D141" s="920"/>
      <c r="E141" s="1322"/>
      <c r="F141" s="1323"/>
      <c r="G141" s="920"/>
      <c r="H141" s="921"/>
      <c r="I141" s="1324"/>
      <c r="J141" s="920"/>
      <c r="K141" s="1322"/>
      <c r="L141" s="68"/>
      <c r="M141" s="69"/>
      <c r="N141" s="69"/>
      <c r="O141" s="69"/>
      <c r="P141" s="69"/>
      <c r="Q141" s="69"/>
      <c r="R141" s="69"/>
      <c r="S141" s="69"/>
      <c r="T141" s="69"/>
      <c r="U141" s="69"/>
      <c r="V141" s="69"/>
      <c r="W141" s="69"/>
    </row>
    <row r="142" spans="1:23" ht="11.25" customHeight="1" x14ac:dyDescent="0.25">
      <c r="A142" s="63">
        <f>'Org structure'!E139</f>
        <v>0</v>
      </c>
      <c r="B142" s="652"/>
      <c r="C142" s="920"/>
      <c r="D142" s="920"/>
      <c r="E142" s="1322"/>
      <c r="F142" s="1323"/>
      <c r="G142" s="920"/>
      <c r="H142" s="921"/>
      <c r="I142" s="1324"/>
      <c r="J142" s="920"/>
      <c r="K142" s="1322"/>
      <c r="L142" s="68"/>
      <c r="M142" s="69"/>
      <c r="N142" s="69"/>
      <c r="O142" s="69"/>
      <c r="P142" s="69"/>
      <c r="Q142" s="69"/>
      <c r="R142" s="69"/>
      <c r="S142" s="69"/>
      <c r="T142" s="69"/>
      <c r="U142" s="69"/>
      <c r="V142" s="69"/>
      <c r="W142" s="69"/>
    </row>
    <row r="143" spans="1:23" ht="11.25" customHeight="1" x14ac:dyDescent="0.25">
      <c r="A143" s="63">
        <f>'Org structure'!E140</f>
        <v>0</v>
      </c>
      <c r="B143" s="652"/>
      <c r="C143" s="920"/>
      <c r="D143" s="920"/>
      <c r="E143" s="1322"/>
      <c r="F143" s="1323"/>
      <c r="G143" s="920"/>
      <c r="H143" s="921"/>
      <c r="I143" s="1324"/>
      <c r="J143" s="920"/>
      <c r="K143" s="1322"/>
      <c r="L143" s="68"/>
      <c r="M143" s="69"/>
      <c r="N143" s="69"/>
      <c r="O143" s="69"/>
      <c r="P143" s="69"/>
      <c r="Q143" s="69"/>
      <c r="R143" s="69"/>
      <c r="S143" s="69"/>
      <c r="T143" s="69"/>
      <c r="U143" s="69"/>
      <c r="V143" s="69"/>
      <c r="W143" s="69"/>
    </row>
    <row r="144" spans="1:23" ht="11.25" customHeight="1" x14ac:dyDescent="0.25">
      <c r="A144" s="63">
        <f>'Org structure'!E141</f>
        <v>0</v>
      </c>
      <c r="B144" s="652"/>
      <c r="C144" s="920"/>
      <c r="D144" s="920"/>
      <c r="E144" s="1322"/>
      <c r="F144" s="1323"/>
      <c r="G144" s="920"/>
      <c r="H144" s="921"/>
      <c r="I144" s="1324"/>
      <c r="J144" s="920"/>
      <c r="K144" s="1322"/>
      <c r="L144" s="68"/>
      <c r="M144" s="69"/>
      <c r="N144" s="69"/>
      <c r="O144" s="69"/>
      <c r="P144" s="69"/>
      <c r="Q144" s="69"/>
      <c r="R144" s="69"/>
      <c r="S144" s="69"/>
      <c r="T144" s="69"/>
      <c r="U144" s="69"/>
      <c r="V144" s="69"/>
      <c r="W144" s="69"/>
    </row>
    <row r="145" spans="1:23" ht="11.25" customHeight="1" x14ac:dyDescent="0.25">
      <c r="A145" s="63">
        <f>'Org structure'!E142</f>
        <v>0</v>
      </c>
      <c r="B145" s="652"/>
      <c r="C145" s="920"/>
      <c r="D145" s="920"/>
      <c r="E145" s="1322"/>
      <c r="F145" s="1323"/>
      <c r="G145" s="920"/>
      <c r="H145" s="921"/>
      <c r="I145" s="1324"/>
      <c r="J145" s="920"/>
      <c r="K145" s="1322"/>
      <c r="L145" s="68"/>
      <c r="M145" s="69"/>
      <c r="N145" s="69"/>
      <c r="O145" s="69"/>
      <c r="P145" s="69"/>
      <c r="Q145" s="69"/>
      <c r="R145" s="69"/>
      <c r="S145" s="69"/>
      <c r="T145" s="69"/>
      <c r="U145" s="69"/>
      <c r="V145" s="69"/>
      <c r="W145" s="69"/>
    </row>
    <row r="146" spans="1:23" ht="11.25" customHeight="1" x14ac:dyDescent="0.25">
      <c r="A146" s="63">
        <f>'Org structure'!E143</f>
        <v>0</v>
      </c>
      <c r="B146" s="652"/>
      <c r="C146" s="920"/>
      <c r="D146" s="920"/>
      <c r="E146" s="1322"/>
      <c r="F146" s="1323"/>
      <c r="G146" s="920"/>
      <c r="H146" s="921"/>
      <c r="I146" s="1324"/>
      <c r="J146" s="920"/>
      <c r="K146" s="1322"/>
      <c r="L146" s="68"/>
      <c r="M146" s="69"/>
      <c r="N146" s="69"/>
      <c r="O146" s="69"/>
      <c r="P146" s="69"/>
      <c r="Q146" s="69"/>
      <c r="R146" s="69"/>
      <c r="S146" s="69"/>
      <c r="T146" s="69"/>
      <c r="U146" s="69"/>
      <c r="V146" s="69"/>
      <c r="W146" s="69"/>
    </row>
    <row r="147" spans="1:23" ht="11.25" customHeight="1" x14ac:dyDescent="0.25">
      <c r="A147" s="63">
        <f>'Org structure'!E144</f>
        <v>0</v>
      </c>
      <c r="B147" s="652"/>
      <c r="C147" s="920"/>
      <c r="D147" s="920"/>
      <c r="E147" s="1322"/>
      <c r="F147" s="1323"/>
      <c r="G147" s="920"/>
      <c r="H147" s="921"/>
      <c r="I147" s="1324"/>
      <c r="J147" s="920"/>
      <c r="K147" s="1322"/>
      <c r="L147" s="68"/>
      <c r="M147" s="69"/>
      <c r="N147" s="69"/>
      <c r="O147" s="69"/>
      <c r="P147" s="69"/>
      <c r="Q147" s="69"/>
      <c r="R147" s="69"/>
      <c r="S147" s="69"/>
      <c r="T147" s="69"/>
      <c r="U147" s="69"/>
      <c r="V147" s="69"/>
      <c r="W147" s="69"/>
    </row>
    <row r="148" spans="1:23" ht="11.25" customHeight="1" x14ac:dyDescent="0.25">
      <c r="A148" s="63">
        <f>'Org structure'!E145</f>
        <v>0</v>
      </c>
      <c r="B148" s="652"/>
      <c r="C148" s="920"/>
      <c r="D148" s="920"/>
      <c r="E148" s="1322"/>
      <c r="F148" s="1323"/>
      <c r="G148" s="920"/>
      <c r="H148" s="921"/>
      <c r="I148" s="1324"/>
      <c r="J148" s="920"/>
      <c r="K148" s="1322"/>
      <c r="L148" s="68"/>
      <c r="M148" s="69"/>
      <c r="N148" s="69"/>
      <c r="O148" s="69"/>
      <c r="P148" s="69"/>
      <c r="Q148" s="69"/>
      <c r="R148" s="69"/>
      <c r="S148" s="69"/>
      <c r="T148" s="69"/>
      <c r="U148" s="69"/>
      <c r="V148" s="69"/>
      <c r="W148" s="69"/>
    </row>
    <row r="149" spans="1:23" ht="15" customHeight="1" x14ac:dyDescent="0.25">
      <c r="A149" s="1077" t="str">
        <f>'Org structure'!A15</f>
        <v>Vote 14 - [NAME OF VOTE 14]</v>
      </c>
      <c r="B149" s="652"/>
      <c r="C149" s="592">
        <f>SUM(C150:C159)</f>
        <v>0</v>
      </c>
      <c r="D149" s="592">
        <f t="shared" ref="D149:K149" si="15">SUM(D150:D159)</f>
        <v>0</v>
      </c>
      <c r="E149" s="595">
        <f t="shared" si="15"/>
        <v>0</v>
      </c>
      <c r="F149" s="594">
        <f t="shared" si="15"/>
        <v>0</v>
      </c>
      <c r="G149" s="592">
        <f t="shared" si="15"/>
        <v>0</v>
      </c>
      <c r="H149" s="593">
        <f t="shared" si="15"/>
        <v>0</v>
      </c>
      <c r="I149" s="610">
        <f t="shared" si="15"/>
        <v>0</v>
      </c>
      <c r="J149" s="592">
        <f t="shared" si="15"/>
        <v>0</v>
      </c>
      <c r="K149" s="595">
        <f t="shared" si="15"/>
        <v>0</v>
      </c>
      <c r="L149" s="68"/>
      <c r="M149" s="69"/>
      <c r="N149" s="69"/>
      <c r="O149" s="69"/>
      <c r="P149" s="69"/>
      <c r="Q149" s="69"/>
      <c r="R149" s="69"/>
      <c r="S149" s="69"/>
      <c r="T149" s="69"/>
      <c r="U149" s="69"/>
      <c r="V149" s="69"/>
      <c r="W149" s="69"/>
    </row>
    <row r="150" spans="1:23" ht="11.25" customHeight="1" x14ac:dyDescent="0.25">
      <c r="A150" s="63" t="str">
        <f>'Org structure'!E147</f>
        <v>14.1 - [Name of sub-vote]</v>
      </c>
      <c r="B150" s="652"/>
      <c r="C150" s="920"/>
      <c r="D150" s="920"/>
      <c r="E150" s="1322"/>
      <c r="F150" s="1323"/>
      <c r="G150" s="920"/>
      <c r="H150" s="921"/>
      <c r="I150" s="1324"/>
      <c r="J150" s="920"/>
      <c r="K150" s="1322"/>
      <c r="L150" s="68"/>
      <c r="M150" s="69"/>
      <c r="N150" s="69"/>
      <c r="O150" s="69"/>
      <c r="P150" s="69"/>
      <c r="Q150" s="69"/>
      <c r="R150" s="69"/>
      <c r="S150" s="69"/>
      <c r="T150" s="69"/>
      <c r="U150" s="69"/>
      <c r="V150" s="69"/>
      <c r="W150" s="69"/>
    </row>
    <row r="151" spans="1:23" ht="11.25" customHeight="1" x14ac:dyDescent="0.25">
      <c r="A151" s="63">
        <f>'Org structure'!E148</f>
        <v>0</v>
      </c>
      <c r="B151" s="652"/>
      <c r="C151" s="920"/>
      <c r="D151" s="920"/>
      <c r="E151" s="1322"/>
      <c r="F151" s="1323"/>
      <c r="G151" s="920"/>
      <c r="H151" s="921"/>
      <c r="I151" s="1324"/>
      <c r="J151" s="920"/>
      <c r="K151" s="1322"/>
      <c r="L151" s="68"/>
      <c r="M151" s="69"/>
      <c r="N151" s="69"/>
      <c r="O151" s="69"/>
      <c r="P151" s="69"/>
      <c r="Q151" s="69"/>
      <c r="R151" s="69"/>
      <c r="S151" s="69"/>
      <c r="T151" s="69"/>
      <c r="U151" s="69"/>
      <c r="V151" s="69"/>
      <c r="W151" s="69"/>
    </row>
    <row r="152" spans="1:23" ht="11.25" customHeight="1" x14ac:dyDescent="0.25">
      <c r="A152" s="63">
        <f>'Org structure'!E149</f>
        <v>0</v>
      </c>
      <c r="B152" s="652"/>
      <c r="C152" s="920"/>
      <c r="D152" s="920"/>
      <c r="E152" s="1322"/>
      <c r="F152" s="1323"/>
      <c r="G152" s="920"/>
      <c r="H152" s="921"/>
      <c r="I152" s="1324"/>
      <c r="J152" s="920"/>
      <c r="K152" s="1322"/>
      <c r="L152" s="68"/>
      <c r="M152" s="69"/>
      <c r="N152" s="69"/>
      <c r="O152" s="69"/>
      <c r="P152" s="69"/>
      <c r="Q152" s="69"/>
      <c r="R152" s="69"/>
      <c r="S152" s="69"/>
      <c r="T152" s="69"/>
      <c r="U152" s="69"/>
      <c r="V152" s="69"/>
      <c r="W152" s="69"/>
    </row>
    <row r="153" spans="1:23" ht="11.25" customHeight="1" x14ac:dyDescent="0.25">
      <c r="A153" s="63">
        <f>'Org structure'!E150</f>
        <v>0</v>
      </c>
      <c r="B153" s="652"/>
      <c r="C153" s="920"/>
      <c r="D153" s="920"/>
      <c r="E153" s="1322"/>
      <c r="F153" s="1323"/>
      <c r="G153" s="920"/>
      <c r="H153" s="921"/>
      <c r="I153" s="1324"/>
      <c r="J153" s="920"/>
      <c r="K153" s="1322"/>
      <c r="L153" s="68"/>
      <c r="M153" s="69"/>
      <c r="N153" s="69"/>
      <c r="O153" s="69"/>
      <c r="P153" s="69"/>
      <c r="Q153" s="69"/>
      <c r="R153" s="69"/>
      <c r="S153" s="69"/>
      <c r="T153" s="69"/>
      <c r="U153" s="69"/>
      <c r="V153" s="69"/>
      <c r="W153" s="69"/>
    </row>
    <row r="154" spans="1:23" ht="11.25" customHeight="1" x14ac:dyDescent="0.25">
      <c r="A154" s="63">
        <f>'Org structure'!E151</f>
        <v>0</v>
      </c>
      <c r="B154" s="652"/>
      <c r="C154" s="920"/>
      <c r="D154" s="920"/>
      <c r="E154" s="1322"/>
      <c r="F154" s="1323"/>
      <c r="G154" s="920"/>
      <c r="H154" s="921"/>
      <c r="I154" s="1324"/>
      <c r="J154" s="920"/>
      <c r="K154" s="1322"/>
      <c r="L154" s="68"/>
      <c r="M154" s="69"/>
      <c r="N154" s="69"/>
      <c r="O154" s="69"/>
      <c r="P154" s="69"/>
      <c r="Q154" s="69"/>
      <c r="R154" s="69"/>
      <c r="S154" s="69"/>
      <c r="T154" s="69"/>
      <c r="U154" s="69"/>
      <c r="V154" s="69"/>
      <c r="W154" s="69"/>
    </row>
    <row r="155" spans="1:23" ht="11.25" customHeight="1" x14ac:dyDescent="0.25">
      <c r="A155" s="63">
        <f>'Org structure'!E152</f>
        <v>0</v>
      </c>
      <c r="B155" s="652"/>
      <c r="C155" s="920"/>
      <c r="D155" s="920"/>
      <c r="E155" s="1322"/>
      <c r="F155" s="1323"/>
      <c r="G155" s="920"/>
      <c r="H155" s="921"/>
      <c r="I155" s="1324"/>
      <c r="J155" s="920"/>
      <c r="K155" s="1322"/>
      <c r="L155" s="68"/>
      <c r="M155" s="69"/>
      <c r="N155" s="69"/>
      <c r="O155" s="69"/>
      <c r="P155" s="69"/>
      <c r="Q155" s="69"/>
      <c r="R155" s="69"/>
      <c r="S155" s="69"/>
      <c r="T155" s="69"/>
      <c r="U155" s="69"/>
      <c r="V155" s="69"/>
      <c r="W155" s="69"/>
    </row>
    <row r="156" spans="1:23" ht="11.25" customHeight="1" x14ac:dyDescent="0.25">
      <c r="A156" s="63">
        <f>'Org structure'!E153</f>
        <v>0</v>
      </c>
      <c r="B156" s="652"/>
      <c r="C156" s="920"/>
      <c r="D156" s="920"/>
      <c r="E156" s="1322"/>
      <c r="F156" s="1323"/>
      <c r="G156" s="920"/>
      <c r="H156" s="921"/>
      <c r="I156" s="1324"/>
      <c r="J156" s="920"/>
      <c r="K156" s="1322"/>
      <c r="L156" s="68"/>
      <c r="M156" s="69"/>
      <c r="N156" s="69"/>
      <c r="O156" s="69"/>
      <c r="P156" s="69"/>
      <c r="Q156" s="69"/>
      <c r="R156" s="69"/>
      <c r="S156" s="69"/>
      <c r="T156" s="69"/>
      <c r="U156" s="69"/>
      <c r="V156" s="69"/>
      <c r="W156" s="69"/>
    </row>
    <row r="157" spans="1:23" ht="11.25" customHeight="1" x14ac:dyDescent="0.25">
      <c r="A157" s="63">
        <f>'Org structure'!E154</f>
        <v>0</v>
      </c>
      <c r="B157" s="652"/>
      <c r="C157" s="920"/>
      <c r="D157" s="920"/>
      <c r="E157" s="1322"/>
      <c r="F157" s="1323"/>
      <c r="G157" s="920"/>
      <c r="H157" s="921"/>
      <c r="I157" s="1324"/>
      <c r="J157" s="920"/>
      <c r="K157" s="1322"/>
      <c r="L157" s="68"/>
      <c r="M157" s="69"/>
      <c r="N157" s="69"/>
      <c r="O157" s="69"/>
      <c r="P157" s="69"/>
      <c r="Q157" s="69"/>
      <c r="R157" s="69"/>
      <c r="S157" s="69"/>
      <c r="T157" s="69"/>
      <c r="U157" s="69"/>
      <c r="V157" s="69"/>
      <c r="W157" s="69"/>
    </row>
    <row r="158" spans="1:23" ht="11.25" customHeight="1" x14ac:dyDescent="0.25">
      <c r="A158" s="63">
        <f>'Org structure'!E155</f>
        <v>0</v>
      </c>
      <c r="B158" s="652"/>
      <c r="C158" s="920"/>
      <c r="D158" s="920"/>
      <c r="E158" s="1322"/>
      <c r="F158" s="1323"/>
      <c r="G158" s="920"/>
      <c r="H158" s="921"/>
      <c r="I158" s="1324"/>
      <c r="J158" s="920"/>
      <c r="K158" s="1322"/>
      <c r="L158" s="68"/>
      <c r="M158" s="69"/>
      <c r="N158" s="69"/>
      <c r="O158" s="69"/>
      <c r="P158" s="69"/>
      <c r="Q158" s="69"/>
      <c r="R158" s="69"/>
      <c r="S158" s="69"/>
      <c r="T158" s="69"/>
      <c r="U158" s="69"/>
      <c r="V158" s="69"/>
      <c r="W158" s="69"/>
    </row>
    <row r="159" spans="1:23" ht="11.25" customHeight="1" x14ac:dyDescent="0.25">
      <c r="A159" s="63">
        <f>'Org structure'!E156</f>
        <v>0</v>
      </c>
      <c r="B159" s="652"/>
      <c r="C159" s="920"/>
      <c r="D159" s="920"/>
      <c r="E159" s="1322"/>
      <c r="F159" s="1323"/>
      <c r="G159" s="920"/>
      <c r="H159" s="921"/>
      <c r="I159" s="1324"/>
      <c r="J159" s="920"/>
      <c r="K159" s="1322"/>
      <c r="L159" s="68"/>
      <c r="M159" s="69"/>
      <c r="N159" s="69"/>
      <c r="O159" s="69"/>
      <c r="P159" s="69"/>
      <c r="Q159" s="69"/>
      <c r="R159" s="69"/>
      <c r="S159" s="69"/>
      <c r="T159" s="69"/>
      <c r="U159" s="69"/>
      <c r="V159" s="69"/>
      <c r="W159" s="69"/>
    </row>
    <row r="160" spans="1:23" ht="15" customHeight="1" x14ac:dyDescent="0.25">
      <c r="A160" s="1077" t="str">
        <f>'Org structure'!A16</f>
        <v>Vote 15 - [NAME OF VOTE 15]</v>
      </c>
      <c r="B160" s="652"/>
      <c r="C160" s="592">
        <f>SUM(C161:C170)</f>
        <v>0</v>
      </c>
      <c r="D160" s="592">
        <f t="shared" ref="D160:K160" si="16">SUM(D161:D170)</f>
        <v>0</v>
      </c>
      <c r="E160" s="595">
        <f t="shared" si="16"/>
        <v>0</v>
      </c>
      <c r="F160" s="594">
        <f t="shared" si="16"/>
        <v>0</v>
      </c>
      <c r="G160" s="592">
        <f t="shared" si="16"/>
        <v>0</v>
      </c>
      <c r="H160" s="593">
        <f t="shared" si="16"/>
        <v>0</v>
      </c>
      <c r="I160" s="610">
        <f t="shared" si="16"/>
        <v>0</v>
      </c>
      <c r="J160" s="592">
        <f t="shared" si="16"/>
        <v>0</v>
      </c>
      <c r="K160" s="595">
        <f t="shared" si="16"/>
        <v>0</v>
      </c>
      <c r="L160" s="68"/>
      <c r="M160" s="69"/>
      <c r="N160" s="69"/>
      <c r="O160" s="69"/>
      <c r="P160" s="69"/>
      <c r="Q160" s="69"/>
      <c r="R160" s="69"/>
      <c r="S160" s="69"/>
      <c r="T160" s="69"/>
      <c r="U160" s="69"/>
      <c r="V160" s="69"/>
      <c r="W160" s="69"/>
    </row>
    <row r="161" spans="1:23" ht="11.25" customHeight="1" x14ac:dyDescent="0.25">
      <c r="A161" s="63" t="str">
        <f>'Org structure'!E158</f>
        <v>15.1 - [Name of sub-vote]</v>
      </c>
      <c r="B161" s="652"/>
      <c r="C161" s="920"/>
      <c r="D161" s="920"/>
      <c r="E161" s="1322"/>
      <c r="F161" s="1323"/>
      <c r="G161" s="920"/>
      <c r="H161" s="921"/>
      <c r="I161" s="1324"/>
      <c r="J161" s="920"/>
      <c r="K161" s="1322"/>
      <c r="L161" s="68"/>
      <c r="M161" s="69"/>
      <c r="N161" s="69"/>
      <c r="O161" s="69"/>
      <c r="P161" s="69"/>
      <c r="Q161" s="69"/>
      <c r="R161" s="69"/>
      <c r="S161" s="69"/>
      <c r="T161" s="69"/>
      <c r="U161" s="69"/>
      <c r="V161" s="69"/>
      <c r="W161" s="69"/>
    </row>
    <row r="162" spans="1:23" ht="11.25" customHeight="1" x14ac:dyDescent="0.25">
      <c r="A162" s="63">
        <f>'Org structure'!E159</f>
        <v>0</v>
      </c>
      <c r="B162" s="652"/>
      <c r="C162" s="920"/>
      <c r="D162" s="920"/>
      <c r="E162" s="1322"/>
      <c r="F162" s="1323"/>
      <c r="G162" s="920"/>
      <c r="H162" s="921"/>
      <c r="I162" s="1324"/>
      <c r="J162" s="920"/>
      <c r="K162" s="1322"/>
      <c r="L162" s="68"/>
      <c r="M162" s="69"/>
      <c r="N162" s="69"/>
      <c r="O162" s="69"/>
      <c r="P162" s="69"/>
      <c r="Q162" s="69"/>
      <c r="R162" s="69"/>
      <c r="S162" s="69"/>
      <c r="T162" s="69"/>
      <c r="U162" s="69"/>
      <c r="V162" s="69"/>
      <c r="W162" s="69"/>
    </row>
    <row r="163" spans="1:23" ht="11.25" customHeight="1" x14ac:dyDescent="0.25">
      <c r="A163" s="63">
        <f>'Org structure'!E160</f>
        <v>0</v>
      </c>
      <c r="B163" s="652"/>
      <c r="C163" s="920"/>
      <c r="D163" s="920"/>
      <c r="E163" s="1322"/>
      <c r="F163" s="1323"/>
      <c r="G163" s="920"/>
      <c r="H163" s="921"/>
      <c r="I163" s="1324"/>
      <c r="J163" s="920"/>
      <c r="K163" s="1322"/>
      <c r="L163" s="68"/>
      <c r="M163" s="69"/>
      <c r="N163" s="69"/>
      <c r="O163" s="69"/>
      <c r="P163" s="69"/>
      <c r="Q163" s="69"/>
      <c r="R163" s="69"/>
      <c r="S163" s="69"/>
      <c r="T163" s="69"/>
      <c r="U163" s="69"/>
      <c r="V163" s="69"/>
      <c r="W163" s="69"/>
    </row>
    <row r="164" spans="1:23" ht="11.25" customHeight="1" x14ac:dyDescent="0.25">
      <c r="A164" s="63">
        <f>'Org structure'!E161</f>
        <v>0</v>
      </c>
      <c r="B164" s="652"/>
      <c r="C164" s="920"/>
      <c r="D164" s="920"/>
      <c r="E164" s="1322"/>
      <c r="F164" s="1323"/>
      <c r="G164" s="920"/>
      <c r="H164" s="921"/>
      <c r="I164" s="1324"/>
      <c r="J164" s="920"/>
      <c r="K164" s="1322"/>
      <c r="L164" s="68"/>
      <c r="M164" s="69"/>
      <c r="N164" s="69"/>
      <c r="O164" s="69"/>
      <c r="P164" s="69"/>
      <c r="Q164" s="69"/>
      <c r="R164" s="69"/>
      <c r="S164" s="69"/>
      <c r="T164" s="69"/>
      <c r="U164" s="69"/>
      <c r="V164" s="69"/>
      <c r="W164" s="69"/>
    </row>
    <row r="165" spans="1:23" ht="11.25" customHeight="1" x14ac:dyDescent="0.25">
      <c r="A165" s="63">
        <f>'Org structure'!E162</f>
        <v>0</v>
      </c>
      <c r="B165" s="652"/>
      <c r="C165" s="920"/>
      <c r="D165" s="920"/>
      <c r="E165" s="1322"/>
      <c r="F165" s="1323"/>
      <c r="G165" s="920"/>
      <c r="H165" s="921"/>
      <c r="I165" s="1324"/>
      <c r="J165" s="920"/>
      <c r="K165" s="1322"/>
      <c r="L165" s="68"/>
      <c r="M165" s="69"/>
      <c r="N165" s="69"/>
      <c r="O165" s="69"/>
      <c r="P165" s="69"/>
      <c r="Q165" s="69"/>
      <c r="R165" s="69"/>
      <c r="S165" s="69"/>
      <c r="T165" s="69"/>
      <c r="U165" s="69"/>
      <c r="V165" s="69"/>
      <c r="W165" s="69"/>
    </row>
    <row r="166" spans="1:23" ht="11.25" customHeight="1" x14ac:dyDescent="0.25">
      <c r="A166" s="63">
        <f>'Org structure'!E163</f>
        <v>0</v>
      </c>
      <c r="B166" s="652"/>
      <c r="C166" s="920"/>
      <c r="D166" s="920"/>
      <c r="E166" s="1322"/>
      <c r="F166" s="1323"/>
      <c r="G166" s="920"/>
      <c r="H166" s="921"/>
      <c r="I166" s="1324"/>
      <c r="J166" s="920"/>
      <c r="K166" s="1322"/>
      <c r="L166" s="68"/>
      <c r="M166" s="69"/>
      <c r="N166" s="69"/>
      <c r="O166" s="69"/>
      <c r="P166" s="69"/>
      <c r="Q166" s="69"/>
      <c r="R166" s="69"/>
      <c r="S166" s="69"/>
      <c r="T166" s="69"/>
      <c r="U166" s="69"/>
      <c r="V166" s="69"/>
      <c r="W166" s="69"/>
    </row>
    <row r="167" spans="1:23" ht="11.25" customHeight="1" x14ac:dyDescent="0.25">
      <c r="A167" s="63">
        <f>'Org structure'!E164</f>
        <v>0</v>
      </c>
      <c r="B167" s="652"/>
      <c r="C167" s="920"/>
      <c r="D167" s="920"/>
      <c r="E167" s="1322"/>
      <c r="F167" s="1323"/>
      <c r="G167" s="920"/>
      <c r="H167" s="921"/>
      <c r="I167" s="1324"/>
      <c r="J167" s="920"/>
      <c r="K167" s="1322"/>
      <c r="L167" s="68"/>
      <c r="M167" s="69"/>
      <c r="N167" s="69"/>
      <c r="O167" s="69"/>
      <c r="P167" s="69"/>
      <c r="Q167" s="69"/>
      <c r="R167" s="69"/>
      <c r="S167" s="69"/>
      <c r="T167" s="69"/>
      <c r="U167" s="69"/>
      <c r="V167" s="69"/>
      <c r="W167" s="69"/>
    </row>
    <row r="168" spans="1:23" ht="11.25" customHeight="1" x14ac:dyDescent="0.25">
      <c r="A168" s="63">
        <f>'Org structure'!E165</f>
        <v>0</v>
      </c>
      <c r="B168" s="652"/>
      <c r="C168" s="920"/>
      <c r="D168" s="920"/>
      <c r="E168" s="1322"/>
      <c r="F168" s="1323"/>
      <c r="G168" s="920"/>
      <c r="H168" s="921"/>
      <c r="I168" s="1324"/>
      <c r="J168" s="920"/>
      <c r="K168" s="1322"/>
      <c r="L168" s="68"/>
      <c r="M168" s="69"/>
      <c r="N168" s="69"/>
      <c r="O168" s="69"/>
      <c r="P168" s="69"/>
      <c r="Q168" s="69"/>
      <c r="R168" s="69"/>
      <c r="S168" s="69"/>
      <c r="T168" s="69"/>
      <c r="U168" s="69"/>
      <c r="V168" s="69"/>
      <c r="W168" s="69"/>
    </row>
    <row r="169" spans="1:23" ht="11.25" customHeight="1" x14ac:dyDescent="0.25">
      <c r="A169" s="63">
        <f>'Org structure'!E166</f>
        <v>0</v>
      </c>
      <c r="B169" s="652"/>
      <c r="C169" s="920"/>
      <c r="D169" s="920"/>
      <c r="E169" s="1322"/>
      <c r="F169" s="1323"/>
      <c r="G169" s="920"/>
      <c r="H169" s="921"/>
      <c r="I169" s="1324"/>
      <c r="J169" s="920"/>
      <c r="K169" s="1322"/>
      <c r="L169" s="68"/>
      <c r="M169" s="69"/>
      <c r="N169" s="69"/>
      <c r="O169" s="69"/>
      <c r="P169" s="69"/>
      <c r="Q169" s="69"/>
      <c r="R169" s="69"/>
      <c r="S169" s="69"/>
      <c r="T169" s="69"/>
      <c r="U169" s="69"/>
      <c r="V169" s="69"/>
      <c r="W169" s="69"/>
    </row>
    <row r="170" spans="1:23" ht="11.25" customHeight="1" x14ac:dyDescent="0.25">
      <c r="A170" s="63">
        <f>'Org structure'!E167</f>
        <v>0</v>
      </c>
      <c r="B170" s="652"/>
      <c r="C170" s="920"/>
      <c r="D170" s="920"/>
      <c r="E170" s="1322"/>
      <c r="F170" s="1323"/>
      <c r="G170" s="920"/>
      <c r="H170" s="921"/>
      <c r="I170" s="1324"/>
      <c r="J170" s="920"/>
      <c r="K170" s="1322"/>
      <c r="L170" s="68"/>
      <c r="M170" s="69"/>
      <c r="N170" s="69"/>
      <c r="O170" s="69"/>
      <c r="P170" s="69"/>
      <c r="Q170" s="69"/>
      <c r="R170" s="69"/>
      <c r="S170" s="69"/>
      <c r="T170" s="69"/>
      <c r="U170" s="69"/>
      <c r="V170" s="69"/>
      <c r="W170" s="69"/>
    </row>
    <row r="171" spans="1:23" ht="11.25" customHeight="1" x14ac:dyDescent="0.25">
      <c r="A171" s="70" t="s">
        <v>157</v>
      </c>
      <c r="B171" s="55">
        <v>2</v>
      </c>
      <c r="C171" s="71">
        <f>C5+C16+C27+C38+C49+C60+C72+C83+C94+C105+C116+C127+C138+C149+C160</f>
        <v>0</v>
      </c>
      <c r="D171" s="71">
        <f>D5+D16+D27+D38+D49+D60+D72+D83+D94+D105+D116+D127+D138+D149+D160</f>
        <v>330440712.27000004</v>
      </c>
      <c r="E171" s="719">
        <f t="shared" ref="E171:K171" si="17">E5+E16+E27+E38+E49+E60+E72+E83+E94+E105+E116+E127+E138+E149+E160</f>
        <v>376263458.71999997</v>
      </c>
      <c r="F171" s="720">
        <f t="shared" si="17"/>
        <v>342318905.24404001</v>
      </c>
      <c r="G171" s="71">
        <f t="shared" si="17"/>
        <v>373756258.36404002</v>
      </c>
      <c r="H171" s="721">
        <f t="shared" si="17"/>
        <v>373756258.36404002</v>
      </c>
      <c r="I171" s="722">
        <f>I5+I16+I27+I38+I49+I60+I72+I83+I94+I105+I116+I127+I138+I149+I160</f>
        <v>393212327.99351883</v>
      </c>
      <c r="J171" s="71">
        <f t="shared" si="17"/>
        <v>416805067.67312998</v>
      </c>
      <c r="K171" s="719">
        <f t="shared" si="17"/>
        <v>441813371.73351777</v>
      </c>
      <c r="L171" s="72">
        <f t="shared" ref="L171:W171" si="18">SUM(L79:L82)</f>
        <v>0</v>
      </c>
      <c r="M171" s="73">
        <f t="shared" si="18"/>
        <v>0</v>
      </c>
      <c r="N171" s="73">
        <f t="shared" si="18"/>
        <v>0</v>
      </c>
      <c r="O171" s="73">
        <f t="shared" si="18"/>
        <v>0</v>
      </c>
      <c r="P171" s="73">
        <f t="shared" si="18"/>
        <v>0</v>
      </c>
      <c r="Q171" s="73">
        <f t="shared" si="18"/>
        <v>0</v>
      </c>
      <c r="R171" s="73">
        <f t="shared" si="18"/>
        <v>0</v>
      </c>
      <c r="S171" s="73">
        <f t="shared" si="18"/>
        <v>0</v>
      </c>
      <c r="T171" s="73">
        <f t="shared" si="18"/>
        <v>0</v>
      </c>
      <c r="U171" s="73">
        <f t="shared" si="18"/>
        <v>0</v>
      </c>
      <c r="V171" s="73">
        <f t="shared" si="18"/>
        <v>0</v>
      </c>
      <c r="W171" s="73">
        <f t="shared" si="18"/>
        <v>0</v>
      </c>
    </row>
    <row r="172" spans="1:23" ht="4.9000000000000004" customHeight="1" x14ac:dyDescent="0.25">
      <c r="A172" s="170"/>
      <c r="B172" s="179"/>
      <c r="C172" s="229"/>
      <c r="D172" s="229"/>
      <c r="E172" s="230"/>
      <c r="F172" s="231"/>
      <c r="G172" s="229"/>
      <c r="H172" s="232"/>
      <c r="I172" s="723"/>
      <c r="J172" s="229"/>
      <c r="K172" s="230"/>
      <c r="L172" s="68"/>
      <c r="M172" s="69"/>
      <c r="N172" s="69"/>
      <c r="O172" s="69"/>
      <c r="P172" s="69"/>
      <c r="Q172" s="69"/>
      <c r="R172" s="69"/>
      <c r="S172" s="69"/>
      <c r="T172" s="69"/>
      <c r="U172" s="69"/>
      <c r="V172" s="69"/>
      <c r="W172" s="69"/>
    </row>
    <row r="173" spans="1:23" ht="11.25" customHeight="1" x14ac:dyDescent="0.25">
      <c r="A173" s="539" t="s">
        <v>368</v>
      </c>
      <c r="B173" s="136">
        <v>1</v>
      </c>
      <c r="C173" s="226"/>
      <c r="D173" s="226"/>
      <c r="E173" s="724"/>
      <c r="F173" s="725"/>
      <c r="G173" s="226"/>
      <c r="H173" s="726"/>
      <c r="I173" s="180"/>
      <c r="J173" s="226"/>
      <c r="K173" s="724"/>
      <c r="L173" s="68"/>
      <c r="M173" s="69"/>
      <c r="N173" s="69"/>
      <c r="O173" s="69"/>
      <c r="P173" s="69"/>
      <c r="Q173" s="69"/>
      <c r="R173" s="69"/>
      <c r="S173" s="69"/>
      <c r="T173" s="69"/>
      <c r="U173" s="69"/>
      <c r="V173" s="69"/>
      <c r="W173" s="69"/>
    </row>
    <row r="174" spans="1:23" ht="15" customHeight="1" x14ac:dyDescent="0.25">
      <c r="A174" s="189" t="str">
        <f t="shared" ref="A174:A205" si="19">A5</f>
        <v>Vote 1 - COUNCIL</v>
      </c>
      <c r="B174" s="369"/>
      <c r="C174" s="592">
        <f t="shared" ref="C174:K174" si="20">SUM(C175:C184)</f>
        <v>0</v>
      </c>
      <c r="D174" s="592">
        <f t="shared" si="20"/>
        <v>15304624.986666666</v>
      </c>
      <c r="E174" s="595">
        <f t="shared" si="20"/>
        <v>30178090.690000001</v>
      </c>
      <c r="F174" s="594">
        <f t="shared" si="20"/>
        <v>0</v>
      </c>
      <c r="G174" s="592">
        <f t="shared" si="20"/>
        <v>0</v>
      </c>
      <c r="H174" s="593">
        <f t="shared" si="20"/>
        <v>0</v>
      </c>
      <c r="I174" s="610">
        <f t="shared" si="20"/>
        <v>0</v>
      </c>
      <c r="J174" s="592">
        <f t="shared" si="20"/>
        <v>0</v>
      </c>
      <c r="K174" s="595">
        <f t="shared" si="20"/>
        <v>0</v>
      </c>
      <c r="L174" s="68"/>
      <c r="M174" s="69"/>
      <c r="N174" s="69"/>
      <c r="O174" s="69"/>
      <c r="P174" s="69"/>
      <c r="Q174" s="69"/>
      <c r="R174" s="69"/>
      <c r="S174" s="69"/>
      <c r="T174" s="69"/>
      <c r="U174" s="69"/>
      <c r="V174" s="69"/>
      <c r="W174" s="69"/>
    </row>
    <row r="175" spans="1:23" ht="11.25" customHeight="1" x14ac:dyDescent="0.25">
      <c r="A175" s="63" t="str">
        <f t="shared" si="19"/>
        <v>1.1 - Council General Expenses</v>
      </c>
      <c r="B175" s="652"/>
      <c r="C175" s="1316"/>
      <c r="D175" s="1316">
        <v>15304624.986666666</v>
      </c>
      <c r="E175" s="1325">
        <f>30160090.69+18000</f>
        <v>30178090.690000001</v>
      </c>
      <c r="F175" s="1326"/>
      <c r="G175" s="1316"/>
      <c r="H175" s="1327"/>
      <c r="I175" s="1318"/>
      <c r="J175" s="1316"/>
      <c r="K175" s="1325"/>
      <c r="L175" s="68"/>
      <c r="M175" s="69"/>
      <c r="N175" s="69"/>
      <c r="O175" s="69"/>
      <c r="P175" s="69"/>
      <c r="Q175" s="69"/>
      <c r="R175" s="69"/>
      <c r="S175" s="69"/>
      <c r="T175" s="69"/>
      <c r="U175" s="69"/>
      <c r="V175" s="69"/>
      <c r="W175" s="69"/>
    </row>
    <row r="176" spans="1:23" ht="11.25" customHeight="1" x14ac:dyDescent="0.25">
      <c r="A176" s="63">
        <f t="shared" si="19"/>
        <v>0</v>
      </c>
      <c r="B176" s="652"/>
      <c r="C176" s="1316"/>
      <c r="D176" s="1316"/>
      <c r="E176" s="1325"/>
      <c r="F176" s="1326"/>
      <c r="G176" s="1316"/>
      <c r="H176" s="1327"/>
      <c r="I176" s="1318"/>
      <c r="J176" s="1316"/>
      <c r="K176" s="1325"/>
      <c r="L176" s="68"/>
      <c r="M176" s="69"/>
      <c r="N176" s="69"/>
      <c r="O176" s="69"/>
      <c r="P176" s="69"/>
      <c r="Q176" s="69"/>
      <c r="R176" s="69"/>
      <c r="S176" s="69"/>
      <c r="T176" s="69"/>
      <c r="U176" s="69"/>
      <c r="V176" s="69"/>
      <c r="W176" s="69"/>
    </row>
    <row r="177" spans="1:23" ht="11.25" customHeight="1" x14ac:dyDescent="0.25">
      <c r="A177" s="63">
        <f t="shared" si="19"/>
        <v>0</v>
      </c>
      <c r="B177" s="652"/>
      <c r="C177" s="1316"/>
      <c r="D177" s="1316"/>
      <c r="E177" s="1325"/>
      <c r="F177" s="1326"/>
      <c r="G177" s="1316"/>
      <c r="H177" s="1327"/>
      <c r="I177" s="1318"/>
      <c r="J177" s="1316"/>
      <c r="K177" s="1325"/>
      <c r="L177" s="68"/>
      <c r="M177" s="69"/>
      <c r="N177" s="69"/>
      <c r="O177" s="69"/>
      <c r="P177" s="69"/>
      <c r="Q177" s="69"/>
      <c r="R177" s="69"/>
      <c r="S177" s="69"/>
      <c r="T177" s="69"/>
      <c r="U177" s="69"/>
      <c r="V177" s="69"/>
      <c r="W177" s="69"/>
    </row>
    <row r="178" spans="1:23" ht="11.25" customHeight="1" x14ac:dyDescent="0.25">
      <c r="A178" s="63">
        <f t="shared" si="19"/>
        <v>0</v>
      </c>
      <c r="B178" s="652"/>
      <c r="C178" s="1316"/>
      <c r="D178" s="1316"/>
      <c r="E178" s="1325"/>
      <c r="F178" s="1326"/>
      <c r="G178" s="1316"/>
      <c r="H178" s="1327"/>
      <c r="I178" s="1318"/>
      <c r="J178" s="1316"/>
      <c r="K178" s="1325"/>
      <c r="L178" s="68"/>
      <c r="M178" s="69"/>
      <c r="N178" s="69"/>
      <c r="O178" s="69"/>
      <c r="P178" s="69"/>
      <c r="Q178" s="69"/>
      <c r="R178" s="69"/>
      <c r="S178" s="69"/>
      <c r="T178" s="69"/>
      <c r="U178" s="69"/>
      <c r="V178" s="69"/>
      <c r="W178" s="69"/>
    </row>
    <row r="179" spans="1:23" ht="11.25" customHeight="1" x14ac:dyDescent="0.25">
      <c r="A179" s="63">
        <f t="shared" si="19"/>
        <v>0</v>
      </c>
      <c r="B179" s="652"/>
      <c r="C179" s="1316"/>
      <c r="D179" s="1316"/>
      <c r="E179" s="1325"/>
      <c r="F179" s="1326"/>
      <c r="G179" s="1316"/>
      <c r="H179" s="1327"/>
      <c r="I179" s="1318"/>
      <c r="J179" s="1316"/>
      <c r="K179" s="1325"/>
      <c r="L179" s="68"/>
      <c r="M179" s="69"/>
      <c r="N179" s="69"/>
      <c r="O179" s="69"/>
      <c r="P179" s="69"/>
      <c r="Q179" s="69"/>
      <c r="R179" s="69"/>
      <c r="S179" s="69"/>
      <c r="T179" s="69"/>
      <c r="U179" s="69"/>
      <c r="V179" s="69"/>
      <c r="W179" s="69"/>
    </row>
    <row r="180" spans="1:23" ht="11.25" customHeight="1" x14ac:dyDescent="0.25">
      <c r="A180" s="63">
        <f t="shared" si="19"/>
        <v>0</v>
      </c>
      <c r="B180" s="652"/>
      <c r="C180" s="1316"/>
      <c r="D180" s="1316"/>
      <c r="E180" s="1325"/>
      <c r="F180" s="1326"/>
      <c r="G180" s="1316"/>
      <c r="H180" s="1327"/>
      <c r="I180" s="1318"/>
      <c r="J180" s="1316"/>
      <c r="K180" s="1325"/>
      <c r="L180" s="68"/>
      <c r="M180" s="69"/>
      <c r="N180" s="69"/>
      <c r="O180" s="69"/>
      <c r="P180" s="69"/>
      <c r="Q180" s="69"/>
      <c r="R180" s="69"/>
      <c r="S180" s="69"/>
      <c r="T180" s="69"/>
      <c r="U180" s="69"/>
      <c r="V180" s="69"/>
      <c r="W180" s="69"/>
    </row>
    <row r="181" spans="1:23" ht="11.25" customHeight="1" x14ac:dyDescent="0.25">
      <c r="A181" s="63">
        <f t="shared" si="19"/>
        <v>0</v>
      </c>
      <c r="B181" s="652"/>
      <c r="C181" s="1316"/>
      <c r="D181" s="1316"/>
      <c r="E181" s="1325"/>
      <c r="F181" s="1326"/>
      <c r="G181" s="1316"/>
      <c r="H181" s="1327"/>
      <c r="I181" s="1318"/>
      <c r="J181" s="1316"/>
      <c r="K181" s="1325"/>
      <c r="L181" s="68"/>
      <c r="M181" s="69"/>
      <c r="N181" s="69"/>
      <c r="O181" s="69"/>
      <c r="P181" s="69"/>
      <c r="Q181" s="69"/>
      <c r="R181" s="69"/>
      <c r="S181" s="69"/>
      <c r="T181" s="69"/>
      <c r="U181" s="69"/>
      <c r="V181" s="69"/>
      <c r="W181" s="69"/>
    </row>
    <row r="182" spans="1:23" ht="11.25" customHeight="1" x14ac:dyDescent="0.25">
      <c r="A182" s="63">
        <f t="shared" si="19"/>
        <v>0</v>
      </c>
      <c r="B182" s="652"/>
      <c r="C182" s="1316"/>
      <c r="D182" s="1316"/>
      <c r="E182" s="1325"/>
      <c r="F182" s="1326"/>
      <c r="G182" s="1316"/>
      <c r="H182" s="1327"/>
      <c r="I182" s="1318"/>
      <c r="J182" s="1316"/>
      <c r="K182" s="1325"/>
      <c r="L182" s="68"/>
      <c r="M182" s="69"/>
      <c r="N182" s="69"/>
      <c r="O182" s="69"/>
      <c r="P182" s="69"/>
      <c r="Q182" s="69"/>
      <c r="R182" s="69"/>
      <c r="S182" s="69"/>
      <c r="T182" s="69"/>
      <c r="U182" s="69"/>
      <c r="V182" s="69"/>
      <c r="W182" s="69"/>
    </row>
    <row r="183" spans="1:23" ht="11.25" customHeight="1" x14ac:dyDescent="0.25">
      <c r="A183" s="63">
        <f t="shared" si="19"/>
        <v>0</v>
      </c>
      <c r="B183" s="652"/>
      <c r="C183" s="1316"/>
      <c r="D183" s="1316"/>
      <c r="E183" s="1325"/>
      <c r="F183" s="1326"/>
      <c r="G183" s="1316"/>
      <c r="H183" s="1327"/>
      <c r="I183" s="1318"/>
      <c r="J183" s="1316"/>
      <c r="K183" s="1325"/>
      <c r="L183" s="68"/>
      <c r="M183" s="69"/>
      <c r="N183" s="69"/>
      <c r="O183" s="69"/>
      <c r="P183" s="69"/>
      <c r="Q183" s="69"/>
      <c r="R183" s="69"/>
      <c r="S183" s="69"/>
      <c r="T183" s="69"/>
      <c r="U183" s="69"/>
      <c r="V183" s="69"/>
      <c r="W183" s="69"/>
    </row>
    <row r="184" spans="1:23" ht="11.25" customHeight="1" x14ac:dyDescent="0.25">
      <c r="A184" s="63">
        <f t="shared" si="19"/>
        <v>0</v>
      </c>
      <c r="B184" s="652"/>
      <c r="C184" s="1316"/>
      <c r="D184" s="1316"/>
      <c r="E184" s="1325"/>
      <c r="F184" s="1326"/>
      <c r="G184" s="1316"/>
      <c r="H184" s="1327"/>
      <c r="I184" s="1318"/>
      <c r="J184" s="1316"/>
      <c r="K184" s="1325"/>
      <c r="L184" s="68"/>
      <c r="M184" s="69"/>
      <c r="N184" s="69"/>
      <c r="O184" s="69"/>
      <c r="P184" s="69"/>
      <c r="Q184" s="69"/>
      <c r="R184" s="69"/>
      <c r="S184" s="69"/>
      <c r="T184" s="69"/>
      <c r="U184" s="69"/>
      <c r="V184" s="69"/>
      <c r="W184" s="69"/>
    </row>
    <row r="185" spans="1:23" ht="15" customHeight="1" x14ac:dyDescent="0.25">
      <c r="A185" s="189" t="str">
        <f t="shared" si="19"/>
        <v>Vote 2 - OFFICE OF THE MUNICIPAL MANAGER</v>
      </c>
      <c r="B185" s="663"/>
      <c r="C185" s="592">
        <f>SUM(C186:C195)</f>
        <v>0</v>
      </c>
      <c r="D185" s="592">
        <f>SUM(D186:D195)</f>
        <v>10739343.9</v>
      </c>
      <c r="E185" s="595">
        <f t="shared" ref="E185:K185" si="21">SUM(E186:E195)</f>
        <v>11608088.880000001</v>
      </c>
      <c r="F185" s="594">
        <f t="shared" si="21"/>
        <v>10931901.109999999</v>
      </c>
      <c r="G185" s="592">
        <f t="shared" si="21"/>
        <v>15263268.59</v>
      </c>
      <c r="H185" s="593">
        <f t="shared" si="21"/>
        <v>15263268.59</v>
      </c>
      <c r="I185" s="610">
        <f t="shared" si="21"/>
        <v>15172379</v>
      </c>
      <c r="J185" s="592">
        <f t="shared" si="21"/>
        <v>16082721.740000002</v>
      </c>
      <c r="K185" s="595">
        <f t="shared" si="21"/>
        <v>17047685.044400003</v>
      </c>
      <c r="L185" s="68"/>
      <c r="M185" s="69"/>
      <c r="N185" s="69"/>
      <c r="O185" s="69"/>
      <c r="P185" s="69"/>
      <c r="Q185" s="69"/>
      <c r="R185" s="69"/>
      <c r="S185" s="69"/>
      <c r="T185" s="69"/>
      <c r="U185" s="69"/>
      <c r="V185" s="69"/>
      <c r="W185" s="69"/>
    </row>
    <row r="186" spans="1:23" ht="11.25" customHeight="1" x14ac:dyDescent="0.25">
      <c r="A186" s="63" t="str">
        <f t="shared" si="19"/>
        <v>2.1 - Internal Audit</v>
      </c>
      <c r="B186" s="652"/>
      <c r="C186" s="1316"/>
      <c r="D186" s="1316"/>
      <c r="E186" s="1325">
        <v>6233.35</v>
      </c>
      <c r="F186" s="1326">
        <v>1683302.1099999999</v>
      </c>
      <c r="G186" s="1316">
        <v>794618.58999999985</v>
      </c>
      <c r="H186" s="1327">
        <v>794618.58999999985</v>
      </c>
      <c r="I186" s="1318">
        <v>924773</v>
      </c>
      <c r="J186" s="1316">
        <f>I186*1.06</f>
        <v>980259.38</v>
      </c>
      <c r="K186" s="1325">
        <f>J186*1.06</f>
        <v>1039074.9428000001</v>
      </c>
      <c r="L186" s="68"/>
      <c r="M186" s="69"/>
      <c r="N186" s="69"/>
      <c r="O186" s="69"/>
      <c r="P186" s="69"/>
      <c r="Q186" s="69"/>
      <c r="R186" s="69"/>
      <c r="S186" s="69"/>
      <c r="T186" s="69"/>
      <c r="U186" s="69"/>
      <c r="V186" s="69"/>
      <c r="W186" s="69"/>
    </row>
    <row r="187" spans="1:23" ht="11.25" customHeight="1" x14ac:dyDescent="0.25">
      <c r="A187" s="63" t="str">
        <f t="shared" si="19"/>
        <v>2.2 - Risk Management</v>
      </c>
      <c r="B187" s="652"/>
      <c r="C187" s="1316"/>
      <c r="D187" s="1316"/>
      <c r="E187" s="1325"/>
      <c r="F187" s="1326"/>
      <c r="G187" s="1316">
        <v>0</v>
      </c>
      <c r="H187" s="1327">
        <v>0</v>
      </c>
      <c r="I187" s="1318"/>
      <c r="J187" s="1316"/>
      <c r="K187" s="1325"/>
      <c r="L187" s="68"/>
      <c r="M187" s="69"/>
      <c r="N187" s="69"/>
      <c r="O187" s="69"/>
      <c r="P187" s="69"/>
      <c r="Q187" s="69"/>
      <c r="R187" s="69"/>
      <c r="S187" s="69"/>
      <c r="T187" s="69"/>
      <c r="U187" s="69"/>
      <c r="V187" s="69"/>
      <c r="W187" s="69"/>
    </row>
    <row r="188" spans="1:23" ht="11.25" customHeight="1" x14ac:dyDescent="0.25">
      <c r="A188" s="63" t="str">
        <f t="shared" si="19"/>
        <v>2.3 - Institutional Performance Management</v>
      </c>
      <c r="B188" s="652"/>
      <c r="C188" s="1316"/>
      <c r="D188" s="1316">
        <v>586882</v>
      </c>
      <c r="E188" s="1325">
        <v>782599.19000000006</v>
      </c>
      <c r="F188" s="1326">
        <v>1047162</v>
      </c>
      <c r="G188" s="1316">
        <v>1241822</v>
      </c>
      <c r="H188" s="1327">
        <v>1241822</v>
      </c>
      <c r="I188" s="1318">
        <v>1459756</v>
      </c>
      <c r="J188" s="1316">
        <f>I188*1.06</f>
        <v>1547341.36</v>
      </c>
      <c r="K188" s="1325">
        <f>J188*1.06</f>
        <v>1640181.8416000002</v>
      </c>
      <c r="L188" s="68"/>
      <c r="M188" s="69"/>
      <c r="N188" s="69"/>
      <c r="O188" s="69"/>
      <c r="P188" s="69"/>
      <c r="Q188" s="69"/>
      <c r="R188" s="69"/>
      <c r="S188" s="69"/>
      <c r="T188" s="69"/>
      <c r="U188" s="69"/>
      <c r="V188" s="69"/>
      <c r="W188" s="69"/>
    </row>
    <row r="189" spans="1:23" ht="11.25" customHeight="1" x14ac:dyDescent="0.25">
      <c r="A189" s="63" t="str">
        <f t="shared" si="19"/>
        <v>2.4 - IDP</v>
      </c>
      <c r="B189" s="652"/>
      <c r="C189" s="1316"/>
      <c r="D189" s="1316">
        <v>572238</v>
      </c>
      <c r="E189" s="1325">
        <v>1310622.7199999997</v>
      </c>
      <c r="F189" s="1326">
        <v>863653</v>
      </c>
      <c r="G189" s="1316">
        <v>734632</v>
      </c>
      <c r="H189" s="1327">
        <v>734632</v>
      </c>
      <c r="I189" s="1318">
        <v>784856</v>
      </c>
      <c r="J189" s="1316">
        <f t="shared" ref="J189:K189" si="22">I189*1.06</f>
        <v>831947.36</v>
      </c>
      <c r="K189" s="1325">
        <f t="shared" si="22"/>
        <v>881864.20160000003</v>
      </c>
      <c r="L189" s="68"/>
      <c r="M189" s="69"/>
      <c r="N189" s="69"/>
      <c r="O189" s="69"/>
      <c r="P189" s="69"/>
      <c r="Q189" s="69"/>
      <c r="R189" s="69"/>
      <c r="S189" s="69"/>
      <c r="T189" s="69"/>
      <c r="U189" s="69"/>
      <c r="V189" s="69"/>
      <c r="W189" s="69"/>
    </row>
    <row r="190" spans="1:23" ht="11.25" customHeight="1" x14ac:dyDescent="0.25">
      <c r="A190" s="63" t="str">
        <f t="shared" si="19"/>
        <v>2.5 - Economic Dev &amp; Tourism</v>
      </c>
      <c r="B190" s="652"/>
      <c r="C190" s="1316"/>
      <c r="D190" s="1316">
        <f>1923538+50000+688705</f>
        <v>2662243</v>
      </c>
      <c r="E190" s="1325">
        <f>1269006.81+18708</f>
        <v>1287714.81</v>
      </c>
      <c r="F190" s="1326">
        <v>2628852</v>
      </c>
      <c r="G190" s="1316">
        <v>1667511</v>
      </c>
      <c r="H190" s="1327">
        <v>1667511</v>
      </c>
      <c r="I190" s="1318">
        <v>1601956</v>
      </c>
      <c r="J190" s="1316">
        <f t="shared" ref="J190:K190" si="23">I190*1.06</f>
        <v>1698073.36</v>
      </c>
      <c r="K190" s="1325">
        <f t="shared" si="23"/>
        <v>1799957.7616000001</v>
      </c>
      <c r="L190" s="68"/>
      <c r="M190" s="69"/>
      <c r="N190" s="69"/>
      <c r="O190" s="69"/>
      <c r="P190" s="69"/>
      <c r="Q190" s="69"/>
      <c r="R190" s="69"/>
      <c r="S190" s="69"/>
      <c r="T190" s="69"/>
      <c r="U190" s="69"/>
      <c r="V190" s="69"/>
      <c r="W190" s="69"/>
    </row>
    <row r="191" spans="1:23" ht="11.25" customHeight="1" x14ac:dyDescent="0.25">
      <c r="A191" s="63" t="str">
        <f t="shared" si="19"/>
        <v>2.6 - Communication &amp; IGR</v>
      </c>
      <c r="B191" s="652"/>
      <c r="C191" s="1316"/>
      <c r="D191" s="1316"/>
      <c r="E191" s="1325"/>
      <c r="F191" s="1326">
        <v>843507</v>
      </c>
      <c r="G191" s="1316">
        <v>60085</v>
      </c>
      <c r="H191" s="1327">
        <v>60085</v>
      </c>
      <c r="I191" s="1318">
        <v>55165</v>
      </c>
      <c r="J191" s="1316">
        <f t="shared" ref="J191:K191" si="24">I191*1.06</f>
        <v>58474.9</v>
      </c>
      <c r="K191" s="1325">
        <f t="shared" si="24"/>
        <v>61983.394000000008</v>
      </c>
      <c r="L191" s="68"/>
      <c r="M191" s="69"/>
      <c r="N191" s="69"/>
      <c r="O191" s="69"/>
      <c r="P191" s="69"/>
      <c r="Q191" s="69"/>
      <c r="R191" s="69"/>
      <c r="S191" s="69"/>
      <c r="T191" s="69"/>
      <c r="U191" s="69"/>
      <c r="V191" s="69"/>
      <c r="W191" s="69"/>
    </row>
    <row r="192" spans="1:23" ht="11.25" customHeight="1" x14ac:dyDescent="0.25">
      <c r="A192" s="63" t="str">
        <f t="shared" si="19"/>
        <v>2.7 - Executive support</v>
      </c>
      <c r="B192" s="652"/>
      <c r="C192" s="1316"/>
      <c r="D192" s="1316">
        <v>6917980.9000000004</v>
      </c>
      <c r="E192" s="1325">
        <v>8220918.8100000005</v>
      </c>
      <c r="F192" s="1326">
        <v>3865425</v>
      </c>
      <c r="G192" s="1316">
        <v>10764600</v>
      </c>
      <c r="H192" s="1327">
        <v>10764600</v>
      </c>
      <c r="I192" s="1318">
        <v>10345873</v>
      </c>
      <c r="J192" s="1316">
        <f t="shared" ref="J192:K192" si="25">I192*1.06</f>
        <v>10966625.380000001</v>
      </c>
      <c r="K192" s="1325">
        <f t="shared" si="25"/>
        <v>11624622.902800001</v>
      </c>
      <c r="L192" s="68"/>
      <c r="M192" s="69"/>
      <c r="N192" s="69"/>
      <c r="O192" s="69"/>
      <c r="P192" s="69"/>
      <c r="Q192" s="69"/>
      <c r="R192" s="69"/>
      <c r="S192" s="69"/>
      <c r="T192" s="69"/>
      <c r="U192" s="69"/>
      <c r="V192" s="69"/>
      <c r="W192" s="69"/>
    </row>
    <row r="193" spans="1:23" ht="11.25" customHeight="1" x14ac:dyDescent="0.25">
      <c r="A193" s="63" t="str">
        <f t="shared" si="19"/>
        <v>2.8 - [Name of sub-vote]</v>
      </c>
      <c r="B193" s="652"/>
      <c r="C193" s="1316"/>
      <c r="D193" s="1316"/>
      <c r="E193" s="1325"/>
      <c r="F193" s="1326"/>
      <c r="G193" s="1316">
        <v>0</v>
      </c>
      <c r="H193" s="1327">
        <v>0</v>
      </c>
      <c r="I193" s="1318"/>
      <c r="J193" s="1316">
        <f t="shared" ref="J193:K193" si="26">I193*1.06</f>
        <v>0</v>
      </c>
      <c r="K193" s="1325">
        <f t="shared" si="26"/>
        <v>0</v>
      </c>
      <c r="L193" s="68"/>
      <c r="M193" s="69"/>
      <c r="N193" s="69"/>
      <c r="O193" s="69"/>
      <c r="P193" s="69"/>
      <c r="Q193" s="69"/>
      <c r="R193" s="69"/>
      <c r="S193" s="69"/>
      <c r="T193" s="69"/>
      <c r="U193" s="69"/>
      <c r="V193" s="69"/>
      <c r="W193" s="69"/>
    </row>
    <row r="194" spans="1:23" ht="11.25" customHeight="1" x14ac:dyDescent="0.25">
      <c r="A194" s="63">
        <f t="shared" si="19"/>
        <v>0</v>
      </c>
      <c r="B194" s="652"/>
      <c r="C194" s="1316"/>
      <c r="D194" s="1316"/>
      <c r="E194" s="1325"/>
      <c r="F194" s="1326"/>
      <c r="G194" s="1316"/>
      <c r="H194" s="1327"/>
      <c r="I194" s="1318"/>
      <c r="J194" s="1316"/>
      <c r="K194" s="1325"/>
      <c r="L194" s="68"/>
      <c r="M194" s="69"/>
      <c r="N194" s="69"/>
      <c r="O194" s="69"/>
      <c r="P194" s="69"/>
      <c r="Q194" s="69"/>
      <c r="R194" s="69"/>
      <c r="S194" s="69"/>
      <c r="T194" s="69"/>
      <c r="U194" s="69"/>
      <c r="V194" s="69"/>
      <c r="W194" s="69"/>
    </row>
    <row r="195" spans="1:23" ht="11.25" customHeight="1" x14ac:dyDescent="0.25">
      <c r="A195" s="63">
        <f t="shared" si="19"/>
        <v>0</v>
      </c>
      <c r="B195" s="652"/>
      <c r="C195" s="1316"/>
      <c r="D195" s="1316"/>
      <c r="E195" s="1325"/>
      <c r="F195" s="1326"/>
      <c r="G195" s="1316"/>
      <c r="H195" s="1327"/>
      <c r="I195" s="1318"/>
      <c r="J195" s="1316"/>
      <c r="K195" s="1325"/>
      <c r="L195" s="68"/>
      <c r="M195" s="69"/>
      <c r="N195" s="69"/>
      <c r="O195" s="69"/>
      <c r="P195" s="69"/>
      <c r="Q195" s="69"/>
      <c r="R195" s="69"/>
      <c r="S195" s="69"/>
      <c r="T195" s="69"/>
      <c r="U195" s="69"/>
      <c r="V195" s="69"/>
      <c r="W195" s="69"/>
    </row>
    <row r="196" spans="1:23" ht="15" customHeight="1" x14ac:dyDescent="0.25">
      <c r="A196" s="189" t="str">
        <f t="shared" si="19"/>
        <v>Vote 3 - FINANCIAL SERVICES</v>
      </c>
      <c r="B196" s="663"/>
      <c r="C196" s="592">
        <f t="shared" ref="C196:K196" si="27">SUM(C197:C206)</f>
        <v>0</v>
      </c>
      <c r="D196" s="592">
        <f t="shared" si="27"/>
        <v>80838959.379999995</v>
      </c>
      <c r="E196" s="595">
        <f t="shared" si="27"/>
        <v>75836353.810000002</v>
      </c>
      <c r="F196" s="594">
        <f t="shared" si="27"/>
        <v>55054657</v>
      </c>
      <c r="G196" s="592">
        <f t="shared" si="27"/>
        <v>41100404</v>
      </c>
      <c r="H196" s="593">
        <f t="shared" si="27"/>
        <v>41100404</v>
      </c>
      <c r="I196" s="610">
        <f t="shared" si="27"/>
        <v>44070108</v>
      </c>
      <c r="J196" s="592">
        <f t="shared" si="27"/>
        <v>46714314.480000004</v>
      </c>
      <c r="K196" s="595">
        <f t="shared" si="27"/>
        <v>49517173.348800004</v>
      </c>
      <c r="L196" s="68"/>
      <c r="M196" s="69"/>
      <c r="N196" s="69"/>
      <c r="O196" s="69"/>
      <c r="P196" s="69"/>
      <c r="Q196" s="69"/>
      <c r="R196" s="69"/>
      <c r="S196" s="69"/>
      <c r="T196" s="69"/>
      <c r="U196" s="69"/>
      <c r="V196" s="69"/>
      <c r="W196" s="69"/>
    </row>
    <row r="197" spans="1:23" ht="11.25" customHeight="1" x14ac:dyDescent="0.25">
      <c r="A197" s="63" t="str">
        <f t="shared" si="19"/>
        <v>3.1 - Executive support</v>
      </c>
      <c r="B197" s="652"/>
      <c r="C197" s="1316"/>
      <c r="D197" s="1316">
        <v>42116161.259999998</v>
      </c>
      <c r="E197" s="1325">
        <v>66765424.149999999</v>
      </c>
      <c r="F197" s="1326"/>
      <c r="G197" s="1316">
        <v>0</v>
      </c>
      <c r="H197" s="1327">
        <v>0</v>
      </c>
      <c r="I197" s="1318"/>
      <c r="J197" s="1316"/>
      <c r="K197" s="1325"/>
      <c r="L197" s="68"/>
      <c r="M197" s="69"/>
      <c r="N197" s="69"/>
      <c r="O197" s="69"/>
      <c r="P197" s="69"/>
      <c r="Q197" s="69"/>
      <c r="R197" s="69"/>
      <c r="S197" s="69"/>
      <c r="T197" s="69"/>
      <c r="U197" s="69"/>
      <c r="V197" s="69"/>
      <c r="W197" s="69"/>
    </row>
    <row r="198" spans="1:23" ht="11.25" customHeight="1" x14ac:dyDescent="0.25">
      <c r="A198" s="63" t="str">
        <f t="shared" si="19"/>
        <v>3.2 - Budget &amp; Financial Reporting</v>
      </c>
      <c r="B198" s="652"/>
      <c r="C198" s="1316"/>
      <c r="D198" s="1316">
        <v>1094877</v>
      </c>
      <c r="E198" s="1325">
        <v>2130165.11</v>
      </c>
      <c r="F198" s="1326">
        <v>15722075</v>
      </c>
      <c r="G198" s="1316">
        <v>6899164</v>
      </c>
      <c r="H198" s="1327">
        <v>6899164</v>
      </c>
      <c r="I198" s="1318">
        <v>5825122</v>
      </c>
      <c r="J198" s="1316">
        <f>I198*1.06</f>
        <v>6174629.3200000003</v>
      </c>
      <c r="K198" s="1325">
        <f>J198*1.06</f>
        <v>6545107.0792000005</v>
      </c>
      <c r="L198" s="68"/>
      <c r="M198" s="69"/>
      <c r="N198" s="69"/>
      <c r="O198" s="69"/>
      <c r="P198" s="69"/>
      <c r="Q198" s="69"/>
      <c r="R198" s="69"/>
      <c r="S198" s="69"/>
      <c r="T198" s="69"/>
      <c r="U198" s="69"/>
      <c r="V198" s="69"/>
      <c r="W198" s="69"/>
    </row>
    <row r="199" spans="1:23" ht="11.25" customHeight="1" x14ac:dyDescent="0.25">
      <c r="A199" s="63" t="str">
        <f t="shared" si="19"/>
        <v>3.3 - Asset &amp; Fleet Management</v>
      </c>
      <c r="B199" s="652"/>
      <c r="C199" s="1316"/>
      <c r="D199" s="1316"/>
      <c r="E199" s="1325"/>
      <c r="F199" s="1326">
        <v>545724</v>
      </c>
      <c r="G199" s="1316">
        <v>272862</v>
      </c>
      <c r="H199" s="1327">
        <v>272862</v>
      </c>
      <c r="I199" s="1318">
        <v>218104</v>
      </c>
      <c r="J199" s="1316">
        <f>I199*1.06</f>
        <v>231190.24000000002</v>
      </c>
      <c r="K199" s="1325">
        <f>J199*1.06</f>
        <v>245061.65440000003</v>
      </c>
      <c r="L199" s="68"/>
      <c r="M199" s="69"/>
      <c r="N199" s="69"/>
      <c r="O199" s="69"/>
      <c r="P199" s="69"/>
      <c r="Q199" s="69"/>
      <c r="R199" s="69"/>
      <c r="S199" s="69"/>
      <c r="T199" s="69"/>
      <c r="U199" s="69"/>
      <c r="V199" s="69"/>
      <c r="W199" s="69"/>
    </row>
    <row r="200" spans="1:23" ht="11.25" customHeight="1" x14ac:dyDescent="0.25">
      <c r="A200" s="63" t="str">
        <f t="shared" si="19"/>
        <v>3.4 - Financial Management Information systems</v>
      </c>
      <c r="B200" s="652"/>
      <c r="C200" s="1316"/>
      <c r="D200" s="1316"/>
      <c r="E200" s="1325"/>
      <c r="F200" s="1326"/>
      <c r="G200" s="1316">
        <v>0</v>
      </c>
      <c r="H200" s="1327">
        <v>0</v>
      </c>
      <c r="I200" s="1318">
        <v>0</v>
      </c>
      <c r="J200" s="1316">
        <v>0</v>
      </c>
      <c r="K200" s="1325">
        <v>0</v>
      </c>
      <c r="L200" s="68"/>
      <c r="M200" s="69"/>
      <c r="N200" s="69"/>
      <c r="O200" s="69"/>
      <c r="P200" s="69"/>
      <c r="Q200" s="69"/>
      <c r="R200" s="69"/>
      <c r="S200" s="69"/>
      <c r="T200" s="69"/>
      <c r="U200" s="69"/>
      <c r="V200" s="69"/>
      <c r="W200" s="69"/>
    </row>
    <row r="201" spans="1:23" ht="11.25" customHeight="1" x14ac:dyDescent="0.25">
      <c r="A201" s="63" t="str">
        <f t="shared" si="19"/>
        <v>3.5 - Cashier Receipting &amp; Debtors</v>
      </c>
      <c r="B201" s="652"/>
      <c r="C201" s="1316"/>
      <c r="D201" s="1316">
        <v>34835379.490000002</v>
      </c>
      <c r="E201" s="1325">
        <v>4250628.63</v>
      </c>
      <c r="F201" s="1326">
        <v>31814463</v>
      </c>
      <c r="G201" s="1316">
        <v>33422157</v>
      </c>
      <c r="H201" s="1327">
        <v>33422157</v>
      </c>
      <c r="I201" s="1318">
        <v>37576622</v>
      </c>
      <c r="J201" s="1316">
        <f>I201*1.06</f>
        <v>39831219.32</v>
      </c>
      <c r="K201" s="1325">
        <f>J201*1.06</f>
        <v>42221092.479200006</v>
      </c>
      <c r="L201" s="68"/>
      <c r="M201" s="69"/>
      <c r="N201" s="69"/>
      <c r="O201" s="69"/>
      <c r="P201" s="69"/>
      <c r="Q201" s="69"/>
      <c r="R201" s="69"/>
      <c r="S201" s="69"/>
      <c r="T201" s="69"/>
      <c r="U201" s="69"/>
      <c r="V201" s="69"/>
      <c r="W201" s="69"/>
    </row>
    <row r="202" spans="1:23" ht="11.25" customHeight="1" x14ac:dyDescent="0.25">
      <c r="A202" s="63" t="str">
        <f t="shared" si="19"/>
        <v>3.6 - Credit control</v>
      </c>
      <c r="B202" s="652"/>
      <c r="C202" s="658"/>
      <c r="D202" s="658"/>
      <c r="E202" s="659"/>
      <c r="F202" s="660"/>
      <c r="G202" s="658">
        <v>0</v>
      </c>
      <c r="H202" s="661">
        <v>0</v>
      </c>
      <c r="I202" s="662">
        <v>0</v>
      </c>
      <c r="J202" s="658">
        <v>0</v>
      </c>
      <c r="K202" s="659">
        <v>0</v>
      </c>
      <c r="L202" s="68"/>
      <c r="M202" s="69"/>
      <c r="N202" s="69"/>
      <c r="O202" s="69"/>
      <c r="P202" s="69"/>
      <c r="Q202" s="69"/>
      <c r="R202" s="69"/>
      <c r="S202" s="69"/>
      <c r="T202" s="69"/>
      <c r="U202" s="69"/>
      <c r="V202" s="69"/>
      <c r="W202" s="69"/>
    </row>
    <row r="203" spans="1:23" ht="11.25" customHeight="1" x14ac:dyDescent="0.25">
      <c r="A203" s="63" t="str">
        <f t="shared" si="19"/>
        <v>3.7 - Expenditure</v>
      </c>
      <c r="B203" s="652"/>
      <c r="C203" s="658"/>
      <c r="D203" s="658"/>
      <c r="E203" s="659"/>
      <c r="F203" s="660"/>
      <c r="G203" s="658">
        <v>0</v>
      </c>
      <c r="H203" s="661">
        <v>0</v>
      </c>
      <c r="I203" s="662">
        <v>0</v>
      </c>
      <c r="J203" s="658">
        <v>0</v>
      </c>
      <c r="K203" s="659">
        <v>0</v>
      </c>
      <c r="L203" s="68"/>
      <c r="M203" s="69"/>
      <c r="N203" s="69"/>
      <c r="O203" s="69"/>
      <c r="P203" s="69"/>
      <c r="Q203" s="69"/>
      <c r="R203" s="69"/>
      <c r="S203" s="69"/>
      <c r="T203" s="69"/>
      <c r="U203" s="69"/>
      <c r="V203" s="69"/>
      <c r="W203" s="69"/>
    </row>
    <row r="204" spans="1:23" ht="11.25" customHeight="1" x14ac:dyDescent="0.25">
      <c r="A204" s="63" t="str">
        <f t="shared" si="19"/>
        <v>3.8 - Supply Chain</v>
      </c>
      <c r="B204" s="652"/>
      <c r="C204" s="658"/>
      <c r="D204" s="658">
        <v>2792541.63</v>
      </c>
      <c r="E204" s="659">
        <v>2690135.92</v>
      </c>
      <c r="F204" s="660">
        <v>6972395</v>
      </c>
      <c r="G204" s="658">
        <v>506221</v>
      </c>
      <c r="H204" s="661">
        <v>506221</v>
      </c>
      <c r="I204" s="662">
        <v>450260</v>
      </c>
      <c r="J204" s="658">
        <f>I204*1.06</f>
        <v>477275.60000000003</v>
      </c>
      <c r="K204" s="659">
        <f>J204*1.06</f>
        <v>505912.13600000006</v>
      </c>
      <c r="L204" s="68"/>
      <c r="M204" s="69"/>
      <c r="N204" s="69"/>
      <c r="O204" s="69"/>
      <c r="P204" s="69"/>
      <c r="Q204" s="69"/>
      <c r="R204" s="69"/>
      <c r="S204" s="69"/>
      <c r="T204" s="69"/>
      <c r="U204" s="69"/>
      <c r="V204" s="69"/>
      <c r="W204" s="69"/>
    </row>
    <row r="205" spans="1:23" ht="11.25" customHeight="1" x14ac:dyDescent="0.25">
      <c r="A205" s="63" t="str">
        <f t="shared" si="19"/>
        <v xml:space="preserve">3.9 - </v>
      </c>
      <c r="B205" s="652"/>
      <c r="C205" s="658"/>
      <c r="D205" s="658"/>
      <c r="E205" s="659"/>
      <c r="F205" s="660"/>
      <c r="G205" s="658">
        <v>0</v>
      </c>
      <c r="H205" s="661">
        <v>0</v>
      </c>
      <c r="I205" s="662"/>
      <c r="J205" s="658"/>
      <c r="K205" s="659"/>
      <c r="L205" s="68"/>
      <c r="M205" s="69"/>
      <c r="N205" s="69"/>
      <c r="O205" s="69"/>
      <c r="P205" s="69"/>
      <c r="Q205" s="69"/>
      <c r="R205" s="69"/>
      <c r="S205" s="69"/>
      <c r="T205" s="69"/>
      <c r="U205" s="69"/>
      <c r="V205" s="69"/>
      <c r="W205" s="69"/>
    </row>
    <row r="206" spans="1:23" ht="11.25" customHeight="1" x14ac:dyDescent="0.25">
      <c r="A206" s="63" t="str">
        <f t="shared" ref="A206:A237" si="28">A37</f>
        <v xml:space="preserve">3.10 - </v>
      </c>
      <c r="B206" s="652"/>
      <c r="C206" s="658"/>
      <c r="D206" s="658"/>
      <c r="E206" s="659"/>
      <c r="F206" s="660"/>
      <c r="G206" s="658"/>
      <c r="H206" s="661"/>
      <c r="I206" s="662"/>
      <c r="J206" s="658"/>
      <c r="K206" s="659"/>
      <c r="L206" s="68"/>
      <c r="M206" s="69"/>
      <c r="N206" s="69"/>
      <c r="O206" s="69"/>
      <c r="P206" s="69"/>
      <c r="Q206" s="69"/>
      <c r="R206" s="69"/>
      <c r="S206" s="69"/>
      <c r="T206" s="69"/>
      <c r="U206" s="69"/>
      <c r="V206" s="69"/>
      <c r="W206" s="69"/>
    </row>
    <row r="207" spans="1:23" ht="15" customHeight="1" x14ac:dyDescent="0.25">
      <c r="A207" s="189" t="str">
        <f t="shared" si="28"/>
        <v>Vote 4 - CORPORATE SERVICES</v>
      </c>
      <c r="B207" s="663"/>
      <c r="C207" s="592">
        <f t="shared" ref="C207:K207" si="29">SUM(C208:C217)</f>
        <v>0</v>
      </c>
      <c r="D207" s="592">
        <f t="shared" si="29"/>
        <v>79898258.109999985</v>
      </c>
      <c r="E207" s="595">
        <f t="shared" si="29"/>
        <v>81801010.249999985</v>
      </c>
      <c r="F207" s="594">
        <f t="shared" si="29"/>
        <v>43357840</v>
      </c>
      <c r="G207" s="592">
        <f t="shared" si="29"/>
        <v>40391061</v>
      </c>
      <c r="H207" s="593">
        <f t="shared" si="29"/>
        <v>40391061</v>
      </c>
      <c r="I207" s="610">
        <f t="shared" si="29"/>
        <v>43251532</v>
      </c>
      <c r="J207" s="592">
        <f t="shared" si="29"/>
        <v>45846623.919999994</v>
      </c>
      <c r="K207" s="595">
        <f t="shared" si="29"/>
        <v>48597421.3552</v>
      </c>
      <c r="L207" s="68"/>
      <c r="M207" s="69"/>
      <c r="N207" s="69"/>
      <c r="O207" s="69"/>
      <c r="P207" s="69"/>
      <c r="Q207" s="69"/>
      <c r="R207" s="69"/>
      <c r="S207" s="69"/>
      <c r="T207" s="69"/>
      <c r="U207" s="69"/>
      <c r="V207" s="69"/>
      <c r="W207" s="69"/>
    </row>
    <row r="208" spans="1:23" ht="11.25" customHeight="1" x14ac:dyDescent="0.25">
      <c r="A208" s="63" t="str">
        <f t="shared" si="28"/>
        <v>4.1 - Executive support; Secretariat; Registry &amp; Office Auxiliary</v>
      </c>
      <c r="B208" s="652"/>
      <c r="C208" s="658"/>
      <c r="D208" s="658">
        <v>11367008.419999998</v>
      </c>
      <c r="E208" s="659">
        <v>14981387.529999997</v>
      </c>
      <c r="F208" s="660">
        <v>15571500</v>
      </c>
      <c r="G208" s="658">
        <v>16644381</v>
      </c>
      <c r="H208" s="661">
        <v>16644381</v>
      </c>
      <c r="I208" s="662">
        <v>17430782</v>
      </c>
      <c r="J208" s="658">
        <f t="shared" ref="J208:K211" si="30">I208*1.06</f>
        <v>18476628.920000002</v>
      </c>
      <c r="K208" s="659">
        <f t="shared" si="30"/>
        <v>19585226.655200005</v>
      </c>
      <c r="L208" s="68"/>
      <c r="M208" s="69"/>
      <c r="N208" s="69"/>
      <c r="O208" s="69"/>
      <c r="P208" s="69"/>
      <c r="Q208" s="69"/>
      <c r="R208" s="69"/>
      <c r="S208" s="69"/>
      <c r="T208" s="69"/>
      <c r="U208" s="69"/>
      <c r="V208" s="69"/>
      <c r="W208" s="69"/>
    </row>
    <row r="209" spans="1:23" ht="11.25" customHeight="1" x14ac:dyDescent="0.25">
      <c r="A209" s="63" t="str">
        <f t="shared" si="28"/>
        <v>4.2 - ICT</v>
      </c>
      <c r="B209" s="652"/>
      <c r="C209" s="658"/>
      <c r="D209" s="658">
        <f>650779+57246</f>
        <v>708025</v>
      </c>
      <c r="E209" s="659">
        <v>882598.78000000014</v>
      </c>
      <c r="F209" s="660">
        <v>1567965</v>
      </c>
      <c r="G209" s="658">
        <v>1202160</v>
      </c>
      <c r="H209" s="661">
        <v>1202160</v>
      </c>
      <c r="I209" s="662">
        <v>1154320</v>
      </c>
      <c r="J209" s="658">
        <f t="shared" si="30"/>
        <v>1223579.2</v>
      </c>
      <c r="K209" s="659">
        <f t="shared" si="30"/>
        <v>1296993.952</v>
      </c>
      <c r="L209" s="68"/>
      <c r="M209" s="69"/>
      <c r="N209" s="69"/>
      <c r="O209" s="69"/>
      <c r="P209" s="69"/>
      <c r="Q209" s="69"/>
      <c r="R209" s="69"/>
      <c r="S209" s="69"/>
      <c r="T209" s="69"/>
      <c r="U209" s="69"/>
      <c r="V209" s="69"/>
      <c r="W209" s="69"/>
    </row>
    <row r="210" spans="1:23" ht="11.25" customHeight="1" x14ac:dyDescent="0.25">
      <c r="A210" s="63" t="str">
        <f t="shared" si="28"/>
        <v>4.3 - Office of Political office bearers</v>
      </c>
      <c r="B210" s="652"/>
      <c r="C210" s="658"/>
      <c r="D210" s="658"/>
      <c r="E210" s="659"/>
      <c r="F210" s="660">
        <v>16225893</v>
      </c>
      <c r="G210" s="658">
        <v>13718244</v>
      </c>
      <c r="H210" s="661">
        <v>13718244</v>
      </c>
      <c r="I210" s="662">
        <v>15235526</v>
      </c>
      <c r="J210" s="658">
        <f t="shared" si="30"/>
        <v>16149657.560000001</v>
      </c>
      <c r="K210" s="659">
        <f t="shared" si="30"/>
        <v>17118637.013600003</v>
      </c>
      <c r="L210" s="68"/>
      <c r="M210" s="69"/>
      <c r="N210" s="69"/>
      <c r="O210" s="69"/>
      <c r="P210" s="69"/>
      <c r="Q210" s="69"/>
      <c r="R210" s="69"/>
      <c r="S210" s="69"/>
      <c r="T210" s="69"/>
      <c r="U210" s="69"/>
      <c r="V210" s="69"/>
      <c r="W210" s="69"/>
    </row>
    <row r="211" spans="1:23" ht="11.25" customHeight="1" x14ac:dyDescent="0.25">
      <c r="A211" s="63" t="str">
        <f t="shared" si="28"/>
        <v>4.4 - Property Management</v>
      </c>
      <c r="B211" s="652"/>
      <c r="C211" s="658"/>
      <c r="D211" s="658">
        <v>66630904.339999996</v>
      </c>
      <c r="E211" s="659">
        <v>64379136.539999999</v>
      </c>
      <c r="F211" s="660">
        <v>2578263</v>
      </c>
      <c r="G211" s="658">
        <v>5289101</v>
      </c>
      <c r="H211" s="661">
        <v>5289101</v>
      </c>
      <c r="I211" s="662">
        <v>5477493</v>
      </c>
      <c r="J211" s="658">
        <f t="shared" si="30"/>
        <v>5806142.5800000001</v>
      </c>
      <c r="K211" s="659">
        <f t="shared" si="30"/>
        <v>6154511.1348000001</v>
      </c>
      <c r="L211" s="68"/>
      <c r="M211" s="69"/>
      <c r="N211" s="69"/>
      <c r="O211" s="69"/>
      <c r="P211" s="69"/>
      <c r="Q211" s="69"/>
      <c r="R211" s="69"/>
      <c r="S211" s="69"/>
      <c r="T211" s="69"/>
      <c r="U211" s="69"/>
      <c r="V211" s="69"/>
      <c r="W211" s="69"/>
    </row>
    <row r="212" spans="1:23" ht="11.25" customHeight="1" x14ac:dyDescent="0.25">
      <c r="A212" s="63" t="str">
        <f t="shared" si="28"/>
        <v>4.5 - Labour relations &amp; Occupational health</v>
      </c>
      <c r="B212" s="652"/>
      <c r="C212" s="658"/>
      <c r="D212" s="658"/>
      <c r="E212" s="659"/>
      <c r="F212" s="660"/>
      <c r="G212" s="658">
        <v>0</v>
      </c>
      <c r="H212" s="661">
        <v>0</v>
      </c>
      <c r="I212" s="662"/>
      <c r="J212" s="658"/>
      <c r="K212" s="659"/>
      <c r="L212" s="68"/>
      <c r="M212" s="69"/>
      <c r="N212" s="69"/>
      <c r="O212" s="69"/>
      <c r="P212" s="69"/>
      <c r="Q212" s="69"/>
      <c r="R212" s="69"/>
      <c r="S212" s="69"/>
      <c r="T212" s="69"/>
      <c r="U212" s="69"/>
      <c r="V212" s="69"/>
      <c r="W212" s="69"/>
    </row>
    <row r="213" spans="1:23" ht="11.25" customHeight="1" x14ac:dyDescent="0.25">
      <c r="A213" s="63" t="str">
        <f t="shared" si="28"/>
        <v>4.6 - Training &amp; Development</v>
      </c>
      <c r="B213" s="652"/>
      <c r="C213" s="658"/>
      <c r="D213" s="658"/>
      <c r="E213" s="659"/>
      <c r="F213" s="660"/>
      <c r="G213" s="658">
        <v>0</v>
      </c>
      <c r="H213" s="661">
        <v>0</v>
      </c>
      <c r="I213" s="662"/>
      <c r="J213" s="658"/>
      <c r="K213" s="659"/>
      <c r="L213" s="68"/>
      <c r="M213" s="69"/>
      <c r="N213" s="69"/>
      <c r="O213" s="69"/>
      <c r="P213" s="69"/>
      <c r="Q213" s="69"/>
      <c r="R213" s="69"/>
      <c r="S213" s="69"/>
      <c r="T213" s="69"/>
      <c r="U213" s="69"/>
      <c r="V213" s="69"/>
      <c r="W213" s="69"/>
    </row>
    <row r="214" spans="1:23" ht="11.25" customHeight="1" x14ac:dyDescent="0.25">
      <c r="A214" s="63" t="str">
        <f t="shared" si="28"/>
        <v>4.7 - HR Administration</v>
      </c>
      <c r="B214" s="652"/>
      <c r="C214" s="658"/>
      <c r="D214" s="658">
        <v>122854</v>
      </c>
      <c r="E214" s="659"/>
      <c r="F214" s="660">
        <v>3513372</v>
      </c>
      <c r="G214" s="658">
        <v>277162</v>
      </c>
      <c r="H214" s="661">
        <v>277162</v>
      </c>
      <c r="I214" s="662">
        <v>355366</v>
      </c>
      <c r="J214" s="658">
        <f t="shared" ref="J214:K217" si="31">I214*1.06</f>
        <v>376687.96</v>
      </c>
      <c r="K214" s="659">
        <f t="shared" si="31"/>
        <v>399289.23760000005</v>
      </c>
      <c r="L214" s="68"/>
      <c r="M214" s="69"/>
      <c r="N214" s="69"/>
      <c r="O214" s="69"/>
      <c r="P214" s="69"/>
      <c r="Q214" s="69"/>
      <c r="R214" s="69"/>
      <c r="S214" s="69"/>
      <c r="T214" s="69"/>
      <c r="U214" s="69"/>
      <c r="V214" s="69"/>
      <c r="W214" s="69"/>
    </row>
    <row r="215" spans="1:23" ht="11.25" customHeight="1" x14ac:dyDescent="0.25">
      <c r="A215" s="63" t="str">
        <f t="shared" si="28"/>
        <v>4.8 - Community facilities &amp; halls</v>
      </c>
      <c r="B215" s="652"/>
      <c r="C215" s="658"/>
      <c r="D215" s="658">
        <v>230928.35</v>
      </c>
      <c r="E215" s="659">
        <v>519774.44</v>
      </c>
      <c r="F215" s="660">
        <v>1840757</v>
      </c>
      <c r="G215" s="658">
        <v>1673454</v>
      </c>
      <c r="H215" s="661">
        <v>1673454</v>
      </c>
      <c r="I215" s="662">
        <v>1912390</v>
      </c>
      <c r="J215" s="658">
        <f t="shared" si="31"/>
        <v>2027133.4000000001</v>
      </c>
      <c r="K215" s="659">
        <f t="shared" si="31"/>
        <v>2148761.4040000001</v>
      </c>
      <c r="L215" s="68"/>
      <c r="M215" s="69"/>
      <c r="N215" s="69"/>
      <c r="O215" s="69"/>
      <c r="P215" s="69"/>
      <c r="Q215" s="69"/>
      <c r="R215" s="69"/>
      <c r="S215" s="69"/>
      <c r="T215" s="69"/>
      <c r="U215" s="69"/>
      <c r="V215" s="69"/>
      <c r="W215" s="69"/>
    </row>
    <row r="216" spans="1:23" ht="11.25" customHeight="1" x14ac:dyDescent="0.25">
      <c r="A216" s="63" t="str">
        <f t="shared" si="28"/>
        <v>4.9 - Museums &amp; art galleries</v>
      </c>
      <c r="B216" s="652"/>
      <c r="C216" s="658"/>
      <c r="D216" s="658">
        <v>156921</v>
      </c>
      <c r="E216" s="659">
        <v>162973.94</v>
      </c>
      <c r="F216" s="660">
        <v>202318</v>
      </c>
      <c r="G216" s="658">
        <v>154312</v>
      </c>
      <c r="H216" s="661">
        <v>154312</v>
      </c>
      <c r="I216" s="662">
        <v>165975</v>
      </c>
      <c r="J216" s="658">
        <f t="shared" si="31"/>
        <v>175933.5</v>
      </c>
      <c r="K216" s="659">
        <f t="shared" si="31"/>
        <v>186489.51</v>
      </c>
      <c r="L216" s="68"/>
      <c r="M216" s="69"/>
      <c r="N216" s="69"/>
      <c r="O216" s="69"/>
      <c r="P216" s="69"/>
      <c r="Q216" s="69"/>
      <c r="R216" s="69"/>
      <c r="S216" s="69"/>
      <c r="T216" s="69"/>
      <c r="U216" s="69"/>
      <c r="V216" s="69"/>
      <c r="W216" s="69"/>
    </row>
    <row r="217" spans="1:23" ht="11.25" customHeight="1" x14ac:dyDescent="0.25">
      <c r="A217" s="63" t="str">
        <f t="shared" si="28"/>
        <v>4.10 - Special Projects Unit</v>
      </c>
      <c r="B217" s="652"/>
      <c r="C217" s="658"/>
      <c r="D217" s="658">
        <v>681617</v>
      </c>
      <c r="E217" s="659">
        <v>875139.0199999999</v>
      </c>
      <c r="F217" s="660">
        <v>1857772</v>
      </c>
      <c r="G217" s="658">
        <v>1432247</v>
      </c>
      <c r="H217" s="661">
        <v>1432247</v>
      </c>
      <c r="I217" s="662">
        <v>1519680</v>
      </c>
      <c r="J217" s="658">
        <f t="shared" si="31"/>
        <v>1610860.8</v>
      </c>
      <c r="K217" s="659">
        <f t="shared" si="31"/>
        <v>1707512.4480000001</v>
      </c>
      <c r="L217" s="68"/>
      <c r="M217" s="69"/>
      <c r="N217" s="69"/>
      <c r="O217" s="69"/>
      <c r="P217" s="69"/>
      <c r="Q217" s="69"/>
      <c r="R217" s="69"/>
      <c r="S217" s="69"/>
      <c r="T217" s="69"/>
      <c r="U217" s="69"/>
      <c r="V217" s="69"/>
      <c r="W217" s="69"/>
    </row>
    <row r="218" spans="1:23" ht="15" customHeight="1" x14ac:dyDescent="0.25">
      <c r="A218" s="189" t="str">
        <f t="shared" si="28"/>
        <v>Vote 5 - INFRASTRUCTURE SERVICES</v>
      </c>
      <c r="B218" s="663"/>
      <c r="C218" s="592">
        <f t="shared" ref="C218:K218" si="32">SUM(C219:C228)</f>
        <v>0</v>
      </c>
      <c r="D218" s="592">
        <f t="shared" si="32"/>
        <v>144895761.54999998</v>
      </c>
      <c r="E218" s="595">
        <f t="shared" si="32"/>
        <v>160216621.70000002</v>
      </c>
      <c r="F218" s="594">
        <f t="shared" si="32"/>
        <v>205520906</v>
      </c>
      <c r="G218" s="592">
        <f t="shared" si="32"/>
        <v>226566335</v>
      </c>
      <c r="H218" s="593">
        <f t="shared" si="32"/>
        <v>226566335</v>
      </c>
      <c r="I218" s="610">
        <f t="shared" si="32"/>
        <v>233526213</v>
      </c>
      <c r="J218" s="592">
        <f t="shared" si="32"/>
        <v>247537785.78000003</v>
      </c>
      <c r="K218" s="595">
        <f t="shared" si="32"/>
        <v>262390052.92680004</v>
      </c>
      <c r="L218" s="68"/>
      <c r="M218" s="69"/>
      <c r="N218" s="69"/>
      <c r="O218" s="69"/>
      <c r="P218" s="69"/>
      <c r="Q218" s="69"/>
      <c r="R218" s="69"/>
      <c r="S218" s="69"/>
      <c r="T218" s="69"/>
      <c r="U218" s="69"/>
      <c r="V218" s="69"/>
      <c r="W218" s="69"/>
    </row>
    <row r="219" spans="1:23" ht="11.25" customHeight="1" x14ac:dyDescent="0.25">
      <c r="A219" s="63" t="str">
        <f t="shared" si="28"/>
        <v>5.1 - Executive support</v>
      </c>
      <c r="B219" s="652"/>
      <c r="C219" s="658"/>
      <c r="D219" s="658">
        <v>10061598.18</v>
      </c>
      <c r="E219" s="659">
        <v>12968716.470000001</v>
      </c>
      <c r="F219" s="660">
        <v>4710449</v>
      </c>
      <c r="G219" s="658">
        <v>10293955</v>
      </c>
      <c r="H219" s="661">
        <v>10293955</v>
      </c>
      <c r="I219" s="662">
        <v>11400067</v>
      </c>
      <c r="J219" s="658">
        <f t="shared" ref="J219:K226" si="33">I219*1.06</f>
        <v>12084071.020000001</v>
      </c>
      <c r="K219" s="659">
        <f t="shared" si="33"/>
        <v>12809115.281200003</v>
      </c>
      <c r="L219" s="68"/>
      <c r="M219" s="69"/>
      <c r="N219" s="69"/>
      <c r="O219" s="69"/>
      <c r="P219" s="69"/>
      <c r="Q219" s="69"/>
      <c r="R219" s="69"/>
      <c r="S219" s="69"/>
      <c r="T219" s="69"/>
      <c r="U219" s="69"/>
      <c r="V219" s="69"/>
      <c r="W219" s="69"/>
    </row>
    <row r="220" spans="1:23" ht="11.25" customHeight="1" x14ac:dyDescent="0.25">
      <c r="A220" s="63" t="str">
        <f t="shared" si="28"/>
        <v xml:space="preserve">5.2 - Water services </v>
      </c>
      <c r="B220" s="652"/>
      <c r="C220" s="658"/>
      <c r="D220" s="658">
        <v>25199236.210000005</v>
      </c>
      <c r="E220" s="659">
        <v>22356003.099999998</v>
      </c>
      <c r="F220" s="660">
        <v>44178027</v>
      </c>
      <c r="G220" s="658">
        <v>57064304</v>
      </c>
      <c r="H220" s="661">
        <v>57064304</v>
      </c>
      <c r="I220" s="662">
        <v>52756271</v>
      </c>
      <c r="J220" s="658">
        <f t="shared" si="33"/>
        <v>55921647.260000005</v>
      </c>
      <c r="K220" s="659">
        <f t="shared" si="33"/>
        <v>59276946.095600009</v>
      </c>
      <c r="L220" s="68"/>
      <c r="M220" s="69"/>
      <c r="N220" s="69"/>
      <c r="O220" s="69"/>
      <c r="P220" s="69"/>
      <c r="Q220" s="69"/>
      <c r="R220" s="69"/>
      <c r="S220" s="69"/>
      <c r="T220" s="69"/>
      <c r="U220" s="69"/>
      <c r="V220" s="69"/>
      <c r="W220" s="69"/>
    </row>
    <row r="221" spans="1:23" ht="11.25" customHeight="1" x14ac:dyDescent="0.25">
      <c r="A221" s="63" t="str">
        <f t="shared" si="28"/>
        <v>5.3 - Public works</v>
      </c>
      <c r="B221" s="652"/>
      <c r="C221" s="658"/>
      <c r="D221" s="658">
        <v>10475441.789999999</v>
      </c>
      <c r="E221" s="659">
        <v>12326724.430000002</v>
      </c>
      <c r="F221" s="660">
        <v>30102639</v>
      </c>
      <c r="G221" s="658">
        <v>32683909</v>
      </c>
      <c r="H221" s="661">
        <v>32683909</v>
      </c>
      <c r="I221" s="662">
        <v>33112722</v>
      </c>
      <c r="J221" s="658">
        <f t="shared" si="33"/>
        <v>35099485.32</v>
      </c>
      <c r="K221" s="659">
        <f t="shared" si="33"/>
        <v>37205454.439199999</v>
      </c>
      <c r="L221" s="68"/>
      <c r="M221" s="69"/>
      <c r="N221" s="69"/>
      <c r="O221" s="69"/>
      <c r="P221" s="69"/>
      <c r="Q221" s="69"/>
      <c r="R221" s="69"/>
      <c r="S221" s="69"/>
      <c r="T221" s="69"/>
      <c r="U221" s="69"/>
      <c r="V221" s="69"/>
      <c r="W221" s="69"/>
    </row>
    <row r="222" spans="1:23" ht="11.25" customHeight="1" x14ac:dyDescent="0.25">
      <c r="A222" s="63" t="str">
        <f t="shared" si="28"/>
        <v>5.4 - Waste Water services</v>
      </c>
      <c r="B222" s="652"/>
      <c r="C222" s="658"/>
      <c r="D222" s="658">
        <v>7922054.290000001</v>
      </c>
      <c r="E222" s="659">
        <v>8245676.120000001</v>
      </c>
      <c r="F222" s="660">
        <v>16504202</v>
      </c>
      <c r="G222" s="658">
        <v>18764201</v>
      </c>
      <c r="H222" s="661">
        <v>18764201</v>
      </c>
      <c r="I222" s="662">
        <v>18304596</v>
      </c>
      <c r="J222" s="658">
        <f t="shared" si="33"/>
        <v>19402871.760000002</v>
      </c>
      <c r="K222" s="659">
        <f t="shared" si="33"/>
        <v>20567044.065600004</v>
      </c>
      <c r="L222" s="68"/>
      <c r="M222" s="69"/>
      <c r="N222" s="69"/>
      <c r="O222" s="69"/>
      <c r="P222" s="69"/>
      <c r="Q222" s="69"/>
      <c r="R222" s="69"/>
      <c r="S222" s="69"/>
      <c r="T222" s="69"/>
      <c r="U222" s="69"/>
      <c r="V222" s="69"/>
      <c r="W222" s="69"/>
    </row>
    <row r="223" spans="1:23" ht="11.25" customHeight="1" x14ac:dyDescent="0.25">
      <c r="A223" s="63" t="str">
        <f t="shared" si="28"/>
        <v>5.5 - Electrical Services</v>
      </c>
      <c r="B223" s="652"/>
      <c r="C223" s="658"/>
      <c r="D223" s="658">
        <v>86154692.649999991</v>
      </c>
      <c r="E223" s="659">
        <f>101639586.87+37566.35</f>
        <v>101677153.22</v>
      </c>
      <c r="F223" s="660">
        <v>105504731</v>
      </c>
      <c r="G223" s="658">
        <v>105086645</v>
      </c>
      <c r="H223" s="661">
        <v>105086645</v>
      </c>
      <c r="I223" s="662">
        <v>114534626</v>
      </c>
      <c r="J223" s="658">
        <f t="shared" si="33"/>
        <v>121406703.56</v>
      </c>
      <c r="K223" s="659">
        <f t="shared" si="33"/>
        <v>128691105.77360001</v>
      </c>
      <c r="L223" s="68"/>
      <c r="M223" s="69"/>
      <c r="N223" s="69"/>
      <c r="O223" s="69"/>
      <c r="P223" s="69"/>
      <c r="Q223" s="69"/>
      <c r="R223" s="69"/>
      <c r="S223" s="69"/>
      <c r="T223" s="69"/>
      <c r="U223" s="69"/>
      <c r="V223" s="69"/>
      <c r="W223" s="69"/>
    </row>
    <row r="224" spans="1:23" ht="11.25" customHeight="1" x14ac:dyDescent="0.25">
      <c r="A224" s="63" t="str">
        <f t="shared" si="28"/>
        <v>5.6 - Mechanical workshop</v>
      </c>
      <c r="B224" s="652"/>
      <c r="C224" s="658"/>
      <c r="D224" s="658">
        <v>678502.48</v>
      </c>
      <c r="E224" s="659">
        <v>1144087.5200000003</v>
      </c>
      <c r="F224" s="660">
        <v>895094</v>
      </c>
      <c r="G224" s="658">
        <v>1302678</v>
      </c>
      <c r="H224" s="661">
        <v>1302678</v>
      </c>
      <c r="I224" s="662">
        <v>1511891</v>
      </c>
      <c r="J224" s="658">
        <f t="shared" si="33"/>
        <v>1602604.4600000002</v>
      </c>
      <c r="K224" s="659">
        <f t="shared" si="33"/>
        <v>1698760.7276000003</v>
      </c>
      <c r="L224" s="68"/>
      <c r="M224" s="69"/>
      <c r="N224" s="69"/>
      <c r="O224" s="69"/>
      <c r="P224" s="69"/>
      <c r="Q224" s="69"/>
      <c r="R224" s="69"/>
      <c r="S224" s="69"/>
      <c r="T224" s="69"/>
      <c r="U224" s="69"/>
      <c r="V224" s="69"/>
      <c r="W224" s="69"/>
    </row>
    <row r="225" spans="1:23" ht="11.25" customHeight="1" x14ac:dyDescent="0.25">
      <c r="A225" s="63" t="str">
        <f t="shared" si="28"/>
        <v>5.7 - PMU Capital projects &amp; GIS</v>
      </c>
      <c r="B225" s="652"/>
      <c r="C225" s="658"/>
      <c r="D225" s="658">
        <v>4044241.95</v>
      </c>
      <c r="E225" s="659">
        <v>1101789.29</v>
      </c>
      <c r="F225" s="660">
        <v>1362878</v>
      </c>
      <c r="G225" s="658">
        <v>1052088</v>
      </c>
      <c r="H225" s="661">
        <v>1052088</v>
      </c>
      <c r="I225" s="662">
        <v>1435894</v>
      </c>
      <c r="J225" s="658">
        <f t="shared" si="33"/>
        <v>1522047.6400000001</v>
      </c>
      <c r="K225" s="659">
        <f t="shared" si="33"/>
        <v>1613370.4984000002</v>
      </c>
      <c r="L225" s="68"/>
      <c r="M225" s="69"/>
      <c r="N225" s="69"/>
      <c r="O225" s="69"/>
      <c r="P225" s="69"/>
      <c r="Q225" s="69"/>
      <c r="R225" s="69"/>
      <c r="S225" s="69"/>
      <c r="T225" s="69"/>
      <c r="U225" s="69"/>
      <c r="V225" s="69"/>
      <c r="W225" s="69"/>
    </row>
    <row r="226" spans="1:23" ht="11.25" customHeight="1" x14ac:dyDescent="0.25">
      <c r="A226" s="63" t="str">
        <f t="shared" si="28"/>
        <v>5.8 - Town Planning</v>
      </c>
      <c r="B226" s="652"/>
      <c r="C226" s="658"/>
      <c r="D226" s="658"/>
      <c r="E226" s="659"/>
      <c r="F226" s="660">
        <v>1854927</v>
      </c>
      <c r="G226" s="658">
        <v>0</v>
      </c>
      <c r="H226" s="661">
        <v>0</v>
      </c>
      <c r="I226" s="662">
        <v>11891</v>
      </c>
      <c r="J226" s="658">
        <f t="shared" si="33"/>
        <v>12604.460000000001</v>
      </c>
      <c r="K226" s="659">
        <f t="shared" si="33"/>
        <v>13360.727600000002</v>
      </c>
      <c r="L226" s="68"/>
      <c r="M226" s="69"/>
      <c r="N226" s="69"/>
      <c r="O226" s="69"/>
      <c r="P226" s="69"/>
      <c r="Q226" s="69"/>
      <c r="R226" s="69"/>
      <c r="S226" s="69"/>
      <c r="T226" s="69"/>
      <c r="U226" s="69"/>
      <c r="V226" s="69"/>
      <c r="W226" s="69"/>
    </row>
    <row r="227" spans="1:23" ht="11.25" customHeight="1" x14ac:dyDescent="0.25">
      <c r="A227" s="63" t="str">
        <f t="shared" si="28"/>
        <v>5.9 - Building Control</v>
      </c>
      <c r="B227" s="652"/>
      <c r="C227" s="658"/>
      <c r="D227" s="658"/>
      <c r="E227" s="659"/>
      <c r="F227" s="660"/>
      <c r="G227" s="658">
        <v>0</v>
      </c>
      <c r="H227" s="661">
        <v>0</v>
      </c>
      <c r="I227" s="662">
        <v>0</v>
      </c>
      <c r="J227" s="658">
        <v>0</v>
      </c>
      <c r="K227" s="659">
        <f>J227*1.06</f>
        <v>0</v>
      </c>
      <c r="L227" s="68"/>
      <c r="M227" s="69"/>
      <c r="N227" s="69"/>
      <c r="O227" s="69"/>
      <c r="P227" s="69"/>
      <c r="Q227" s="69"/>
      <c r="R227" s="69"/>
      <c r="S227" s="69"/>
      <c r="T227" s="69"/>
      <c r="U227" s="69"/>
      <c r="V227" s="69"/>
      <c r="W227" s="69"/>
    </row>
    <row r="228" spans="1:23" ht="11.25" customHeight="1" x14ac:dyDescent="0.25">
      <c r="A228" s="63" t="str">
        <f t="shared" si="28"/>
        <v>5.10 - Workshop Carpenter</v>
      </c>
      <c r="B228" s="652"/>
      <c r="C228" s="658"/>
      <c r="D228" s="658">
        <v>359994</v>
      </c>
      <c r="E228" s="659">
        <v>396471.55</v>
      </c>
      <c r="F228" s="660">
        <v>407959</v>
      </c>
      <c r="G228" s="658">
        <v>318555</v>
      </c>
      <c r="H228" s="661">
        <v>318555</v>
      </c>
      <c r="I228" s="662">
        <v>458255</v>
      </c>
      <c r="J228" s="658">
        <f>I228*1.06</f>
        <v>485750.30000000005</v>
      </c>
      <c r="K228" s="659">
        <f>J228*1.06</f>
        <v>514895.31800000009</v>
      </c>
      <c r="L228" s="68"/>
      <c r="M228" s="69"/>
      <c r="N228" s="69"/>
      <c r="O228" s="69"/>
      <c r="P228" s="69"/>
      <c r="Q228" s="69"/>
      <c r="R228" s="69"/>
      <c r="S228" s="69"/>
      <c r="T228" s="69"/>
      <c r="U228" s="69"/>
      <c r="V228" s="69"/>
      <c r="W228" s="69"/>
    </row>
    <row r="229" spans="1:23" ht="15" customHeight="1" x14ac:dyDescent="0.25">
      <c r="A229" s="189" t="str">
        <f t="shared" si="28"/>
        <v>Vote 6 - COMMUNITY SERVICES</v>
      </c>
      <c r="B229" s="663"/>
      <c r="C229" s="592">
        <f t="shared" ref="C229:K229" si="34">SUM(C230:C239)</f>
        <v>0</v>
      </c>
      <c r="D229" s="592">
        <f t="shared" si="34"/>
        <v>42490638.214669235</v>
      </c>
      <c r="E229" s="595">
        <f t="shared" si="34"/>
        <v>59877122.460000008</v>
      </c>
      <c r="F229" s="594">
        <f t="shared" si="34"/>
        <v>51185802</v>
      </c>
      <c r="G229" s="592">
        <f t="shared" si="34"/>
        <v>57990908</v>
      </c>
      <c r="H229" s="593">
        <f t="shared" si="34"/>
        <v>57990908</v>
      </c>
      <c r="I229" s="610">
        <f t="shared" si="34"/>
        <v>56639621</v>
      </c>
      <c r="J229" s="592">
        <f t="shared" si="34"/>
        <v>60037998.260000005</v>
      </c>
      <c r="K229" s="595">
        <f t="shared" si="34"/>
        <v>63640278.155600004</v>
      </c>
      <c r="L229" s="68"/>
      <c r="M229" s="69"/>
      <c r="N229" s="69"/>
      <c r="O229" s="69"/>
      <c r="P229" s="69"/>
      <c r="Q229" s="69"/>
      <c r="R229" s="69"/>
      <c r="S229" s="69"/>
      <c r="T229" s="69"/>
      <c r="U229" s="69"/>
      <c r="V229" s="69"/>
      <c r="W229" s="69"/>
    </row>
    <row r="230" spans="1:23" ht="11.25" customHeight="1" x14ac:dyDescent="0.25">
      <c r="A230" s="63" t="str">
        <f t="shared" si="28"/>
        <v>6.1 - Administrative support</v>
      </c>
      <c r="B230" s="652"/>
      <c r="C230" s="658"/>
      <c r="D230" s="658"/>
      <c r="E230" s="659"/>
      <c r="F230" s="660"/>
      <c r="G230" s="658">
        <v>0</v>
      </c>
      <c r="H230" s="661">
        <v>0</v>
      </c>
      <c r="I230" s="662"/>
      <c r="J230" s="658"/>
      <c r="K230" s="659"/>
      <c r="L230" s="68"/>
      <c r="M230" s="69"/>
      <c r="N230" s="69"/>
      <c r="O230" s="69"/>
      <c r="P230" s="69"/>
      <c r="Q230" s="69"/>
      <c r="R230" s="69"/>
      <c r="S230" s="69"/>
      <c r="T230" s="69"/>
      <c r="U230" s="69"/>
      <c r="V230" s="69"/>
      <c r="W230" s="69"/>
    </row>
    <row r="231" spans="1:23" ht="11.25" customHeight="1" x14ac:dyDescent="0.25">
      <c r="A231" s="63" t="str">
        <f t="shared" si="28"/>
        <v>6.2 - Parks, Cemetries &amp; public amenities</v>
      </c>
      <c r="B231" s="652"/>
      <c r="C231" s="658"/>
      <c r="D231" s="658">
        <f>13072490.91+914676.94+8</f>
        <v>13987175.85</v>
      </c>
      <c r="E231" s="659">
        <f>1463057.93+14904067.56+21736.87+3717.9</f>
        <v>16392580.26</v>
      </c>
      <c r="F231" s="660">
        <v>18552770</v>
      </c>
      <c r="G231" s="658">
        <v>19693825</v>
      </c>
      <c r="H231" s="661">
        <v>19693825</v>
      </c>
      <c r="I231" s="662">
        <v>19516650</v>
      </c>
      <c r="J231" s="658">
        <f t="shared" ref="J231:K235" si="35">I231*1.06</f>
        <v>20687649</v>
      </c>
      <c r="K231" s="659">
        <f t="shared" si="35"/>
        <v>21928907.940000001</v>
      </c>
      <c r="L231" s="68"/>
      <c r="M231" s="69"/>
      <c r="N231" s="69"/>
      <c r="O231" s="69"/>
      <c r="P231" s="69"/>
      <c r="Q231" s="69"/>
      <c r="R231" s="69"/>
      <c r="S231" s="69"/>
      <c r="T231" s="69"/>
      <c r="U231" s="69"/>
      <c r="V231" s="69"/>
      <c r="W231" s="69"/>
    </row>
    <row r="232" spans="1:23" ht="11.25" customHeight="1" x14ac:dyDescent="0.25">
      <c r="A232" s="63" t="str">
        <f t="shared" si="28"/>
        <v>6.3 - Library services</v>
      </c>
      <c r="B232" s="652"/>
      <c r="C232" s="658"/>
      <c r="D232" s="658">
        <v>5678601.9299999997</v>
      </c>
      <c r="E232" s="659">
        <v>4154527.7399999998</v>
      </c>
      <c r="F232" s="660">
        <v>4165282</v>
      </c>
      <c r="G232" s="658">
        <v>5071299</v>
      </c>
      <c r="H232" s="661">
        <v>5071299</v>
      </c>
      <c r="I232" s="662">
        <v>4080255</v>
      </c>
      <c r="J232" s="658">
        <f t="shared" si="35"/>
        <v>4325070.3</v>
      </c>
      <c r="K232" s="659">
        <f t="shared" si="35"/>
        <v>4584574.5180000002</v>
      </c>
      <c r="L232" s="68"/>
      <c r="M232" s="69"/>
      <c r="N232" s="69"/>
      <c r="O232" s="69"/>
      <c r="P232" s="69"/>
      <c r="Q232" s="69"/>
      <c r="R232" s="69"/>
      <c r="S232" s="69"/>
      <c r="T232" s="69"/>
      <c r="U232" s="69"/>
      <c r="V232" s="69"/>
      <c r="W232" s="69"/>
    </row>
    <row r="233" spans="1:23" ht="11.25" customHeight="1" x14ac:dyDescent="0.25">
      <c r="A233" s="63" t="str">
        <f t="shared" si="28"/>
        <v>6.4 - Human Settlements</v>
      </c>
      <c r="B233" s="652"/>
      <c r="C233" s="658"/>
      <c r="D233" s="658">
        <v>377427</v>
      </c>
      <c r="E233" s="659">
        <v>337109.21</v>
      </c>
      <c r="F233" s="660">
        <v>1336381</v>
      </c>
      <c r="G233" s="658">
        <v>0</v>
      </c>
      <c r="H233" s="661">
        <v>0</v>
      </c>
      <c r="I233" s="662">
        <v>9603</v>
      </c>
      <c r="J233" s="658">
        <f t="shared" si="35"/>
        <v>10179.18</v>
      </c>
      <c r="K233" s="659">
        <f t="shared" si="35"/>
        <v>10789.9308</v>
      </c>
      <c r="L233" s="68"/>
      <c r="M233" s="69"/>
      <c r="N233" s="69"/>
      <c r="O233" s="69"/>
      <c r="P233" s="69"/>
      <c r="Q233" s="69"/>
      <c r="R233" s="69"/>
      <c r="S233" s="69"/>
      <c r="T233" s="69"/>
      <c r="U233" s="69"/>
      <c r="V233" s="69"/>
      <c r="W233" s="69"/>
    </row>
    <row r="234" spans="1:23" ht="11.25" customHeight="1" x14ac:dyDescent="0.25">
      <c r="A234" s="63" t="str">
        <f t="shared" si="28"/>
        <v>6.5 - Environmental management</v>
      </c>
      <c r="B234" s="652"/>
      <c r="C234" s="658"/>
      <c r="D234" s="658">
        <f>2381631.79+25513+602</f>
        <v>2407746.79</v>
      </c>
      <c r="E234" s="659">
        <f>29062.85+3883579.25</f>
        <v>3912642.1</v>
      </c>
      <c r="F234" s="660">
        <v>1555703</v>
      </c>
      <c r="G234" s="658">
        <v>4174007</v>
      </c>
      <c r="H234" s="661">
        <v>4174007</v>
      </c>
      <c r="I234" s="662">
        <v>4253406</v>
      </c>
      <c r="J234" s="658">
        <f t="shared" si="35"/>
        <v>4508610.3600000003</v>
      </c>
      <c r="K234" s="659">
        <f t="shared" si="35"/>
        <v>4779126.9816000005</v>
      </c>
      <c r="L234" s="68"/>
      <c r="M234" s="69"/>
      <c r="N234" s="69"/>
      <c r="O234" s="69"/>
      <c r="P234" s="69"/>
      <c r="Q234" s="69"/>
      <c r="R234" s="69"/>
      <c r="S234" s="69"/>
      <c r="T234" s="69"/>
      <c r="U234" s="69"/>
      <c r="V234" s="69"/>
      <c r="W234" s="69"/>
    </row>
    <row r="235" spans="1:23" ht="11.25" customHeight="1" x14ac:dyDescent="0.25">
      <c r="A235" s="63" t="str">
        <f t="shared" si="28"/>
        <v>6.6 - Traffic &amp; law enforcement services</v>
      </c>
      <c r="B235" s="652"/>
      <c r="C235" s="658"/>
      <c r="D235" s="658">
        <v>3875155.44</v>
      </c>
      <c r="E235" s="659">
        <f>6132745.16+212244.13</f>
        <v>6344989.29</v>
      </c>
      <c r="F235" s="660">
        <v>4215641</v>
      </c>
      <c r="G235" s="658">
        <v>3372237</v>
      </c>
      <c r="H235" s="661">
        <v>3372237</v>
      </c>
      <c r="I235" s="1864">
        <v>5937890</v>
      </c>
      <c r="J235" s="1865">
        <f t="shared" si="35"/>
        <v>6294163.4000000004</v>
      </c>
      <c r="K235" s="1866">
        <f t="shared" si="35"/>
        <v>6671813.2040000008</v>
      </c>
      <c r="L235" s="68"/>
      <c r="M235" s="69"/>
      <c r="N235" s="69"/>
      <c r="O235" s="69"/>
      <c r="P235" s="69"/>
      <c r="Q235" s="69"/>
      <c r="R235" s="69"/>
      <c r="S235" s="69"/>
      <c r="T235" s="69"/>
      <c r="U235" s="69"/>
      <c r="V235" s="69"/>
      <c r="W235" s="69"/>
    </row>
    <row r="236" spans="1:23" ht="11.25" customHeight="1" x14ac:dyDescent="0.25">
      <c r="A236" s="63" t="str">
        <f t="shared" si="28"/>
        <v>6.7 - Driving license testing station; Motor vehicle registration &amp; Vehicle testing station</v>
      </c>
      <c r="B236" s="652"/>
      <c r="C236" s="658"/>
      <c r="D236" s="658"/>
      <c r="E236" s="659"/>
      <c r="F236" s="660">
        <v>2432912</v>
      </c>
      <c r="G236" s="658">
        <v>2432912</v>
      </c>
      <c r="H236" s="661">
        <v>2432912</v>
      </c>
      <c r="I236" s="1864"/>
      <c r="J236" s="1865"/>
      <c r="K236" s="1866"/>
      <c r="L236" s="68"/>
      <c r="M236" s="69"/>
      <c r="N236" s="69"/>
      <c r="O236" s="69"/>
      <c r="P236" s="69"/>
      <c r="Q236" s="69"/>
      <c r="R236" s="69"/>
      <c r="S236" s="69"/>
      <c r="T236" s="69"/>
      <c r="U236" s="69"/>
      <c r="V236" s="69"/>
      <c r="W236" s="69"/>
    </row>
    <row r="237" spans="1:23" ht="11.25" customHeight="1" x14ac:dyDescent="0.25">
      <c r="A237" s="63" t="str">
        <f t="shared" si="28"/>
        <v>6.8 - Disaster management &amp; Fire services</v>
      </c>
      <c r="B237" s="652"/>
      <c r="C237" s="658"/>
      <c r="D237" s="658">
        <v>2777293.73</v>
      </c>
      <c r="E237" s="659">
        <v>4500886.6399999997</v>
      </c>
      <c r="F237" s="660">
        <v>3236035</v>
      </c>
      <c r="G237" s="658">
        <v>6994859</v>
      </c>
      <c r="H237" s="661">
        <v>6994859</v>
      </c>
      <c r="I237" s="662">
        <v>6905857</v>
      </c>
      <c r="J237" s="658">
        <f>I237*1.06</f>
        <v>7320208.4199999999</v>
      </c>
      <c r="K237" s="659">
        <f>J237*1.06</f>
        <v>7759420.9252000004</v>
      </c>
      <c r="L237" s="68"/>
      <c r="M237" s="69"/>
      <c r="N237" s="69"/>
      <c r="O237" s="69"/>
      <c r="P237" s="69"/>
      <c r="Q237" s="69"/>
      <c r="R237" s="69"/>
      <c r="S237" s="69"/>
      <c r="T237" s="69"/>
      <c r="U237" s="69"/>
      <c r="V237" s="69"/>
      <c r="W237" s="69"/>
    </row>
    <row r="238" spans="1:23" ht="11.25" customHeight="1" x14ac:dyDescent="0.25">
      <c r="A238" s="63" t="str">
        <f t="shared" ref="A238:A239" si="36">A69</f>
        <v>6.9 - Area Cleansing</v>
      </c>
      <c r="B238" s="652"/>
      <c r="C238" s="658"/>
      <c r="D238" s="658"/>
      <c r="E238" s="659"/>
      <c r="F238" s="660"/>
      <c r="G238" s="658">
        <v>0</v>
      </c>
      <c r="H238" s="661">
        <v>0</v>
      </c>
      <c r="I238" s="662"/>
      <c r="J238" s="658"/>
      <c r="K238" s="659"/>
      <c r="L238" s="68"/>
      <c r="M238" s="69"/>
      <c r="N238" s="69"/>
      <c r="O238" s="69"/>
      <c r="P238" s="69"/>
      <c r="Q238" s="69"/>
      <c r="R238" s="69"/>
      <c r="S238" s="69"/>
      <c r="T238" s="69"/>
      <c r="U238" s="69"/>
      <c r="V238" s="69"/>
      <c r="W238" s="69"/>
    </row>
    <row r="239" spans="1:23" ht="11.25" customHeight="1" x14ac:dyDescent="0.25">
      <c r="A239" s="63" t="str">
        <f t="shared" si="36"/>
        <v>6.10 - Refuse removal, Skips &amp; illegal dumping</v>
      </c>
      <c r="B239" s="652"/>
      <c r="C239" s="658"/>
      <c r="D239" s="658">
        <v>13387237.474669231</v>
      </c>
      <c r="E239" s="659">
        <v>24234387.220000003</v>
      </c>
      <c r="F239" s="660">
        <v>15691078</v>
      </c>
      <c r="G239" s="658">
        <v>16251769</v>
      </c>
      <c r="H239" s="661">
        <v>16251769</v>
      </c>
      <c r="I239" s="662">
        <v>15935960</v>
      </c>
      <c r="J239" s="658">
        <f>I239*1.06</f>
        <v>16892117.600000001</v>
      </c>
      <c r="K239" s="659">
        <f>J239*1.06</f>
        <v>17905644.656000003</v>
      </c>
      <c r="L239" s="68"/>
      <c r="M239" s="69"/>
      <c r="N239" s="69"/>
      <c r="O239" s="69"/>
      <c r="P239" s="69"/>
      <c r="Q239" s="69"/>
      <c r="R239" s="69"/>
      <c r="S239" s="69"/>
      <c r="T239" s="69"/>
      <c r="U239" s="69"/>
      <c r="V239" s="69"/>
      <c r="W239" s="69"/>
    </row>
    <row r="240" spans="1:23" ht="15" customHeight="1" x14ac:dyDescent="0.25">
      <c r="A240" s="189" t="str">
        <f>A72</f>
        <v>Vote 7 - [NAME OF VOTE 7]</v>
      </c>
      <c r="B240" s="663"/>
      <c r="C240" s="592">
        <f t="shared" ref="C240:K240" si="37">SUM(C241:C250)</f>
        <v>0</v>
      </c>
      <c r="D240" s="592">
        <f t="shared" si="37"/>
        <v>0</v>
      </c>
      <c r="E240" s="595">
        <f t="shared" si="37"/>
        <v>0</v>
      </c>
      <c r="F240" s="594">
        <f t="shared" si="37"/>
        <v>0</v>
      </c>
      <c r="G240" s="592">
        <f t="shared" si="37"/>
        <v>0</v>
      </c>
      <c r="H240" s="593">
        <f t="shared" si="37"/>
        <v>0</v>
      </c>
      <c r="I240" s="610">
        <f t="shared" si="37"/>
        <v>0</v>
      </c>
      <c r="J240" s="592">
        <f t="shared" si="37"/>
        <v>0</v>
      </c>
      <c r="K240" s="595">
        <f t="shared" si="37"/>
        <v>0</v>
      </c>
      <c r="L240" s="68"/>
      <c r="M240" s="69"/>
      <c r="N240" s="69"/>
      <c r="O240" s="69"/>
      <c r="P240" s="69"/>
      <c r="Q240" s="69"/>
      <c r="R240" s="69"/>
      <c r="S240" s="69"/>
      <c r="T240" s="69"/>
      <c r="U240" s="69"/>
      <c r="V240" s="69"/>
      <c r="W240" s="69"/>
    </row>
    <row r="241" spans="1:23" ht="11.25" customHeight="1" x14ac:dyDescent="0.25">
      <c r="A241" s="63" t="str">
        <f t="shared" ref="A241:A250" si="38">A73</f>
        <v>7.1 - [Name of sub-vote]</v>
      </c>
      <c r="B241" s="652"/>
      <c r="C241" s="658"/>
      <c r="D241" s="658"/>
      <c r="E241" s="659"/>
      <c r="F241" s="660"/>
      <c r="G241" s="658"/>
      <c r="H241" s="661"/>
      <c r="I241" s="662"/>
      <c r="J241" s="658"/>
      <c r="K241" s="659"/>
      <c r="L241" s="68"/>
      <c r="M241" s="69"/>
      <c r="N241" s="69"/>
      <c r="O241" s="69"/>
      <c r="P241" s="69"/>
      <c r="Q241" s="69"/>
      <c r="R241" s="69"/>
      <c r="S241" s="69"/>
      <c r="T241" s="69"/>
      <c r="U241" s="69"/>
      <c r="V241" s="69"/>
      <c r="W241" s="69"/>
    </row>
    <row r="242" spans="1:23" ht="11.25" customHeight="1" x14ac:dyDescent="0.25">
      <c r="A242" s="63">
        <f t="shared" si="38"/>
        <v>0</v>
      </c>
      <c r="B242" s="652"/>
      <c r="C242" s="658"/>
      <c r="D242" s="658"/>
      <c r="E242" s="659"/>
      <c r="F242" s="660"/>
      <c r="G242" s="658"/>
      <c r="H242" s="661"/>
      <c r="I242" s="662"/>
      <c r="J242" s="658"/>
      <c r="K242" s="659"/>
      <c r="L242" s="68"/>
      <c r="M242" s="69"/>
      <c r="N242" s="69"/>
      <c r="O242" s="69"/>
      <c r="P242" s="69"/>
      <c r="Q242" s="69"/>
      <c r="R242" s="69"/>
      <c r="S242" s="69"/>
      <c r="T242" s="69"/>
      <c r="U242" s="69"/>
      <c r="V242" s="69"/>
      <c r="W242" s="69"/>
    </row>
    <row r="243" spans="1:23" ht="11.25" customHeight="1" x14ac:dyDescent="0.25">
      <c r="A243" s="63">
        <f t="shared" si="38"/>
        <v>0</v>
      </c>
      <c r="B243" s="652"/>
      <c r="C243" s="658"/>
      <c r="D243" s="658"/>
      <c r="E243" s="659"/>
      <c r="F243" s="660"/>
      <c r="G243" s="658"/>
      <c r="H243" s="661"/>
      <c r="I243" s="662"/>
      <c r="J243" s="658"/>
      <c r="K243" s="659"/>
      <c r="L243" s="68"/>
      <c r="M243" s="69"/>
      <c r="N243" s="69"/>
      <c r="O243" s="69"/>
      <c r="P243" s="69"/>
      <c r="Q243" s="69"/>
      <c r="R243" s="69"/>
      <c r="S243" s="69"/>
      <c r="T243" s="69"/>
      <c r="U243" s="69"/>
      <c r="V243" s="69"/>
      <c r="W243" s="69"/>
    </row>
    <row r="244" spans="1:23" ht="11.25" customHeight="1" x14ac:dyDescent="0.25">
      <c r="A244" s="63">
        <f t="shared" si="38"/>
        <v>0</v>
      </c>
      <c r="B244" s="652"/>
      <c r="C244" s="658"/>
      <c r="D244" s="658"/>
      <c r="E244" s="659"/>
      <c r="F244" s="660"/>
      <c r="G244" s="658"/>
      <c r="H244" s="661"/>
      <c r="I244" s="662"/>
      <c r="J244" s="658"/>
      <c r="K244" s="659"/>
      <c r="L244" s="68"/>
      <c r="M244" s="69"/>
      <c r="N244" s="69"/>
      <c r="O244" s="69"/>
      <c r="P244" s="69"/>
      <c r="Q244" s="69"/>
      <c r="R244" s="69"/>
      <c r="S244" s="69"/>
      <c r="T244" s="69"/>
      <c r="U244" s="69"/>
      <c r="V244" s="69"/>
      <c r="W244" s="69"/>
    </row>
    <row r="245" spans="1:23" ht="11.25" customHeight="1" x14ac:dyDescent="0.25">
      <c r="A245" s="63">
        <f t="shared" si="38"/>
        <v>0</v>
      </c>
      <c r="B245" s="652"/>
      <c r="C245" s="658"/>
      <c r="D245" s="658"/>
      <c r="E245" s="659"/>
      <c r="F245" s="660"/>
      <c r="G245" s="658"/>
      <c r="H245" s="661"/>
      <c r="I245" s="662"/>
      <c r="J245" s="658"/>
      <c r="K245" s="659"/>
      <c r="L245" s="68"/>
      <c r="M245" s="69"/>
      <c r="N245" s="69"/>
      <c r="O245" s="69"/>
      <c r="P245" s="69"/>
      <c r="Q245" s="69"/>
      <c r="R245" s="69"/>
      <c r="S245" s="69"/>
      <c r="T245" s="69"/>
      <c r="U245" s="69"/>
      <c r="V245" s="69"/>
      <c r="W245" s="69"/>
    </row>
    <row r="246" spans="1:23" ht="11.25" customHeight="1" x14ac:dyDescent="0.25">
      <c r="A246" s="63">
        <f t="shared" si="38"/>
        <v>0</v>
      </c>
      <c r="B246" s="652"/>
      <c r="C246" s="658"/>
      <c r="D246" s="658"/>
      <c r="E246" s="659"/>
      <c r="F246" s="660"/>
      <c r="G246" s="658"/>
      <c r="H246" s="661"/>
      <c r="I246" s="662"/>
      <c r="J246" s="658"/>
      <c r="K246" s="659"/>
      <c r="L246" s="68"/>
      <c r="M246" s="69"/>
      <c r="N246" s="69"/>
      <c r="O246" s="69"/>
      <c r="P246" s="69"/>
      <c r="Q246" s="69"/>
      <c r="R246" s="69"/>
      <c r="S246" s="69"/>
      <c r="T246" s="69"/>
      <c r="U246" s="69"/>
      <c r="V246" s="69"/>
      <c r="W246" s="69"/>
    </row>
    <row r="247" spans="1:23" ht="11.25" customHeight="1" x14ac:dyDescent="0.25">
      <c r="A247" s="63">
        <f t="shared" si="38"/>
        <v>0</v>
      </c>
      <c r="B247" s="652"/>
      <c r="C247" s="658"/>
      <c r="D247" s="658"/>
      <c r="E247" s="659"/>
      <c r="F247" s="660"/>
      <c r="G247" s="658"/>
      <c r="H247" s="661"/>
      <c r="I247" s="662"/>
      <c r="J247" s="658"/>
      <c r="K247" s="659"/>
      <c r="L247" s="68"/>
      <c r="M247" s="69"/>
      <c r="N247" s="69"/>
      <c r="O247" s="69"/>
      <c r="P247" s="69"/>
      <c r="Q247" s="69"/>
      <c r="R247" s="69"/>
      <c r="S247" s="69"/>
      <c r="T247" s="69"/>
      <c r="U247" s="69"/>
      <c r="V247" s="69"/>
      <c r="W247" s="69"/>
    </row>
    <row r="248" spans="1:23" ht="11.25" customHeight="1" x14ac:dyDescent="0.25">
      <c r="A248" s="63">
        <f t="shared" si="38"/>
        <v>0</v>
      </c>
      <c r="B248" s="652"/>
      <c r="C248" s="658"/>
      <c r="D248" s="658"/>
      <c r="E248" s="659"/>
      <c r="F248" s="660"/>
      <c r="G248" s="658"/>
      <c r="H248" s="661"/>
      <c r="I248" s="662"/>
      <c r="J248" s="658"/>
      <c r="K248" s="659"/>
      <c r="L248" s="68"/>
      <c r="M248" s="69"/>
      <c r="N248" s="69"/>
      <c r="O248" s="69"/>
      <c r="P248" s="69"/>
      <c r="Q248" s="69"/>
      <c r="R248" s="69"/>
      <c r="S248" s="69"/>
      <c r="T248" s="69"/>
      <c r="U248" s="69"/>
      <c r="V248" s="69"/>
      <c r="W248" s="69"/>
    </row>
    <row r="249" spans="1:23" ht="11.25" customHeight="1" x14ac:dyDescent="0.25">
      <c r="A249" s="63">
        <f t="shared" si="38"/>
        <v>0</v>
      </c>
      <c r="B249" s="652"/>
      <c r="C249" s="658"/>
      <c r="D249" s="658"/>
      <c r="E249" s="659"/>
      <c r="F249" s="660"/>
      <c r="G249" s="658"/>
      <c r="H249" s="661"/>
      <c r="I249" s="662"/>
      <c r="J249" s="658"/>
      <c r="K249" s="659"/>
      <c r="L249" s="68"/>
      <c r="M249" s="69"/>
      <c r="N249" s="69"/>
      <c r="O249" s="69"/>
      <c r="P249" s="69"/>
      <c r="Q249" s="69"/>
      <c r="R249" s="69"/>
      <c r="S249" s="69"/>
      <c r="T249" s="69"/>
      <c r="U249" s="69"/>
      <c r="V249" s="69"/>
      <c r="W249" s="69"/>
    </row>
    <row r="250" spans="1:23" ht="11.25" customHeight="1" x14ac:dyDescent="0.25">
      <c r="A250" s="63">
        <f t="shared" si="38"/>
        <v>0</v>
      </c>
      <c r="B250" s="652"/>
      <c r="C250" s="658"/>
      <c r="D250" s="658"/>
      <c r="E250" s="659"/>
      <c r="F250" s="660"/>
      <c r="G250" s="658"/>
      <c r="H250" s="661"/>
      <c r="I250" s="662"/>
      <c r="J250" s="658"/>
      <c r="K250" s="659"/>
      <c r="L250" s="68"/>
      <c r="M250" s="69"/>
      <c r="N250" s="69"/>
      <c r="O250" s="69"/>
      <c r="P250" s="69"/>
      <c r="Q250" s="69"/>
      <c r="R250" s="69"/>
      <c r="S250" s="69"/>
      <c r="T250" s="69"/>
      <c r="U250" s="69"/>
      <c r="V250" s="69"/>
      <c r="W250" s="69"/>
    </row>
    <row r="251" spans="1:23" ht="15" customHeight="1" x14ac:dyDescent="0.25">
      <c r="A251" s="189" t="str">
        <f>A83</f>
        <v>Vote 8 - [NAME OF VOTE 8]</v>
      </c>
      <c r="B251" s="652"/>
      <c r="C251" s="592">
        <f t="shared" ref="C251:K251" si="39">SUM(C252:C261)</f>
        <v>0</v>
      </c>
      <c r="D251" s="592">
        <f t="shared" si="39"/>
        <v>0</v>
      </c>
      <c r="E251" s="595">
        <f t="shared" si="39"/>
        <v>0</v>
      </c>
      <c r="F251" s="594">
        <f t="shared" si="39"/>
        <v>0</v>
      </c>
      <c r="G251" s="592">
        <f t="shared" si="39"/>
        <v>0</v>
      </c>
      <c r="H251" s="593">
        <f t="shared" si="39"/>
        <v>0</v>
      </c>
      <c r="I251" s="610">
        <f t="shared" si="39"/>
        <v>0</v>
      </c>
      <c r="J251" s="592">
        <f t="shared" si="39"/>
        <v>0</v>
      </c>
      <c r="K251" s="595">
        <f t="shared" si="39"/>
        <v>0</v>
      </c>
      <c r="L251" s="68"/>
      <c r="M251" s="69"/>
      <c r="N251" s="69"/>
      <c r="O251" s="69"/>
      <c r="P251" s="69"/>
      <c r="Q251" s="69"/>
      <c r="R251" s="69"/>
      <c r="S251" s="69"/>
      <c r="T251" s="69"/>
      <c r="U251" s="69"/>
      <c r="V251" s="69"/>
      <c r="W251" s="69"/>
    </row>
    <row r="252" spans="1:23" ht="11.25" customHeight="1" x14ac:dyDescent="0.25">
      <c r="A252" s="63" t="str">
        <f t="shared" ref="A252:A272" si="40">A84</f>
        <v>8.1 - [Name of sub-vote]</v>
      </c>
      <c r="B252" s="652"/>
      <c r="C252" s="658"/>
      <c r="D252" s="658"/>
      <c r="E252" s="659"/>
      <c r="F252" s="660"/>
      <c r="G252" s="658"/>
      <c r="H252" s="661"/>
      <c r="I252" s="662"/>
      <c r="J252" s="658"/>
      <c r="K252" s="659"/>
      <c r="L252" s="68"/>
      <c r="M252" s="69"/>
      <c r="N252" s="69"/>
      <c r="O252" s="69"/>
      <c r="P252" s="69"/>
      <c r="Q252" s="69"/>
      <c r="R252" s="69"/>
      <c r="S252" s="69"/>
      <c r="T252" s="69"/>
      <c r="U252" s="69"/>
      <c r="V252" s="69"/>
      <c r="W252" s="69"/>
    </row>
    <row r="253" spans="1:23" ht="11.25" customHeight="1" x14ac:dyDescent="0.25">
      <c r="A253" s="63">
        <f t="shared" si="40"/>
        <v>0</v>
      </c>
      <c r="B253" s="652"/>
      <c r="C253" s="658"/>
      <c r="D253" s="658"/>
      <c r="E253" s="659"/>
      <c r="F253" s="660"/>
      <c r="G253" s="658"/>
      <c r="H253" s="661"/>
      <c r="I253" s="662"/>
      <c r="J253" s="658"/>
      <c r="K253" s="659"/>
      <c r="L253" s="68"/>
      <c r="M253" s="69"/>
      <c r="N253" s="69"/>
      <c r="O253" s="69"/>
      <c r="P253" s="69"/>
      <c r="Q253" s="69"/>
      <c r="R253" s="69"/>
      <c r="S253" s="69"/>
      <c r="T253" s="69"/>
      <c r="U253" s="69"/>
      <c r="V253" s="69"/>
      <c r="W253" s="69"/>
    </row>
    <row r="254" spans="1:23" ht="11.25" customHeight="1" x14ac:dyDescent="0.25">
      <c r="A254" s="63">
        <f t="shared" si="40"/>
        <v>0</v>
      </c>
      <c r="B254" s="652"/>
      <c r="C254" s="658"/>
      <c r="D254" s="658"/>
      <c r="E254" s="659"/>
      <c r="F254" s="660"/>
      <c r="G254" s="658"/>
      <c r="H254" s="661"/>
      <c r="I254" s="662"/>
      <c r="J254" s="658"/>
      <c r="K254" s="659"/>
      <c r="L254" s="68"/>
      <c r="M254" s="69"/>
      <c r="N254" s="69"/>
      <c r="O254" s="69"/>
      <c r="P254" s="69"/>
      <c r="Q254" s="69"/>
      <c r="R254" s="69"/>
      <c r="S254" s="69"/>
      <c r="T254" s="69"/>
      <c r="U254" s="69"/>
      <c r="V254" s="69"/>
      <c r="W254" s="69"/>
    </row>
    <row r="255" spans="1:23" ht="11.25" customHeight="1" x14ac:dyDescent="0.25">
      <c r="A255" s="63">
        <f t="shared" si="40"/>
        <v>0</v>
      </c>
      <c r="B255" s="652"/>
      <c r="C255" s="658"/>
      <c r="D255" s="658"/>
      <c r="E255" s="659"/>
      <c r="F255" s="660"/>
      <c r="G255" s="658"/>
      <c r="H255" s="661"/>
      <c r="I255" s="662"/>
      <c r="J255" s="658"/>
      <c r="K255" s="659"/>
      <c r="L255" s="68"/>
      <c r="M255" s="69"/>
      <c r="N255" s="69"/>
      <c r="O255" s="69"/>
      <c r="P255" s="69"/>
      <c r="Q255" s="69"/>
      <c r="R255" s="69"/>
      <c r="S255" s="69"/>
      <c r="T255" s="69"/>
      <c r="U255" s="69"/>
      <c r="V255" s="69"/>
      <c r="W255" s="69"/>
    </row>
    <row r="256" spans="1:23" ht="11.25" customHeight="1" x14ac:dyDescent="0.25">
      <c r="A256" s="63">
        <f t="shared" si="40"/>
        <v>0</v>
      </c>
      <c r="B256" s="652"/>
      <c r="C256" s="658"/>
      <c r="D256" s="658"/>
      <c r="E256" s="659"/>
      <c r="F256" s="660"/>
      <c r="G256" s="658"/>
      <c r="H256" s="661"/>
      <c r="I256" s="662"/>
      <c r="J256" s="658"/>
      <c r="K256" s="659"/>
      <c r="L256" s="68"/>
      <c r="M256" s="69"/>
      <c r="N256" s="69"/>
      <c r="O256" s="69"/>
      <c r="P256" s="69"/>
      <c r="Q256" s="69"/>
      <c r="R256" s="69"/>
      <c r="S256" s="69"/>
      <c r="T256" s="69"/>
      <c r="U256" s="69"/>
      <c r="V256" s="69"/>
      <c r="W256" s="69"/>
    </row>
    <row r="257" spans="1:23" ht="11.25" customHeight="1" x14ac:dyDescent="0.25">
      <c r="A257" s="63">
        <f t="shared" si="40"/>
        <v>0</v>
      </c>
      <c r="B257" s="652"/>
      <c r="C257" s="658"/>
      <c r="D257" s="658"/>
      <c r="E257" s="659"/>
      <c r="F257" s="660"/>
      <c r="G257" s="658"/>
      <c r="H257" s="661"/>
      <c r="I257" s="662"/>
      <c r="J257" s="658"/>
      <c r="K257" s="659"/>
      <c r="L257" s="68"/>
      <c r="M257" s="69"/>
      <c r="N257" s="69"/>
      <c r="O257" s="69"/>
      <c r="P257" s="69"/>
      <c r="Q257" s="69"/>
      <c r="R257" s="69"/>
      <c r="S257" s="69"/>
      <c r="T257" s="69"/>
      <c r="U257" s="69"/>
      <c r="V257" s="69"/>
      <c r="W257" s="69"/>
    </row>
    <row r="258" spans="1:23" ht="11.25" customHeight="1" x14ac:dyDescent="0.25">
      <c r="A258" s="63">
        <f t="shared" si="40"/>
        <v>0</v>
      </c>
      <c r="B258" s="652"/>
      <c r="C258" s="658"/>
      <c r="D258" s="658"/>
      <c r="E258" s="659"/>
      <c r="F258" s="660"/>
      <c r="G258" s="658"/>
      <c r="H258" s="661"/>
      <c r="I258" s="662"/>
      <c r="J258" s="658"/>
      <c r="K258" s="659"/>
      <c r="L258" s="68"/>
      <c r="M258" s="69"/>
      <c r="N258" s="69"/>
      <c r="O258" s="69"/>
      <c r="P258" s="69"/>
      <c r="Q258" s="69"/>
      <c r="R258" s="69"/>
      <c r="S258" s="69"/>
      <c r="T258" s="69"/>
      <c r="U258" s="69"/>
      <c r="V258" s="69"/>
      <c r="W258" s="69"/>
    </row>
    <row r="259" spans="1:23" ht="11.25" customHeight="1" x14ac:dyDescent="0.25">
      <c r="A259" s="63">
        <f t="shared" si="40"/>
        <v>0</v>
      </c>
      <c r="B259" s="652"/>
      <c r="C259" s="658"/>
      <c r="D259" s="658"/>
      <c r="E259" s="659"/>
      <c r="F259" s="660"/>
      <c r="G259" s="658"/>
      <c r="H259" s="661"/>
      <c r="I259" s="662"/>
      <c r="J259" s="658"/>
      <c r="K259" s="659"/>
      <c r="L259" s="68"/>
      <c r="M259" s="69"/>
      <c r="N259" s="69"/>
      <c r="O259" s="69"/>
      <c r="P259" s="69"/>
      <c r="Q259" s="69"/>
      <c r="R259" s="69"/>
      <c r="S259" s="69"/>
      <c r="T259" s="69"/>
      <c r="U259" s="69"/>
      <c r="V259" s="69"/>
      <c r="W259" s="69"/>
    </row>
    <row r="260" spans="1:23" ht="11.25" customHeight="1" x14ac:dyDescent="0.25">
      <c r="A260" s="63">
        <f t="shared" si="40"/>
        <v>0</v>
      </c>
      <c r="B260" s="652"/>
      <c r="C260" s="658"/>
      <c r="D260" s="658"/>
      <c r="E260" s="659"/>
      <c r="F260" s="660"/>
      <c r="G260" s="658"/>
      <c r="H260" s="661"/>
      <c r="I260" s="662"/>
      <c r="J260" s="658"/>
      <c r="K260" s="659"/>
      <c r="L260" s="68"/>
      <c r="M260" s="69"/>
      <c r="N260" s="69"/>
      <c r="O260" s="69"/>
      <c r="P260" s="69"/>
      <c r="Q260" s="69"/>
      <c r="R260" s="69"/>
      <c r="S260" s="69"/>
      <c r="T260" s="69"/>
      <c r="U260" s="69"/>
      <c r="V260" s="69"/>
      <c r="W260" s="69"/>
    </row>
    <row r="261" spans="1:23" ht="11.25" customHeight="1" x14ac:dyDescent="0.25">
      <c r="A261" s="63">
        <f t="shared" si="40"/>
        <v>0</v>
      </c>
      <c r="B261" s="652"/>
      <c r="C261" s="658"/>
      <c r="D261" s="658"/>
      <c r="E261" s="659"/>
      <c r="F261" s="660"/>
      <c r="G261" s="658"/>
      <c r="H261" s="661"/>
      <c r="I261" s="662"/>
      <c r="J261" s="658"/>
      <c r="K261" s="659"/>
      <c r="L261" s="68"/>
      <c r="M261" s="69"/>
      <c r="N261" s="69"/>
      <c r="O261" s="69"/>
      <c r="P261" s="69"/>
      <c r="Q261" s="69"/>
      <c r="R261" s="69"/>
      <c r="S261" s="69"/>
      <c r="T261" s="69"/>
      <c r="U261" s="69"/>
      <c r="V261" s="69"/>
      <c r="W261" s="69"/>
    </row>
    <row r="262" spans="1:23" ht="15" customHeight="1" x14ac:dyDescent="0.25">
      <c r="A262" s="189" t="str">
        <f t="shared" si="40"/>
        <v>Vote 9 - [NAME OF VOTE 9]</v>
      </c>
      <c r="B262" s="652"/>
      <c r="C262" s="592">
        <f t="shared" ref="C262:K262" si="41">SUM(C263:C272)</f>
        <v>0</v>
      </c>
      <c r="D262" s="592">
        <f t="shared" si="41"/>
        <v>0</v>
      </c>
      <c r="E262" s="595">
        <f t="shared" si="41"/>
        <v>0</v>
      </c>
      <c r="F262" s="594">
        <f t="shared" si="41"/>
        <v>0</v>
      </c>
      <c r="G262" s="592">
        <f t="shared" si="41"/>
        <v>0</v>
      </c>
      <c r="H262" s="593">
        <f t="shared" si="41"/>
        <v>0</v>
      </c>
      <c r="I262" s="610">
        <f t="shared" si="41"/>
        <v>0</v>
      </c>
      <c r="J262" s="592">
        <f t="shared" si="41"/>
        <v>0</v>
      </c>
      <c r="K262" s="595">
        <f t="shared" si="41"/>
        <v>0</v>
      </c>
      <c r="L262" s="68"/>
      <c r="M262" s="69"/>
      <c r="N262" s="69"/>
      <c r="O262" s="69"/>
      <c r="P262" s="69"/>
      <c r="Q262" s="69"/>
      <c r="R262" s="69"/>
      <c r="S262" s="69"/>
      <c r="T262" s="69"/>
      <c r="U262" s="69"/>
      <c r="V262" s="69"/>
      <c r="W262" s="69"/>
    </row>
    <row r="263" spans="1:23" ht="11.25" customHeight="1" x14ac:dyDescent="0.25">
      <c r="A263" s="63" t="str">
        <f t="shared" si="40"/>
        <v>9.1 - [Name of sub-vote]</v>
      </c>
      <c r="B263" s="652"/>
      <c r="C263" s="658"/>
      <c r="D263" s="658"/>
      <c r="E263" s="659"/>
      <c r="F263" s="660"/>
      <c r="G263" s="658"/>
      <c r="H263" s="661"/>
      <c r="I263" s="662"/>
      <c r="J263" s="658"/>
      <c r="K263" s="659"/>
      <c r="L263" s="68"/>
      <c r="M263" s="69"/>
      <c r="N263" s="69"/>
      <c r="O263" s="69"/>
      <c r="P263" s="69"/>
      <c r="Q263" s="69"/>
      <c r="R263" s="69"/>
      <c r="S263" s="69"/>
      <c r="T263" s="69"/>
      <c r="U263" s="69"/>
      <c r="V263" s="69"/>
      <c r="W263" s="69"/>
    </row>
    <row r="264" spans="1:23" ht="11.25" customHeight="1" x14ac:dyDescent="0.25">
      <c r="A264" s="63">
        <f t="shared" si="40"/>
        <v>0</v>
      </c>
      <c r="B264" s="652"/>
      <c r="C264" s="658"/>
      <c r="D264" s="658"/>
      <c r="E264" s="659"/>
      <c r="F264" s="660"/>
      <c r="G264" s="658"/>
      <c r="H264" s="661"/>
      <c r="I264" s="662"/>
      <c r="J264" s="658"/>
      <c r="K264" s="659"/>
      <c r="L264" s="68"/>
      <c r="M264" s="69"/>
      <c r="N264" s="69"/>
      <c r="O264" s="69"/>
      <c r="P264" s="69"/>
      <c r="Q264" s="69"/>
      <c r="R264" s="69"/>
      <c r="S264" s="69"/>
      <c r="T264" s="69"/>
      <c r="U264" s="69"/>
      <c r="V264" s="69"/>
      <c r="W264" s="69"/>
    </row>
    <row r="265" spans="1:23" ht="11.25" customHeight="1" x14ac:dyDescent="0.25">
      <c r="A265" s="63">
        <f t="shared" si="40"/>
        <v>0</v>
      </c>
      <c r="B265" s="652"/>
      <c r="C265" s="658"/>
      <c r="D265" s="658"/>
      <c r="E265" s="659"/>
      <c r="F265" s="660"/>
      <c r="G265" s="658"/>
      <c r="H265" s="661"/>
      <c r="I265" s="662"/>
      <c r="J265" s="658"/>
      <c r="K265" s="659"/>
      <c r="L265" s="68"/>
      <c r="M265" s="69"/>
      <c r="N265" s="69"/>
      <c r="O265" s="69"/>
      <c r="P265" s="69"/>
      <c r="Q265" s="69"/>
      <c r="R265" s="69"/>
      <c r="S265" s="69"/>
      <c r="T265" s="69"/>
      <c r="U265" s="69"/>
      <c r="V265" s="69"/>
      <c r="W265" s="69"/>
    </row>
    <row r="266" spans="1:23" ht="11.25" customHeight="1" x14ac:dyDescent="0.25">
      <c r="A266" s="63">
        <f t="shared" si="40"/>
        <v>0</v>
      </c>
      <c r="B266" s="652"/>
      <c r="C266" s="658"/>
      <c r="D266" s="658"/>
      <c r="E266" s="659"/>
      <c r="F266" s="660"/>
      <c r="G266" s="658"/>
      <c r="H266" s="661"/>
      <c r="I266" s="662"/>
      <c r="J266" s="658"/>
      <c r="K266" s="659"/>
      <c r="L266" s="68"/>
      <c r="M266" s="69"/>
      <c r="N266" s="69"/>
      <c r="O266" s="69"/>
      <c r="P266" s="69"/>
      <c r="Q266" s="69"/>
      <c r="R266" s="69"/>
      <c r="S266" s="69"/>
      <c r="T266" s="69"/>
      <c r="U266" s="69"/>
      <c r="V266" s="69"/>
      <c r="W266" s="69"/>
    </row>
    <row r="267" spans="1:23" ht="11.25" customHeight="1" x14ac:dyDescent="0.25">
      <c r="A267" s="63">
        <f t="shared" si="40"/>
        <v>0</v>
      </c>
      <c r="B267" s="652"/>
      <c r="C267" s="658"/>
      <c r="D267" s="658"/>
      <c r="E267" s="659"/>
      <c r="F267" s="660"/>
      <c r="G267" s="658"/>
      <c r="H267" s="661"/>
      <c r="I267" s="662"/>
      <c r="J267" s="658"/>
      <c r="K267" s="659"/>
      <c r="L267" s="68"/>
      <c r="M267" s="69"/>
      <c r="N267" s="69"/>
      <c r="O267" s="69"/>
      <c r="P267" s="69"/>
      <c r="Q267" s="69"/>
      <c r="R267" s="69"/>
      <c r="S267" s="69"/>
      <c r="T267" s="69"/>
      <c r="U267" s="69"/>
      <c r="V267" s="69"/>
      <c r="W267" s="69"/>
    </row>
    <row r="268" spans="1:23" ht="11.25" customHeight="1" x14ac:dyDescent="0.25">
      <c r="A268" s="63">
        <f t="shared" si="40"/>
        <v>0</v>
      </c>
      <c r="B268" s="652"/>
      <c r="C268" s="658"/>
      <c r="D268" s="658"/>
      <c r="E268" s="659"/>
      <c r="F268" s="660"/>
      <c r="G268" s="658"/>
      <c r="H268" s="661"/>
      <c r="I268" s="662"/>
      <c r="J268" s="658"/>
      <c r="K268" s="659"/>
      <c r="L268" s="68"/>
      <c r="M268" s="69"/>
      <c r="N268" s="69"/>
      <c r="O268" s="69"/>
      <c r="P268" s="69"/>
      <c r="Q268" s="69"/>
      <c r="R268" s="69"/>
      <c r="S268" s="69"/>
      <c r="T268" s="69"/>
      <c r="U268" s="69"/>
      <c r="V268" s="69"/>
      <c r="W268" s="69"/>
    </row>
    <row r="269" spans="1:23" ht="11.25" customHeight="1" x14ac:dyDescent="0.25">
      <c r="A269" s="63">
        <f t="shared" si="40"/>
        <v>0</v>
      </c>
      <c r="B269" s="652"/>
      <c r="C269" s="658"/>
      <c r="D269" s="658"/>
      <c r="E269" s="659"/>
      <c r="F269" s="660"/>
      <c r="G269" s="658"/>
      <c r="H269" s="661"/>
      <c r="I269" s="662"/>
      <c r="J269" s="658"/>
      <c r="K269" s="659"/>
      <c r="L269" s="68"/>
      <c r="M269" s="69"/>
      <c r="N269" s="69"/>
      <c r="O269" s="69"/>
      <c r="P269" s="69"/>
      <c r="Q269" s="69"/>
      <c r="R269" s="69"/>
      <c r="S269" s="69"/>
      <c r="T269" s="69"/>
      <c r="U269" s="69"/>
      <c r="V269" s="69"/>
      <c r="W269" s="69"/>
    </row>
    <row r="270" spans="1:23" ht="11.25" customHeight="1" x14ac:dyDescent="0.25">
      <c r="A270" s="63">
        <f t="shared" si="40"/>
        <v>0</v>
      </c>
      <c r="B270" s="652"/>
      <c r="C270" s="658"/>
      <c r="D270" s="658"/>
      <c r="E270" s="659"/>
      <c r="F270" s="660"/>
      <c r="G270" s="658"/>
      <c r="H270" s="661"/>
      <c r="I270" s="662"/>
      <c r="J270" s="658"/>
      <c r="K270" s="659"/>
      <c r="L270" s="68"/>
      <c r="M270" s="69"/>
      <c r="N270" s="69"/>
      <c r="O270" s="69"/>
      <c r="P270" s="69"/>
      <c r="Q270" s="69"/>
      <c r="R270" s="69"/>
      <c r="S270" s="69"/>
      <c r="T270" s="69"/>
      <c r="U270" s="69"/>
      <c r="V270" s="69"/>
      <c r="W270" s="69"/>
    </row>
    <row r="271" spans="1:23" ht="11.25" customHeight="1" x14ac:dyDescent="0.25">
      <c r="A271" s="63">
        <f t="shared" si="40"/>
        <v>0</v>
      </c>
      <c r="B271" s="652"/>
      <c r="C271" s="658"/>
      <c r="D271" s="658"/>
      <c r="E271" s="659"/>
      <c r="F271" s="660"/>
      <c r="G271" s="658"/>
      <c r="H271" s="661"/>
      <c r="I271" s="662"/>
      <c r="J271" s="658"/>
      <c r="K271" s="659"/>
      <c r="L271" s="68"/>
      <c r="M271" s="69"/>
      <c r="N271" s="69"/>
      <c r="O271" s="69"/>
      <c r="P271" s="69"/>
      <c r="Q271" s="69"/>
      <c r="R271" s="69"/>
      <c r="S271" s="69"/>
      <c r="T271" s="69"/>
      <c r="U271" s="69"/>
      <c r="V271" s="69"/>
      <c r="W271" s="69"/>
    </row>
    <row r="272" spans="1:23" ht="11.25" customHeight="1" x14ac:dyDescent="0.25">
      <c r="A272" s="63">
        <f t="shared" si="40"/>
        <v>0</v>
      </c>
      <c r="B272" s="652"/>
      <c r="C272" s="658"/>
      <c r="D272" s="658"/>
      <c r="E272" s="659"/>
      <c r="F272" s="660"/>
      <c r="G272" s="658"/>
      <c r="H272" s="661"/>
      <c r="I272" s="662"/>
      <c r="J272" s="658"/>
      <c r="K272" s="659"/>
      <c r="L272" s="68"/>
      <c r="M272" s="69"/>
      <c r="N272" s="69"/>
      <c r="O272" s="69"/>
      <c r="P272" s="69"/>
      <c r="Q272" s="69"/>
      <c r="R272" s="69"/>
      <c r="S272" s="69"/>
      <c r="T272" s="69"/>
      <c r="U272" s="69"/>
      <c r="V272" s="69"/>
      <c r="W272" s="69"/>
    </row>
    <row r="273" spans="1:23" ht="15" customHeight="1" x14ac:dyDescent="0.25">
      <c r="A273" s="189" t="str">
        <f>A105</f>
        <v>Vote 10 - [NAME OF VOTE 10]</v>
      </c>
      <c r="B273" s="652"/>
      <c r="C273" s="592">
        <f t="shared" ref="C273:K273" si="42">SUM(C274:C283)</f>
        <v>0</v>
      </c>
      <c r="D273" s="592">
        <f t="shared" si="42"/>
        <v>0</v>
      </c>
      <c r="E273" s="595">
        <f t="shared" si="42"/>
        <v>0</v>
      </c>
      <c r="F273" s="594">
        <f t="shared" si="42"/>
        <v>0</v>
      </c>
      <c r="G273" s="592">
        <f t="shared" si="42"/>
        <v>0</v>
      </c>
      <c r="H273" s="593">
        <f t="shared" si="42"/>
        <v>0</v>
      </c>
      <c r="I273" s="610">
        <f t="shared" si="42"/>
        <v>0</v>
      </c>
      <c r="J273" s="592">
        <f t="shared" si="42"/>
        <v>0</v>
      </c>
      <c r="K273" s="595">
        <f t="shared" si="42"/>
        <v>0</v>
      </c>
      <c r="L273" s="68"/>
      <c r="M273" s="69"/>
      <c r="N273" s="69"/>
      <c r="O273" s="69"/>
      <c r="P273" s="69"/>
      <c r="Q273" s="69"/>
      <c r="R273" s="69"/>
      <c r="S273" s="69"/>
      <c r="T273" s="69"/>
      <c r="U273" s="69"/>
      <c r="V273" s="69"/>
      <c r="W273" s="69"/>
    </row>
    <row r="274" spans="1:23" ht="11.25" customHeight="1" x14ac:dyDescent="0.25">
      <c r="A274" s="63" t="str">
        <f>A106</f>
        <v>10.1 - [Name of sub-vote]</v>
      </c>
      <c r="B274" s="652"/>
      <c r="C274" s="658"/>
      <c r="D274" s="658"/>
      <c r="E274" s="659"/>
      <c r="F274" s="660"/>
      <c r="G274" s="658"/>
      <c r="H274" s="661"/>
      <c r="I274" s="662"/>
      <c r="J274" s="658"/>
      <c r="K274" s="659"/>
      <c r="L274" s="68"/>
      <c r="M274" s="69"/>
      <c r="N274" s="69"/>
      <c r="O274" s="69"/>
      <c r="P274" s="69"/>
      <c r="Q274" s="69"/>
      <c r="R274" s="69"/>
      <c r="S274" s="69"/>
      <c r="T274" s="69"/>
      <c r="U274" s="69"/>
      <c r="V274" s="69"/>
      <c r="W274" s="69"/>
    </row>
    <row r="275" spans="1:23" ht="11.25" customHeight="1" x14ac:dyDescent="0.25">
      <c r="A275" s="63">
        <f t="shared" ref="A275:A282" si="43">A107</f>
        <v>0</v>
      </c>
      <c r="B275" s="652"/>
      <c r="C275" s="658"/>
      <c r="D275" s="658"/>
      <c r="E275" s="659"/>
      <c r="F275" s="660"/>
      <c r="G275" s="658"/>
      <c r="H275" s="661"/>
      <c r="I275" s="662"/>
      <c r="J275" s="658"/>
      <c r="K275" s="659"/>
      <c r="L275" s="68"/>
      <c r="M275" s="69"/>
      <c r="N275" s="69"/>
      <c r="O275" s="69"/>
      <c r="P275" s="69"/>
      <c r="Q275" s="69"/>
      <c r="R275" s="69"/>
      <c r="S275" s="69"/>
      <c r="T275" s="69"/>
      <c r="U275" s="69"/>
      <c r="V275" s="69"/>
      <c r="W275" s="69"/>
    </row>
    <row r="276" spans="1:23" ht="11.25" customHeight="1" x14ac:dyDescent="0.25">
      <c r="A276" s="63">
        <f t="shared" si="43"/>
        <v>0</v>
      </c>
      <c r="B276" s="652"/>
      <c r="C276" s="658"/>
      <c r="D276" s="658"/>
      <c r="E276" s="659"/>
      <c r="F276" s="660"/>
      <c r="G276" s="658"/>
      <c r="H276" s="661"/>
      <c r="I276" s="662"/>
      <c r="J276" s="658"/>
      <c r="K276" s="659"/>
      <c r="L276" s="68"/>
      <c r="M276" s="69"/>
      <c r="N276" s="69"/>
      <c r="O276" s="69"/>
      <c r="P276" s="69"/>
      <c r="Q276" s="69"/>
      <c r="R276" s="69"/>
      <c r="S276" s="69"/>
      <c r="T276" s="69"/>
      <c r="U276" s="69"/>
      <c r="V276" s="69"/>
      <c r="W276" s="69"/>
    </row>
    <row r="277" spans="1:23" ht="11.25" customHeight="1" x14ac:dyDescent="0.25">
      <c r="A277" s="63">
        <f t="shared" si="43"/>
        <v>0</v>
      </c>
      <c r="B277" s="652"/>
      <c r="C277" s="658"/>
      <c r="D277" s="658"/>
      <c r="E277" s="659"/>
      <c r="F277" s="660"/>
      <c r="G277" s="658"/>
      <c r="H277" s="661"/>
      <c r="I277" s="662"/>
      <c r="J277" s="658"/>
      <c r="K277" s="659"/>
      <c r="L277" s="68"/>
      <c r="M277" s="69"/>
      <c r="N277" s="69"/>
      <c r="O277" s="69"/>
      <c r="P277" s="69"/>
      <c r="Q277" s="69"/>
      <c r="R277" s="69"/>
      <c r="S277" s="69"/>
      <c r="T277" s="69"/>
      <c r="U277" s="69"/>
      <c r="V277" s="69"/>
      <c r="W277" s="69"/>
    </row>
    <row r="278" spans="1:23" ht="11.25" customHeight="1" x14ac:dyDescent="0.25">
      <c r="A278" s="63">
        <f t="shared" si="43"/>
        <v>0</v>
      </c>
      <c r="B278" s="652"/>
      <c r="C278" s="658"/>
      <c r="D278" s="658"/>
      <c r="E278" s="659"/>
      <c r="F278" s="660"/>
      <c r="G278" s="658"/>
      <c r="H278" s="661"/>
      <c r="I278" s="662"/>
      <c r="J278" s="658"/>
      <c r="K278" s="659"/>
      <c r="L278" s="68"/>
      <c r="M278" s="69"/>
      <c r="N278" s="69"/>
      <c r="O278" s="69"/>
      <c r="P278" s="69"/>
      <c r="Q278" s="69"/>
      <c r="R278" s="69"/>
      <c r="S278" s="69"/>
      <c r="T278" s="69"/>
      <c r="U278" s="69"/>
      <c r="V278" s="69"/>
      <c r="W278" s="69"/>
    </row>
    <row r="279" spans="1:23" ht="11.25" customHeight="1" x14ac:dyDescent="0.25">
      <c r="A279" s="63">
        <f t="shared" si="43"/>
        <v>0</v>
      </c>
      <c r="B279" s="652"/>
      <c r="C279" s="658"/>
      <c r="D279" s="658"/>
      <c r="E279" s="659"/>
      <c r="F279" s="660"/>
      <c r="G279" s="658"/>
      <c r="H279" s="661"/>
      <c r="I279" s="662"/>
      <c r="J279" s="658"/>
      <c r="K279" s="659"/>
      <c r="L279" s="68"/>
      <c r="M279" s="69"/>
      <c r="N279" s="69"/>
      <c r="O279" s="69"/>
      <c r="P279" s="69"/>
      <c r="Q279" s="69"/>
      <c r="R279" s="69"/>
      <c r="S279" s="69"/>
      <c r="T279" s="69"/>
      <c r="U279" s="69"/>
      <c r="V279" s="69"/>
      <c r="W279" s="69"/>
    </row>
    <row r="280" spans="1:23" ht="11.25" customHeight="1" x14ac:dyDescent="0.25">
      <c r="A280" s="63">
        <f t="shared" si="43"/>
        <v>0</v>
      </c>
      <c r="B280" s="652"/>
      <c r="C280" s="658"/>
      <c r="D280" s="658"/>
      <c r="E280" s="659"/>
      <c r="F280" s="660"/>
      <c r="G280" s="658"/>
      <c r="H280" s="661"/>
      <c r="I280" s="662"/>
      <c r="J280" s="658"/>
      <c r="K280" s="659"/>
      <c r="L280" s="68"/>
      <c r="M280" s="69"/>
      <c r="N280" s="69"/>
      <c r="O280" s="69"/>
      <c r="P280" s="69"/>
      <c r="Q280" s="69"/>
      <c r="R280" s="69"/>
      <c r="S280" s="69"/>
      <c r="T280" s="69"/>
      <c r="U280" s="69"/>
      <c r="V280" s="69"/>
      <c r="W280" s="69"/>
    </row>
    <row r="281" spans="1:23" ht="11.25" customHeight="1" x14ac:dyDescent="0.25">
      <c r="A281" s="63">
        <f t="shared" si="43"/>
        <v>0</v>
      </c>
      <c r="B281" s="652"/>
      <c r="C281" s="658"/>
      <c r="D281" s="658"/>
      <c r="E281" s="659"/>
      <c r="F281" s="660"/>
      <c r="G281" s="658"/>
      <c r="H281" s="661"/>
      <c r="I281" s="662"/>
      <c r="J281" s="658"/>
      <c r="K281" s="659"/>
      <c r="L281" s="68"/>
      <c r="M281" s="69"/>
      <c r="N281" s="69"/>
      <c r="O281" s="69"/>
      <c r="P281" s="69"/>
      <c r="Q281" s="69"/>
      <c r="R281" s="69"/>
      <c r="S281" s="69"/>
      <c r="T281" s="69"/>
      <c r="U281" s="69"/>
      <c r="V281" s="69"/>
      <c r="W281" s="69"/>
    </row>
    <row r="282" spans="1:23" ht="11.25" customHeight="1" x14ac:dyDescent="0.25">
      <c r="A282" s="63">
        <f t="shared" si="43"/>
        <v>0</v>
      </c>
      <c r="B282" s="652"/>
      <c r="C282" s="658"/>
      <c r="D282" s="658"/>
      <c r="E282" s="659"/>
      <c r="F282" s="660"/>
      <c r="G282" s="658"/>
      <c r="H282" s="661"/>
      <c r="I282" s="662"/>
      <c r="J282" s="658"/>
      <c r="K282" s="659"/>
      <c r="L282" s="68"/>
      <c r="M282" s="69"/>
      <c r="N282" s="69"/>
      <c r="O282" s="69"/>
      <c r="P282" s="69"/>
      <c r="Q282" s="69"/>
      <c r="R282" s="69"/>
      <c r="S282" s="69"/>
      <c r="T282" s="69"/>
      <c r="U282" s="69"/>
      <c r="V282" s="69"/>
      <c r="W282" s="69"/>
    </row>
    <row r="283" spans="1:23" ht="11.25" customHeight="1" x14ac:dyDescent="0.25">
      <c r="A283" s="63">
        <f>A115</f>
        <v>0</v>
      </c>
      <c r="B283" s="652"/>
      <c r="C283" s="658"/>
      <c r="D283" s="658"/>
      <c r="E283" s="659"/>
      <c r="F283" s="660"/>
      <c r="G283" s="658"/>
      <c r="H283" s="661"/>
      <c r="I283" s="662"/>
      <c r="J283" s="658"/>
      <c r="K283" s="659"/>
      <c r="L283" s="68"/>
      <c r="M283" s="69"/>
      <c r="N283" s="69"/>
      <c r="O283" s="69"/>
      <c r="P283" s="69"/>
      <c r="Q283" s="69"/>
      <c r="R283" s="69"/>
      <c r="S283" s="69"/>
      <c r="T283" s="69"/>
      <c r="U283" s="69"/>
      <c r="V283" s="69"/>
      <c r="W283" s="69"/>
    </row>
    <row r="284" spans="1:23" ht="15" customHeight="1" x14ac:dyDescent="0.25">
      <c r="A284" s="189" t="str">
        <f>A116</f>
        <v>Vote 11 - [NAME OF VOTE 11]</v>
      </c>
      <c r="B284" s="652"/>
      <c r="C284" s="592">
        <f t="shared" ref="C284:K284" si="44">SUM(C285:C294)</f>
        <v>0</v>
      </c>
      <c r="D284" s="592">
        <f t="shared" si="44"/>
        <v>0</v>
      </c>
      <c r="E284" s="595">
        <f t="shared" si="44"/>
        <v>0</v>
      </c>
      <c r="F284" s="594">
        <f t="shared" si="44"/>
        <v>0</v>
      </c>
      <c r="G284" s="592">
        <f t="shared" si="44"/>
        <v>0</v>
      </c>
      <c r="H284" s="593">
        <f t="shared" si="44"/>
        <v>0</v>
      </c>
      <c r="I284" s="610">
        <f t="shared" si="44"/>
        <v>0</v>
      </c>
      <c r="J284" s="592">
        <f t="shared" si="44"/>
        <v>0</v>
      </c>
      <c r="K284" s="595">
        <f t="shared" si="44"/>
        <v>0</v>
      </c>
      <c r="L284" s="68"/>
      <c r="M284" s="69"/>
      <c r="N284" s="69"/>
      <c r="O284" s="69"/>
      <c r="P284" s="69"/>
      <c r="Q284" s="69"/>
      <c r="R284" s="69"/>
      <c r="S284" s="69"/>
      <c r="T284" s="69"/>
      <c r="U284" s="69"/>
      <c r="V284" s="69"/>
      <c r="W284" s="69"/>
    </row>
    <row r="285" spans="1:23" ht="11.25" customHeight="1" x14ac:dyDescent="0.25">
      <c r="A285" s="63" t="str">
        <f>A117</f>
        <v>11.1 - [Name of sub-vote]</v>
      </c>
      <c r="B285" s="652"/>
      <c r="C285" s="658"/>
      <c r="D285" s="658"/>
      <c r="E285" s="659"/>
      <c r="F285" s="660"/>
      <c r="G285" s="658"/>
      <c r="H285" s="661"/>
      <c r="I285" s="662"/>
      <c r="J285" s="658"/>
      <c r="K285" s="659"/>
      <c r="L285" s="68"/>
      <c r="M285" s="69"/>
      <c r="N285" s="69"/>
      <c r="O285" s="69"/>
      <c r="P285" s="69"/>
      <c r="Q285" s="69"/>
      <c r="R285" s="69"/>
      <c r="S285" s="69"/>
      <c r="T285" s="69"/>
      <c r="U285" s="69"/>
      <c r="V285" s="69"/>
      <c r="W285" s="69"/>
    </row>
    <row r="286" spans="1:23" ht="11.25" customHeight="1" x14ac:dyDescent="0.25">
      <c r="A286" s="63">
        <f t="shared" ref="A286:A338" si="45">A118</f>
        <v>0</v>
      </c>
      <c r="B286" s="652"/>
      <c r="C286" s="658"/>
      <c r="D286" s="658"/>
      <c r="E286" s="659"/>
      <c r="F286" s="660"/>
      <c r="G286" s="658"/>
      <c r="H286" s="661"/>
      <c r="I286" s="662"/>
      <c r="J286" s="658"/>
      <c r="K286" s="659"/>
      <c r="L286" s="68"/>
      <c r="M286" s="69"/>
      <c r="N286" s="69"/>
      <c r="O286" s="69"/>
      <c r="P286" s="69"/>
      <c r="Q286" s="69"/>
      <c r="R286" s="69"/>
      <c r="S286" s="69"/>
      <c r="T286" s="69"/>
      <c r="U286" s="69"/>
      <c r="V286" s="69"/>
      <c r="W286" s="69"/>
    </row>
    <row r="287" spans="1:23" ht="11.25" customHeight="1" x14ac:dyDescent="0.25">
      <c r="A287" s="63">
        <f t="shared" si="45"/>
        <v>0</v>
      </c>
      <c r="B287" s="652"/>
      <c r="C287" s="658"/>
      <c r="D287" s="658"/>
      <c r="E287" s="659"/>
      <c r="F287" s="660"/>
      <c r="G287" s="658"/>
      <c r="H287" s="661"/>
      <c r="I287" s="662"/>
      <c r="J287" s="658"/>
      <c r="K287" s="659"/>
      <c r="L287" s="68"/>
      <c r="M287" s="69"/>
      <c r="N287" s="69"/>
      <c r="O287" s="69"/>
      <c r="P287" s="69"/>
      <c r="Q287" s="69"/>
      <c r="R287" s="69"/>
      <c r="S287" s="69"/>
      <c r="T287" s="69"/>
      <c r="U287" s="69"/>
      <c r="V287" s="69"/>
      <c r="W287" s="69"/>
    </row>
    <row r="288" spans="1:23" ht="11.25" customHeight="1" x14ac:dyDescent="0.25">
      <c r="A288" s="63">
        <f t="shared" si="45"/>
        <v>0</v>
      </c>
      <c r="B288" s="652"/>
      <c r="C288" s="658"/>
      <c r="D288" s="658"/>
      <c r="E288" s="659"/>
      <c r="F288" s="660"/>
      <c r="G288" s="658"/>
      <c r="H288" s="661"/>
      <c r="I288" s="662"/>
      <c r="J288" s="658"/>
      <c r="K288" s="659"/>
      <c r="L288" s="68"/>
      <c r="M288" s="69"/>
      <c r="N288" s="69"/>
      <c r="O288" s="69"/>
      <c r="P288" s="69"/>
      <c r="Q288" s="69"/>
      <c r="R288" s="69"/>
      <c r="S288" s="69"/>
      <c r="T288" s="69"/>
      <c r="U288" s="69"/>
      <c r="V288" s="69"/>
      <c r="W288" s="69"/>
    </row>
    <row r="289" spans="1:23" ht="11.25" customHeight="1" x14ac:dyDescent="0.25">
      <c r="A289" s="63">
        <f t="shared" si="45"/>
        <v>0</v>
      </c>
      <c r="B289" s="652"/>
      <c r="C289" s="658"/>
      <c r="D289" s="658"/>
      <c r="E289" s="659"/>
      <c r="F289" s="660"/>
      <c r="G289" s="658"/>
      <c r="H289" s="661"/>
      <c r="I289" s="662"/>
      <c r="J289" s="658"/>
      <c r="K289" s="659"/>
      <c r="L289" s="68"/>
      <c r="M289" s="69"/>
      <c r="N289" s="69"/>
      <c r="O289" s="69"/>
      <c r="P289" s="69"/>
      <c r="Q289" s="69"/>
      <c r="R289" s="69"/>
      <c r="S289" s="69"/>
      <c r="T289" s="69"/>
      <c r="U289" s="69"/>
      <c r="V289" s="69"/>
      <c r="W289" s="69"/>
    </row>
    <row r="290" spans="1:23" ht="11.25" customHeight="1" x14ac:dyDescent="0.25">
      <c r="A290" s="63">
        <f t="shared" si="45"/>
        <v>0</v>
      </c>
      <c r="B290" s="652"/>
      <c r="C290" s="658"/>
      <c r="D290" s="658"/>
      <c r="E290" s="659"/>
      <c r="F290" s="660"/>
      <c r="G290" s="658"/>
      <c r="H290" s="661"/>
      <c r="I290" s="662"/>
      <c r="J290" s="658"/>
      <c r="K290" s="659"/>
      <c r="L290" s="68"/>
      <c r="M290" s="69"/>
      <c r="N290" s="69"/>
      <c r="O290" s="69"/>
      <c r="P290" s="69"/>
      <c r="Q290" s="69"/>
      <c r="R290" s="69"/>
      <c r="S290" s="69"/>
      <c r="T290" s="69"/>
      <c r="U290" s="69"/>
      <c r="V290" s="69"/>
      <c r="W290" s="69"/>
    </row>
    <row r="291" spans="1:23" ht="11.25" customHeight="1" x14ac:dyDescent="0.25">
      <c r="A291" s="63">
        <f t="shared" si="45"/>
        <v>0</v>
      </c>
      <c r="B291" s="652"/>
      <c r="C291" s="658"/>
      <c r="D291" s="658"/>
      <c r="E291" s="659"/>
      <c r="F291" s="660"/>
      <c r="G291" s="658"/>
      <c r="H291" s="661"/>
      <c r="I291" s="662"/>
      <c r="J291" s="658"/>
      <c r="K291" s="659"/>
      <c r="L291" s="68"/>
      <c r="M291" s="69"/>
      <c r="N291" s="69"/>
      <c r="O291" s="69"/>
      <c r="P291" s="69"/>
      <c r="Q291" s="69"/>
      <c r="R291" s="69"/>
      <c r="S291" s="69"/>
      <c r="T291" s="69"/>
      <c r="U291" s="69"/>
      <c r="V291" s="69"/>
      <c r="W291" s="69"/>
    </row>
    <row r="292" spans="1:23" ht="11.25" customHeight="1" x14ac:dyDescent="0.25">
      <c r="A292" s="63">
        <f t="shared" si="45"/>
        <v>0</v>
      </c>
      <c r="B292" s="652"/>
      <c r="C292" s="658"/>
      <c r="D292" s="658"/>
      <c r="E292" s="659"/>
      <c r="F292" s="660"/>
      <c r="G292" s="658"/>
      <c r="H292" s="661"/>
      <c r="I292" s="662"/>
      <c r="J292" s="658"/>
      <c r="K292" s="659"/>
      <c r="L292" s="68"/>
      <c r="M292" s="69"/>
      <c r="N292" s="69"/>
      <c r="O292" s="69"/>
      <c r="P292" s="69"/>
      <c r="Q292" s="69"/>
      <c r="R292" s="69"/>
      <c r="S292" s="69"/>
      <c r="T292" s="69"/>
      <c r="U292" s="69"/>
      <c r="V292" s="69"/>
      <c r="W292" s="69"/>
    </row>
    <row r="293" spans="1:23" ht="11.25" customHeight="1" x14ac:dyDescent="0.25">
      <c r="A293" s="63">
        <f t="shared" si="45"/>
        <v>0</v>
      </c>
      <c r="B293" s="652"/>
      <c r="C293" s="658"/>
      <c r="D293" s="658"/>
      <c r="E293" s="659"/>
      <c r="F293" s="660"/>
      <c r="G293" s="658"/>
      <c r="H293" s="661"/>
      <c r="I293" s="662"/>
      <c r="J293" s="658"/>
      <c r="K293" s="659"/>
      <c r="L293" s="68"/>
      <c r="M293" s="69"/>
      <c r="N293" s="69"/>
      <c r="O293" s="69"/>
      <c r="P293" s="69"/>
      <c r="Q293" s="69"/>
      <c r="R293" s="69"/>
      <c r="S293" s="69"/>
      <c r="T293" s="69"/>
      <c r="U293" s="69"/>
      <c r="V293" s="69"/>
      <c r="W293" s="69"/>
    </row>
    <row r="294" spans="1:23" ht="11.25" customHeight="1" x14ac:dyDescent="0.25">
      <c r="A294" s="63">
        <f t="shared" si="45"/>
        <v>0</v>
      </c>
      <c r="B294" s="652"/>
      <c r="C294" s="658"/>
      <c r="D294" s="658"/>
      <c r="E294" s="659"/>
      <c r="F294" s="660"/>
      <c r="G294" s="658"/>
      <c r="H294" s="661"/>
      <c r="I294" s="662"/>
      <c r="J294" s="658"/>
      <c r="K294" s="659"/>
      <c r="L294" s="68"/>
      <c r="M294" s="69"/>
      <c r="N294" s="69"/>
      <c r="O294" s="69"/>
      <c r="P294" s="69"/>
      <c r="Q294" s="69"/>
      <c r="R294" s="69"/>
      <c r="S294" s="69"/>
      <c r="T294" s="69"/>
      <c r="U294" s="69"/>
      <c r="V294" s="69"/>
      <c r="W294" s="69"/>
    </row>
    <row r="295" spans="1:23" ht="15" customHeight="1" x14ac:dyDescent="0.25">
      <c r="A295" s="189" t="str">
        <f t="shared" si="45"/>
        <v>Vote 12 - [NAME OF VOTE 12]</v>
      </c>
      <c r="B295" s="652"/>
      <c r="C295" s="592">
        <f t="shared" ref="C295:K295" si="46">SUM(C296:C305)</f>
        <v>0</v>
      </c>
      <c r="D295" s="592">
        <f t="shared" si="46"/>
        <v>0</v>
      </c>
      <c r="E295" s="595">
        <f t="shared" si="46"/>
        <v>0</v>
      </c>
      <c r="F295" s="594">
        <f t="shared" si="46"/>
        <v>0</v>
      </c>
      <c r="G295" s="592">
        <f t="shared" si="46"/>
        <v>0</v>
      </c>
      <c r="H295" s="593">
        <f t="shared" si="46"/>
        <v>0</v>
      </c>
      <c r="I295" s="610">
        <f t="shared" si="46"/>
        <v>0</v>
      </c>
      <c r="J295" s="592">
        <f t="shared" si="46"/>
        <v>0</v>
      </c>
      <c r="K295" s="595">
        <f t="shared" si="46"/>
        <v>0</v>
      </c>
      <c r="L295" s="68"/>
      <c r="M295" s="69"/>
      <c r="N295" s="69"/>
      <c r="O295" s="69"/>
      <c r="P295" s="69"/>
      <c r="Q295" s="69"/>
      <c r="R295" s="69"/>
      <c r="S295" s="69"/>
      <c r="T295" s="69"/>
      <c r="U295" s="69"/>
      <c r="V295" s="69"/>
      <c r="W295" s="69"/>
    </row>
    <row r="296" spans="1:23" ht="11.25" customHeight="1" x14ac:dyDescent="0.25">
      <c r="A296" s="63" t="str">
        <f t="shared" si="45"/>
        <v>12.1 - [Name of sub-vote]</v>
      </c>
      <c r="B296" s="652"/>
      <c r="C296" s="658"/>
      <c r="D296" s="658"/>
      <c r="E296" s="659"/>
      <c r="F296" s="660"/>
      <c r="G296" s="658"/>
      <c r="H296" s="661"/>
      <c r="I296" s="662"/>
      <c r="J296" s="658"/>
      <c r="K296" s="659"/>
      <c r="L296" s="68"/>
      <c r="M296" s="69"/>
      <c r="N296" s="69"/>
      <c r="O296" s="69"/>
      <c r="P296" s="69"/>
      <c r="Q296" s="69"/>
      <c r="R296" s="69"/>
      <c r="S296" s="69"/>
      <c r="T296" s="69"/>
      <c r="U296" s="69"/>
      <c r="V296" s="69"/>
      <c r="W296" s="69"/>
    </row>
    <row r="297" spans="1:23" ht="11.25" customHeight="1" x14ac:dyDescent="0.25">
      <c r="A297" s="63">
        <f t="shared" si="45"/>
        <v>0</v>
      </c>
      <c r="B297" s="652"/>
      <c r="C297" s="658"/>
      <c r="D297" s="658"/>
      <c r="E297" s="659"/>
      <c r="F297" s="660"/>
      <c r="G297" s="658"/>
      <c r="H297" s="661"/>
      <c r="I297" s="662"/>
      <c r="J297" s="658"/>
      <c r="K297" s="659"/>
      <c r="L297" s="68"/>
      <c r="M297" s="69"/>
      <c r="N297" s="69"/>
      <c r="O297" s="69"/>
      <c r="P297" s="69"/>
      <c r="Q297" s="69"/>
      <c r="R297" s="69"/>
      <c r="S297" s="69"/>
      <c r="T297" s="69"/>
      <c r="U297" s="69"/>
      <c r="V297" s="69"/>
      <c r="W297" s="69"/>
    </row>
    <row r="298" spans="1:23" ht="11.25" customHeight="1" x14ac:dyDescent="0.25">
      <c r="A298" s="63">
        <f t="shared" si="45"/>
        <v>0</v>
      </c>
      <c r="B298" s="652"/>
      <c r="C298" s="658"/>
      <c r="D298" s="658"/>
      <c r="E298" s="659"/>
      <c r="F298" s="660"/>
      <c r="G298" s="658"/>
      <c r="H298" s="661"/>
      <c r="I298" s="662"/>
      <c r="J298" s="658"/>
      <c r="K298" s="659"/>
      <c r="L298" s="68"/>
      <c r="M298" s="69"/>
      <c r="N298" s="69"/>
      <c r="O298" s="69"/>
      <c r="P298" s="69"/>
      <c r="Q298" s="69"/>
      <c r="R298" s="69"/>
      <c r="S298" s="69"/>
      <c r="T298" s="69"/>
      <c r="U298" s="69"/>
      <c r="V298" s="69"/>
      <c r="W298" s="69"/>
    </row>
    <row r="299" spans="1:23" ht="11.25" customHeight="1" x14ac:dyDescent="0.25">
      <c r="A299" s="63">
        <f t="shared" si="45"/>
        <v>0</v>
      </c>
      <c r="B299" s="652"/>
      <c r="C299" s="658"/>
      <c r="D299" s="658"/>
      <c r="E299" s="659"/>
      <c r="F299" s="660"/>
      <c r="G299" s="658"/>
      <c r="H299" s="661"/>
      <c r="I299" s="662"/>
      <c r="J299" s="658"/>
      <c r="K299" s="659"/>
      <c r="L299" s="68"/>
      <c r="M299" s="69"/>
      <c r="N299" s="69"/>
      <c r="O299" s="69"/>
      <c r="P299" s="69"/>
      <c r="Q299" s="69"/>
      <c r="R299" s="69"/>
      <c r="S299" s="69"/>
      <c r="T299" s="69"/>
      <c r="U299" s="69"/>
      <c r="V299" s="69"/>
      <c r="W299" s="69"/>
    </row>
    <row r="300" spans="1:23" ht="11.25" customHeight="1" x14ac:dyDescent="0.25">
      <c r="A300" s="63">
        <f t="shared" si="45"/>
        <v>0</v>
      </c>
      <c r="B300" s="652"/>
      <c r="C300" s="658"/>
      <c r="D300" s="658"/>
      <c r="E300" s="659"/>
      <c r="F300" s="660"/>
      <c r="G300" s="658"/>
      <c r="H300" s="661"/>
      <c r="I300" s="662"/>
      <c r="J300" s="658"/>
      <c r="K300" s="659"/>
      <c r="L300" s="68"/>
      <c r="M300" s="69"/>
      <c r="N300" s="69"/>
      <c r="O300" s="69"/>
      <c r="P300" s="69"/>
      <c r="Q300" s="69"/>
      <c r="R300" s="69"/>
      <c r="S300" s="69"/>
      <c r="T300" s="69"/>
      <c r="U300" s="69"/>
      <c r="V300" s="69"/>
      <c r="W300" s="69"/>
    </row>
    <row r="301" spans="1:23" ht="11.25" customHeight="1" x14ac:dyDescent="0.25">
      <c r="A301" s="63">
        <f t="shared" si="45"/>
        <v>0</v>
      </c>
      <c r="B301" s="652"/>
      <c r="C301" s="658"/>
      <c r="D301" s="658"/>
      <c r="E301" s="659"/>
      <c r="F301" s="660"/>
      <c r="G301" s="658"/>
      <c r="H301" s="661"/>
      <c r="I301" s="662"/>
      <c r="J301" s="658"/>
      <c r="K301" s="659"/>
      <c r="L301" s="68"/>
      <c r="M301" s="69"/>
      <c r="N301" s="69"/>
      <c r="O301" s="69"/>
      <c r="P301" s="69"/>
      <c r="Q301" s="69"/>
      <c r="R301" s="69"/>
      <c r="S301" s="69"/>
      <c r="T301" s="69"/>
      <c r="U301" s="69"/>
      <c r="V301" s="69"/>
      <c r="W301" s="69"/>
    </row>
    <row r="302" spans="1:23" ht="11.25" customHeight="1" x14ac:dyDescent="0.25">
      <c r="A302" s="63">
        <f t="shared" si="45"/>
        <v>0</v>
      </c>
      <c r="B302" s="652"/>
      <c r="C302" s="658"/>
      <c r="D302" s="658"/>
      <c r="E302" s="659"/>
      <c r="F302" s="660"/>
      <c r="G302" s="658"/>
      <c r="H302" s="661"/>
      <c r="I302" s="662"/>
      <c r="J302" s="658"/>
      <c r="K302" s="659"/>
      <c r="L302" s="68"/>
      <c r="M302" s="69"/>
      <c r="N302" s="69"/>
      <c r="O302" s="69"/>
      <c r="P302" s="69"/>
      <c r="Q302" s="69"/>
      <c r="R302" s="69"/>
      <c r="S302" s="69"/>
      <c r="T302" s="69"/>
      <c r="U302" s="69"/>
      <c r="V302" s="69"/>
      <c r="W302" s="69"/>
    </row>
    <row r="303" spans="1:23" ht="11.25" customHeight="1" x14ac:dyDescent="0.25">
      <c r="A303" s="63">
        <f t="shared" si="45"/>
        <v>0</v>
      </c>
      <c r="B303" s="652"/>
      <c r="C303" s="658"/>
      <c r="D303" s="658"/>
      <c r="E303" s="659"/>
      <c r="F303" s="660"/>
      <c r="G303" s="658"/>
      <c r="H303" s="661"/>
      <c r="I303" s="662"/>
      <c r="J303" s="658"/>
      <c r="K303" s="659"/>
      <c r="L303" s="68"/>
      <c r="M303" s="69"/>
      <c r="N303" s="69"/>
      <c r="O303" s="69"/>
      <c r="P303" s="69"/>
      <c r="Q303" s="69"/>
      <c r="R303" s="69"/>
      <c r="S303" s="69"/>
      <c r="T303" s="69"/>
      <c r="U303" s="69"/>
      <c r="V303" s="69"/>
      <c r="W303" s="69"/>
    </row>
    <row r="304" spans="1:23" ht="11.25" customHeight="1" x14ac:dyDescent="0.25">
      <c r="A304" s="63">
        <f t="shared" si="45"/>
        <v>0</v>
      </c>
      <c r="B304" s="652"/>
      <c r="C304" s="658"/>
      <c r="D304" s="658"/>
      <c r="E304" s="659"/>
      <c r="F304" s="660"/>
      <c r="G304" s="658"/>
      <c r="H304" s="661"/>
      <c r="I304" s="662"/>
      <c r="J304" s="658"/>
      <c r="K304" s="659"/>
      <c r="L304" s="68"/>
      <c r="M304" s="69"/>
      <c r="N304" s="69"/>
      <c r="O304" s="69"/>
      <c r="P304" s="69"/>
      <c r="Q304" s="69"/>
      <c r="R304" s="69"/>
      <c r="S304" s="69"/>
      <c r="T304" s="69"/>
      <c r="U304" s="69"/>
      <c r="V304" s="69"/>
      <c r="W304" s="69"/>
    </row>
    <row r="305" spans="1:23" ht="11.25" customHeight="1" x14ac:dyDescent="0.25">
      <c r="A305" s="63">
        <f t="shared" si="45"/>
        <v>0</v>
      </c>
      <c r="B305" s="652"/>
      <c r="C305" s="658"/>
      <c r="D305" s="658"/>
      <c r="E305" s="659"/>
      <c r="F305" s="660"/>
      <c r="G305" s="658"/>
      <c r="H305" s="661"/>
      <c r="I305" s="662"/>
      <c r="J305" s="658"/>
      <c r="K305" s="659"/>
      <c r="L305" s="68"/>
      <c r="M305" s="69"/>
      <c r="N305" s="69"/>
      <c r="O305" s="69"/>
      <c r="P305" s="69"/>
      <c r="Q305" s="69"/>
      <c r="R305" s="69"/>
      <c r="S305" s="69"/>
      <c r="T305" s="69"/>
      <c r="U305" s="69"/>
      <c r="V305" s="69"/>
      <c r="W305" s="69"/>
    </row>
    <row r="306" spans="1:23" ht="15" customHeight="1" x14ac:dyDescent="0.25">
      <c r="A306" s="189" t="str">
        <f t="shared" si="45"/>
        <v>Vote 13 - [NAME OF VOTE 13]</v>
      </c>
      <c r="B306" s="652"/>
      <c r="C306" s="592">
        <f t="shared" ref="C306:K306" si="47">SUM(C307:C316)</f>
        <v>0</v>
      </c>
      <c r="D306" s="592">
        <f t="shared" si="47"/>
        <v>0</v>
      </c>
      <c r="E306" s="595">
        <f t="shared" si="47"/>
        <v>0</v>
      </c>
      <c r="F306" s="594">
        <f t="shared" si="47"/>
        <v>0</v>
      </c>
      <c r="G306" s="592">
        <f t="shared" si="47"/>
        <v>0</v>
      </c>
      <c r="H306" s="593">
        <f t="shared" si="47"/>
        <v>0</v>
      </c>
      <c r="I306" s="610">
        <f t="shared" si="47"/>
        <v>0</v>
      </c>
      <c r="J306" s="592">
        <f t="shared" si="47"/>
        <v>0</v>
      </c>
      <c r="K306" s="595">
        <f t="shared" si="47"/>
        <v>0</v>
      </c>
      <c r="L306" s="68"/>
      <c r="M306" s="69"/>
      <c r="N306" s="69"/>
      <c r="O306" s="69"/>
      <c r="P306" s="69"/>
      <c r="Q306" s="69"/>
      <c r="R306" s="69"/>
      <c r="S306" s="69"/>
      <c r="T306" s="69"/>
      <c r="U306" s="69"/>
      <c r="V306" s="69"/>
      <c r="W306" s="69"/>
    </row>
    <row r="307" spans="1:23" ht="11.25" customHeight="1" x14ac:dyDescent="0.25">
      <c r="A307" s="63" t="str">
        <f t="shared" si="45"/>
        <v>13.1 - [Name of sub-vote]</v>
      </c>
      <c r="B307" s="652"/>
      <c r="C307" s="658"/>
      <c r="D307" s="658"/>
      <c r="E307" s="659"/>
      <c r="F307" s="660"/>
      <c r="G307" s="658"/>
      <c r="H307" s="661"/>
      <c r="I307" s="662"/>
      <c r="J307" s="658"/>
      <c r="K307" s="659"/>
      <c r="L307" s="68"/>
      <c r="M307" s="69"/>
      <c r="N307" s="69"/>
      <c r="O307" s="69"/>
      <c r="P307" s="69"/>
      <c r="Q307" s="69"/>
      <c r="R307" s="69"/>
      <c r="S307" s="69"/>
      <c r="T307" s="69"/>
      <c r="U307" s="69"/>
      <c r="V307" s="69"/>
      <c r="W307" s="69"/>
    </row>
    <row r="308" spans="1:23" ht="11.25" customHeight="1" x14ac:dyDescent="0.25">
      <c r="A308" s="63">
        <f t="shared" si="45"/>
        <v>0</v>
      </c>
      <c r="B308" s="652"/>
      <c r="C308" s="658"/>
      <c r="D308" s="658"/>
      <c r="E308" s="659"/>
      <c r="F308" s="660"/>
      <c r="G308" s="658"/>
      <c r="H308" s="661"/>
      <c r="I308" s="662"/>
      <c r="J308" s="658"/>
      <c r="K308" s="659"/>
      <c r="L308" s="68"/>
      <c r="M308" s="69"/>
      <c r="N308" s="69"/>
      <c r="O308" s="69"/>
      <c r="P308" s="69"/>
      <c r="Q308" s="69"/>
      <c r="R308" s="69"/>
      <c r="S308" s="69"/>
      <c r="T308" s="69"/>
      <c r="U308" s="69"/>
      <c r="V308" s="69"/>
      <c r="W308" s="69"/>
    </row>
    <row r="309" spans="1:23" ht="11.25" customHeight="1" x14ac:dyDescent="0.25">
      <c r="A309" s="63">
        <f t="shared" si="45"/>
        <v>0</v>
      </c>
      <c r="B309" s="652"/>
      <c r="C309" s="658"/>
      <c r="D309" s="658"/>
      <c r="E309" s="659"/>
      <c r="F309" s="660"/>
      <c r="G309" s="658"/>
      <c r="H309" s="661"/>
      <c r="I309" s="662"/>
      <c r="J309" s="658"/>
      <c r="K309" s="659"/>
      <c r="L309" s="68"/>
      <c r="M309" s="69"/>
      <c r="N309" s="69"/>
      <c r="O309" s="69"/>
      <c r="P309" s="69"/>
      <c r="Q309" s="69"/>
      <c r="R309" s="69"/>
      <c r="S309" s="69"/>
      <c r="T309" s="69"/>
      <c r="U309" s="69"/>
      <c r="V309" s="69"/>
      <c r="W309" s="69"/>
    </row>
    <row r="310" spans="1:23" ht="11.25" customHeight="1" x14ac:dyDescent="0.25">
      <c r="A310" s="63">
        <f t="shared" si="45"/>
        <v>0</v>
      </c>
      <c r="B310" s="652"/>
      <c r="C310" s="658"/>
      <c r="D310" s="658"/>
      <c r="E310" s="659"/>
      <c r="F310" s="660"/>
      <c r="G310" s="658"/>
      <c r="H310" s="661"/>
      <c r="I310" s="662"/>
      <c r="J310" s="658"/>
      <c r="K310" s="659"/>
      <c r="L310" s="68"/>
      <c r="M310" s="69"/>
      <c r="N310" s="69"/>
      <c r="O310" s="69"/>
      <c r="P310" s="69"/>
      <c r="Q310" s="69"/>
      <c r="R310" s="69"/>
      <c r="S310" s="69"/>
      <c r="T310" s="69"/>
      <c r="U310" s="69"/>
      <c r="V310" s="69"/>
      <c r="W310" s="69"/>
    </row>
    <row r="311" spans="1:23" ht="11.25" customHeight="1" x14ac:dyDescent="0.25">
      <c r="A311" s="63">
        <f t="shared" si="45"/>
        <v>0</v>
      </c>
      <c r="B311" s="652"/>
      <c r="C311" s="658"/>
      <c r="D311" s="658"/>
      <c r="E311" s="659"/>
      <c r="F311" s="660"/>
      <c r="G311" s="658"/>
      <c r="H311" s="661"/>
      <c r="I311" s="662"/>
      <c r="J311" s="658"/>
      <c r="K311" s="659"/>
      <c r="L311" s="68"/>
      <c r="M311" s="69"/>
      <c r="N311" s="69"/>
      <c r="O311" s="69"/>
      <c r="P311" s="69"/>
      <c r="Q311" s="69"/>
      <c r="R311" s="69"/>
      <c r="S311" s="69"/>
      <c r="T311" s="69"/>
      <c r="U311" s="69"/>
      <c r="V311" s="69"/>
      <c r="W311" s="69"/>
    </row>
    <row r="312" spans="1:23" ht="11.25" customHeight="1" x14ac:dyDescent="0.25">
      <c r="A312" s="63">
        <f t="shared" si="45"/>
        <v>0</v>
      </c>
      <c r="B312" s="652"/>
      <c r="C312" s="658"/>
      <c r="D312" s="658"/>
      <c r="E312" s="659"/>
      <c r="F312" s="660"/>
      <c r="G312" s="658"/>
      <c r="H312" s="661"/>
      <c r="I312" s="662"/>
      <c r="J312" s="658"/>
      <c r="K312" s="659"/>
      <c r="L312" s="68"/>
      <c r="M312" s="69"/>
      <c r="N312" s="69"/>
      <c r="O312" s="69"/>
      <c r="P312" s="69"/>
      <c r="Q312" s="69"/>
      <c r="R312" s="69"/>
      <c r="S312" s="69"/>
      <c r="T312" s="69"/>
      <c r="U312" s="69"/>
      <c r="V312" s="69"/>
      <c r="W312" s="69"/>
    </row>
    <row r="313" spans="1:23" ht="11.25" customHeight="1" x14ac:dyDescent="0.25">
      <c r="A313" s="63">
        <f t="shared" si="45"/>
        <v>0</v>
      </c>
      <c r="B313" s="652"/>
      <c r="C313" s="658"/>
      <c r="D313" s="658"/>
      <c r="E313" s="659"/>
      <c r="F313" s="660"/>
      <c r="G313" s="658"/>
      <c r="H313" s="661"/>
      <c r="I313" s="662"/>
      <c r="J313" s="658"/>
      <c r="K313" s="659"/>
      <c r="L313" s="68"/>
      <c r="M313" s="69"/>
      <c r="N313" s="69"/>
      <c r="O313" s="69"/>
      <c r="P313" s="69"/>
      <c r="Q313" s="69"/>
      <c r="R313" s="69"/>
      <c r="S313" s="69"/>
      <c r="T313" s="69"/>
      <c r="U313" s="69"/>
      <c r="V313" s="69"/>
      <c r="W313" s="69"/>
    </row>
    <row r="314" spans="1:23" ht="11.25" customHeight="1" x14ac:dyDescent="0.25">
      <c r="A314" s="63">
        <f t="shared" si="45"/>
        <v>0</v>
      </c>
      <c r="B314" s="652"/>
      <c r="C314" s="658"/>
      <c r="D314" s="658"/>
      <c r="E314" s="659"/>
      <c r="F314" s="660"/>
      <c r="G314" s="658"/>
      <c r="H314" s="661"/>
      <c r="I314" s="662"/>
      <c r="J314" s="658"/>
      <c r="K314" s="659"/>
      <c r="L314" s="68"/>
      <c r="M314" s="69"/>
      <c r="N314" s="69"/>
      <c r="O314" s="69"/>
      <c r="P314" s="69"/>
      <c r="Q314" s="69"/>
      <c r="R314" s="69"/>
      <c r="S314" s="69"/>
      <c r="T314" s="69"/>
      <c r="U314" s="69"/>
      <c r="V314" s="69"/>
      <c r="W314" s="69"/>
    </row>
    <row r="315" spans="1:23" ht="11.25" customHeight="1" x14ac:dyDescent="0.25">
      <c r="A315" s="63">
        <f t="shared" si="45"/>
        <v>0</v>
      </c>
      <c r="B315" s="652"/>
      <c r="C315" s="658"/>
      <c r="D315" s="658"/>
      <c r="E315" s="659"/>
      <c r="F315" s="660"/>
      <c r="G315" s="658"/>
      <c r="H315" s="661"/>
      <c r="I315" s="662"/>
      <c r="J315" s="658"/>
      <c r="K315" s="659"/>
      <c r="L315" s="68"/>
      <c r="M315" s="69"/>
      <c r="N315" s="69"/>
      <c r="O315" s="69"/>
      <c r="P315" s="69"/>
      <c r="Q315" s="69"/>
      <c r="R315" s="69"/>
      <c r="S315" s="69"/>
      <c r="T315" s="69"/>
      <c r="U315" s="69"/>
      <c r="V315" s="69"/>
      <c r="W315" s="69"/>
    </row>
    <row r="316" spans="1:23" ht="11.25" customHeight="1" x14ac:dyDescent="0.25">
      <c r="A316" s="63">
        <f t="shared" si="45"/>
        <v>0</v>
      </c>
      <c r="B316" s="652"/>
      <c r="C316" s="658"/>
      <c r="D316" s="658"/>
      <c r="E316" s="659"/>
      <c r="F316" s="660"/>
      <c r="G316" s="658"/>
      <c r="H316" s="661"/>
      <c r="I316" s="662"/>
      <c r="J316" s="658"/>
      <c r="K316" s="659"/>
      <c r="L316" s="68"/>
      <c r="M316" s="69"/>
      <c r="N316" s="69"/>
      <c r="O316" s="69"/>
      <c r="P316" s="69"/>
      <c r="Q316" s="69"/>
      <c r="R316" s="69"/>
      <c r="S316" s="69"/>
      <c r="T316" s="69"/>
      <c r="U316" s="69"/>
      <c r="V316" s="69"/>
      <c r="W316" s="69"/>
    </row>
    <row r="317" spans="1:23" ht="15" customHeight="1" x14ac:dyDescent="0.25">
      <c r="A317" s="189" t="str">
        <f t="shared" si="45"/>
        <v>Vote 14 - [NAME OF VOTE 14]</v>
      </c>
      <c r="B317" s="652"/>
      <c r="C317" s="592">
        <f t="shared" ref="C317:K317" si="48">SUM(C318:C327)</f>
        <v>0</v>
      </c>
      <c r="D317" s="592">
        <f t="shared" si="48"/>
        <v>0</v>
      </c>
      <c r="E317" s="595">
        <f t="shared" si="48"/>
        <v>0</v>
      </c>
      <c r="F317" s="594">
        <f t="shared" si="48"/>
        <v>0</v>
      </c>
      <c r="G317" s="592">
        <f t="shared" si="48"/>
        <v>0</v>
      </c>
      <c r="H317" s="593">
        <f t="shared" si="48"/>
        <v>0</v>
      </c>
      <c r="I317" s="610">
        <f t="shared" si="48"/>
        <v>0</v>
      </c>
      <c r="J317" s="592">
        <f t="shared" si="48"/>
        <v>0</v>
      </c>
      <c r="K317" s="595">
        <f t="shared" si="48"/>
        <v>0</v>
      </c>
      <c r="L317" s="68"/>
      <c r="M317" s="69"/>
      <c r="N317" s="69"/>
      <c r="O317" s="69"/>
      <c r="P317" s="69"/>
      <c r="Q317" s="69"/>
      <c r="R317" s="69"/>
      <c r="S317" s="69"/>
      <c r="T317" s="69"/>
      <c r="U317" s="69"/>
      <c r="V317" s="69"/>
      <c r="W317" s="69"/>
    </row>
    <row r="318" spans="1:23" ht="11.25" customHeight="1" x14ac:dyDescent="0.25">
      <c r="A318" s="63" t="str">
        <f t="shared" si="45"/>
        <v>14.1 - [Name of sub-vote]</v>
      </c>
      <c r="B318" s="652"/>
      <c r="C318" s="658"/>
      <c r="D318" s="658"/>
      <c r="E318" s="659"/>
      <c r="F318" s="660"/>
      <c r="G318" s="658"/>
      <c r="H318" s="661"/>
      <c r="I318" s="662"/>
      <c r="J318" s="658"/>
      <c r="K318" s="659"/>
      <c r="L318" s="68"/>
      <c r="M318" s="69"/>
      <c r="N318" s="69"/>
      <c r="O318" s="69"/>
      <c r="P318" s="69"/>
      <c r="Q318" s="69"/>
      <c r="R318" s="69"/>
      <c r="S318" s="69"/>
      <c r="T318" s="69"/>
      <c r="U318" s="69"/>
      <c r="V318" s="69"/>
      <c r="W318" s="69"/>
    </row>
    <row r="319" spans="1:23" ht="11.25" customHeight="1" x14ac:dyDescent="0.25">
      <c r="A319" s="63">
        <f t="shared" si="45"/>
        <v>0</v>
      </c>
      <c r="B319" s="652"/>
      <c r="C319" s="658"/>
      <c r="D319" s="658"/>
      <c r="E319" s="659"/>
      <c r="F319" s="660"/>
      <c r="G319" s="658"/>
      <c r="H319" s="661"/>
      <c r="I319" s="662"/>
      <c r="J319" s="658"/>
      <c r="K319" s="659"/>
      <c r="L319" s="68"/>
      <c r="M319" s="69"/>
      <c r="N319" s="69"/>
      <c r="O319" s="69"/>
      <c r="P319" s="69"/>
      <c r="Q319" s="69"/>
      <c r="R319" s="69"/>
      <c r="S319" s="69"/>
      <c r="T319" s="69"/>
      <c r="U319" s="69"/>
      <c r="V319" s="69"/>
      <c r="W319" s="69"/>
    </row>
    <row r="320" spans="1:23" ht="11.25" customHeight="1" x14ac:dyDescent="0.25">
      <c r="A320" s="63">
        <f t="shared" si="45"/>
        <v>0</v>
      </c>
      <c r="B320" s="652"/>
      <c r="C320" s="658"/>
      <c r="D320" s="658"/>
      <c r="E320" s="659"/>
      <c r="F320" s="660"/>
      <c r="G320" s="658"/>
      <c r="H320" s="661"/>
      <c r="I320" s="662"/>
      <c r="J320" s="658"/>
      <c r="K320" s="659"/>
      <c r="L320" s="68"/>
      <c r="M320" s="69"/>
      <c r="N320" s="69"/>
      <c r="O320" s="69"/>
      <c r="P320" s="69"/>
      <c r="Q320" s="69"/>
      <c r="R320" s="69"/>
      <c r="S320" s="69"/>
      <c r="T320" s="69"/>
      <c r="U320" s="69"/>
      <c r="V320" s="69"/>
      <c r="W320" s="69"/>
    </row>
    <row r="321" spans="1:23" ht="11.25" customHeight="1" x14ac:dyDescent="0.25">
      <c r="A321" s="63">
        <f t="shared" si="45"/>
        <v>0</v>
      </c>
      <c r="B321" s="652"/>
      <c r="C321" s="658"/>
      <c r="D321" s="658"/>
      <c r="E321" s="659"/>
      <c r="F321" s="660"/>
      <c r="G321" s="658"/>
      <c r="H321" s="661"/>
      <c r="I321" s="662"/>
      <c r="J321" s="658"/>
      <c r="K321" s="659"/>
      <c r="L321" s="68"/>
      <c r="M321" s="69"/>
      <c r="N321" s="69"/>
      <c r="O321" s="69"/>
      <c r="P321" s="69"/>
      <c r="Q321" s="69"/>
      <c r="R321" s="69"/>
      <c r="S321" s="69"/>
      <c r="T321" s="69"/>
      <c r="U321" s="69"/>
      <c r="V321" s="69"/>
      <c r="W321" s="69"/>
    </row>
    <row r="322" spans="1:23" ht="11.25" customHeight="1" x14ac:dyDescent="0.25">
      <c r="A322" s="63">
        <f t="shared" si="45"/>
        <v>0</v>
      </c>
      <c r="B322" s="652"/>
      <c r="C322" s="658"/>
      <c r="D322" s="658"/>
      <c r="E322" s="659"/>
      <c r="F322" s="660"/>
      <c r="G322" s="658"/>
      <c r="H322" s="661"/>
      <c r="I322" s="662"/>
      <c r="J322" s="658"/>
      <c r="K322" s="659"/>
      <c r="L322" s="68"/>
      <c r="M322" s="69"/>
      <c r="N322" s="69"/>
      <c r="O322" s="69"/>
      <c r="P322" s="69"/>
      <c r="Q322" s="69"/>
      <c r="R322" s="69"/>
      <c r="S322" s="69"/>
      <c r="T322" s="69"/>
      <c r="U322" s="69"/>
      <c r="V322" s="69"/>
      <c r="W322" s="69"/>
    </row>
    <row r="323" spans="1:23" ht="11.25" customHeight="1" x14ac:dyDescent="0.25">
      <c r="A323" s="63">
        <f t="shared" si="45"/>
        <v>0</v>
      </c>
      <c r="B323" s="652"/>
      <c r="C323" s="658"/>
      <c r="D323" s="658"/>
      <c r="E323" s="659"/>
      <c r="F323" s="660"/>
      <c r="G323" s="658"/>
      <c r="H323" s="661"/>
      <c r="I323" s="662"/>
      <c r="J323" s="658"/>
      <c r="K323" s="659"/>
      <c r="L323" s="68"/>
      <c r="M323" s="69"/>
      <c r="N323" s="69"/>
      <c r="O323" s="69"/>
      <c r="P323" s="69"/>
      <c r="Q323" s="69"/>
      <c r="R323" s="69"/>
      <c r="S323" s="69"/>
      <c r="T323" s="69"/>
      <c r="U323" s="69"/>
      <c r="V323" s="69"/>
      <c r="W323" s="69"/>
    </row>
    <row r="324" spans="1:23" ht="11.25" customHeight="1" x14ac:dyDescent="0.25">
      <c r="A324" s="63">
        <f t="shared" si="45"/>
        <v>0</v>
      </c>
      <c r="B324" s="652"/>
      <c r="C324" s="658"/>
      <c r="D324" s="658"/>
      <c r="E324" s="659"/>
      <c r="F324" s="660"/>
      <c r="G324" s="658"/>
      <c r="H324" s="661"/>
      <c r="I324" s="662"/>
      <c r="J324" s="658"/>
      <c r="K324" s="659"/>
      <c r="L324" s="68"/>
      <c r="M324" s="69"/>
      <c r="N324" s="69"/>
      <c r="O324" s="69"/>
      <c r="P324" s="69"/>
      <c r="Q324" s="69"/>
      <c r="R324" s="69"/>
      <c r="S324" s="69"/>
      <c r="T324" s="69"/>
      <c r="U324" s="69"/>
      <c r="V324" s="69"/>
      <c r="W324" s="69"/>
    </row>
    <row r="325" spans="1:23" ht="11.25" customHeight="1" x14ac:dyDescent="0.25">
      <c r="A325" s="63">
        <f t="shared" si="45"/>
        <v>0</v>
      </c>
      <c r="B325" s="652"/>
      <c r="C325" s="658"/>
      <c r="D325" s="658"/>
      <c r="E325" s="659"/>
      <c r="F325" s="660"/>
      <c r="G325" s="658"/>
      <c r="H325" s="661"/>
      <c r="I325" s="662"/>
      <c r="J325" s="658"/>
      <c r="K325" s="659"/>
      <c r="L325" s="68"/>
      <c r="M325" s="69"/>
      <c r="N325" s="69"/>
      <c r="O325" s="69"/>
      <c r="P325" s="69"/>
      <c r="Q325" s="69"/>
      <c r="R325" s="69"/>
      <c r="S325" s="69"/>
      <c r="T325" s="69"/>
      <c r="U325" s="69"/>
      <c r="V325" s="69"/>
      <c r="W325" s="69"/>
    </row>
    <row r="326" spans="1:23" ht="11.25" customHeight="1" x14ac:dyDescent="0.25">
      <c r="A326" s="63">
        <f t="shared" si="45"/>
        <v>0</v>
      </c>
      <c r="B326" s="652"/>
      <c r="C326" s="658"/>
      <c r="D326" s="658"/>
      <c r="E326" s="659"/>
      <c r="F326" s="660"/>
      <c r="G326" s="658"/>
      <c r="H326" s="661"/>
      <c r="I326" s="662"/>
      <c r="J326" s="658"/>
      <c r="K326" s="659"/>
      <c r="L326" s="68"/>
      <c r="M326" s="69"/>
      <c r="N326" s="69"/>
      <c r="O326" s="69"/>
      <c r="P326" s="69"/>
      <c r="Q326" s="69"/>
      <c r="R326" s="69"/>
      <c r="S326" s="69"/>
      <c r="T326" s="69"/>
      <c r="U326" s="69"/>
      <c r="V326" s="69"/>
      <c r="W326" s="69"/>
    </row>
    <row r="327" spans="1:23" ht="11.25" customHeight="1" x14ac:dyDescent="0.25">
      <c r="A327" s="63">
        <f t="shared" si="45"/>
        <v>0</v>
      </c>
      <c r="B327" s="652"/>
      <c r="C327" s="658"/>
      <c r="D327" s="658"/>
      <c r="E327" s="659"/>
      <c r="F327" s="660"/>
      <c r="G327" s="658"/>
      <c r="H327" s="661"/>
      <c r="I327" s="662"/>
      <c r="J327" s="658"/>
      <c r="K327" s="659"/>
      <c r="L327" s="68"/>
      <c r="M327" s="69"/>
      <c r="N327" s="69"/>
      <c r="O327" s="69"/>
      <c r="P327" s="69"/>
      <c r="Q327" s="69"/>
      <c r="R327" s="69"/>
      <c r="S327" s="69"/>
      <c r="T327" s="69"/>
      <c r="U327" s="69"/>
      <c r="V327" s="69"/>
      <c r="W327" s="69"/>
    </row>
    <row r="328" spans="1:23" ht="15" customHeight="1" x14ac:dyDescent="0.25">
      <c r="A328" s="189" t="str">
        <f t="shared" si="45"/>
        <v>Vote 15 - [NAME OF VOTE 15]</v>
      </c>
      <c r="B328" s="652"/>
      <c r="C328" s="592">
        <f t="shared" ref="C328:K328" si="49">SUM(C329:C338)</f>
        <v>0</v>
      </c>
      <c r="D328" s="592">
        <f t="shared" si="49"/>
        <v>0</v>
      </c>
      <c r="E328" s="595">
        <f t="shared" si="49"/>
        <v>0</v>
      </c>
      <c r="F328" s="594">
        <f t="shared" si="49"/>
        <v>0</v>
      </c>
      <c r="G328" s="592">
        <f t="shared" si="49"/>
        <v>0</v>
      </c>
      <c r="H328" s="593">
        <f t="shared" si="49"/>
        <v>0</v>
      </c>
      <c r="I328" s="610">
        <f t="shared" si="49"/>
        <v>0</v>
      </c>
      <c r="J328" s="592">
        <f t="shared" si="49"/>
        <v>0</v>
      </c>
      <c r="K328" s="595">
        <f t="shared" si="49"/>
        <v>0</v>
      </c>
      <c r="L328" s="68"/>
      <c r="M328" s="69"/>
      <c r="N328" s="69"/>
      <c r="O328" s="69"/>
      <c r="P328" s="69"/>
      <c r="Q328" s="69"/>
      <c r="R328" s="69"/>
      <c r="S328" s="69"/>
      <c r="T328" s="69"/>
      <c r="U328" s="69"/>
      <c r="V328" s="69"/>
      <c r="W328" s="69"/>
    </row>
    <row r="329" spans="1:23" ht="11.25" customHeight="1" x14ac:dyDescent="0.25">
      <c r="A329" s="63" t="str">
        <f t="shared" si="45"/>
        <v>15.1 - [Name of sub-vote]</v>
      </c>
      <c r="B329" s="652"/>
      <c r="C329" s="658"/>
      <c r="D329" s="658"/>
      <c r="E329" s="659"/>
      <c r="F329" s="660"/>
      <c r="G329" s="658"/>
      <c r="H329" s="661"/>
      <c r="I329" s="662"/>
      <c r="J329" s="658"/>
      <c r="K329" s="659"/>
      <c r="L329" s="68"/>
      <c r="M329" s="69"/>
      <c r="N329" s="69"/>
      <c r="O329" s="69"/>
      <c r="P329" s="69"/>
      <c r="Q329" s="69"/>
      <c r="R329" s="69"/>
      <c r="S329" s="69"/>
      <c r="T329" s="69"/>
      <c r="U329" s="69"/>
      <c r="V329" s="69"/>
      <c r="W329" s="69"/>
    </row>
    <row r="330" spans="1:23" ht="11.25" customHeight="1" x14ac:dyDescent="0.25">
      <c r="A330" s="63">
        <f t="shared" si="45"/>
        <v>0</v>
      </c>
      <c r="B330" s="652"/>
      <c r="C330" s="658"/>
      <c r="D330" s="658"/>
      <c r="E330" s="659"/>
      <c r="F330" s="660"/>
      <c r="G330" s="658"/>
      <c r="H330" s="661"/>
      <c r="I330" s="662"/>
      <c r="J330" s="658"/>
      <c r="K330" s="659"/>
      <c r="L330" s="68"/>
      <c r="M330" s="69"/>
      <c r="N330" s="69"/>
      <c r="O330" s="69"/>
      <c r="P330" s="69"/>
      <c r="Q330" s="69"/>
      <c r="R330" s="69"/>
      <c r="S330" s="69"/>
      <c r="T330" s="69"/>
      <c r="U330" s="69"/>
      <c r="V330" s="69"/>
      <c r="W330" s="69"/>
    </row>
    <row r="331" spans="1:23" ht="11.25" customHeight="1" x14ac:dyDescent="0.25">
      <c r="A331" s="63">
        <f t="shared" si="45"/>
        <v>0</v>
      </c>
      <c r="B331" s="652"/>
      <c r="C331" s="658"/>
      <c r="D331" s="658"/>
      <c r="E331" s="659"/>
      <c r="F331" s="660"/>
      <c r="G331" s="658"/>
      <c r="H331" s="661"/>
      <c r="I331" s="662"/>
      <c r="J331" s="658"/>
      <c r="K331" s="659"/>
      <c r="L331" s="68"/>
      <c r="M331" s="69"/>
      <c r="N331" s="69"/>
      <c r="O331" s="69"/>
      <c r="P331" s="69"/>
      <c r="Q331" s="69"/>
      <c r="R331" s="69"/>
      <c r="S331" s="69"/>
      <c r="T331" s="69"/>
      <c r="U331" s="69"/>
      <c r="V331" s="69"/>
      <c r="W331" s="69"/>
    </row>
    <row r="332" spans="1:23" ht="11.25" customHeight="1" x14ac:dyDescent="0.25">
      <c r="A332" s="63">
        <f t="shared" si="45"/>
        <v>0</v>
      </c>
      <c r="B332" s="652"/>
      <c r="C332" s="658"/>
      <c r="D332" s="658"/>
      <c r="E332" s="659"/>
      <c r="F332" s="660"/>
      <c r="G332" s="658"/>
      <c r="H332" s="661"/>
      <c r="I332" s="662"/>
      <c r="J332" s="658"/>
      <c r="K332" s="659"/>
      <c r="L332" s="68"/>
      <c r="M332" s="69"/>
      <c r="N332" s="69"/>
      <c r="O332" s="69"/>
      <c r="P332" s="69"/>
      <c r="Q332" s="69"/>
      <c r="R332" s="69"/>
      <c r="S332" s="69"/>
      <c r="T332" s="69"/>
      <c r="U332" s="69"/>
      <c r="V332" s="69"/>
      <c r="W332" s="69"/>
    </row>
    <row r="333" spans="1:23" ht="11.25" customHeight="1" x14ac:dyDescent="0.25">
      <c r="A333" s="63">
        <f t="shared" si="45"/>
        <v>0</v>
      </c>
      <c r="B333" s="652"/>
      <c r="C333" s="658"/>
      <c r="D333" s="658"/>
      <c r="E333" s="659"/>
      <c r="F333" s="660"/>
      <c r="G333" s="658"/>
      <c r="H333" s="661"/>
      <c r="I333" s="662"/>
      <c r="J333" s="658"/>
      <c r="K333" s="659"/>
      <c r="L333" s="68"/>
      <c r="M333" s="69"/>
      <c r="N333" s="69"/>
      <c r="O333" s="69"/>
      <c r="P333" s="69"/>
      <c r="Q333" s="69"/>
      <c r="R333" s="69"/>
      <c r="S333" s="69"/>
      <c r="T333" s="69"/>
      <c r="U333" s="69"/>
      <c r="V333" s="69"/>
      <c r="W333" s="69"/>
    </row>
    <row r="334" spans="1:23" ht="11.25" customHeight="1" x14ac:dyDescent="0.25">
      <c r="A334" s="63">
        <f t="shared" si="45"/>
        <v>0</v>
      </c>
      <c r="B334" s="652"/>
      <c r="C334" s="658"/>
      <c r="D334" s="658"/>
      <c r="E334" s="659"/>
      <c r="F334" s="660"/>
      <c r="G334" s="658"/>
      <c r="H334" s="661"/>
      <c r="I334" s="662"/>
      <c r="J334" s="658"/>
      <c r="K334" s="659"/>
      <c r="L334" s="68"/>
      <c r="M334" s="69"/>
      <c r="N334" s="69"/>
      <c r="O334" s="69"/>
      <c r="P334" s="69"/>
      <c r="Q334" s="69"/>
      <c r="R334" s="69"/>
      <c r="S334" s="69"/>
      <c r="T334" s="69"/>
      <c r="U334" s="69"/>
      <c r="V334" s="69"/>
      <c r="W334" s="69"/>
    </row>
    <row r="335" spans="1:23" ht="11.25" customHeight="1" x14ac:dyDescent="0.25">
      <c r="A335" s="63">
        <f t="shared" si="45"/>
        <v>0</v>
      </c>
      <c r="B335" s="652"/>
      <c r="C335" s="658"/>
      <c r="D335" s="658"/>
      <c r="E335" s="659"/>
      <c r="F335" s="660"/>
      <c r="G335" s="658"/>
      <c r="H335" s="661"/>
      <c r="I335" s="662"/>
      <c r="J335" s="658"/>
      <c r="K335" s="659"/>
      <c r="L335" s="68"/>
      <c r="M335" s="69"/>
      <c r="N335" s="69"/>
      <c r="O335" s="69"/>
      <c r="P335" s="69"/>
      <c r="Q335" s="69"/>
      <c r="R335" s="69"/>
      <c r="S335" s="69"/>
      <c r="T335" s="69"/>
      <c r="U335" s="69"/>
      <c r="V335" s="69"/>
      <c r="W335" s="69"/>
    </row>
    <row r="336" spans="1:23" ht="11.25" customHeight="1" x14ac:dyDescent="0.25">
      <c r="A336" s="63">
        <f t="shared" si="45"/>
        <v>0</v>
      </c>
      <c r="B336" s="652"/>
      <c r="C336" s="658"/>
      <c r="D336" s="658"/>
      <c r="E336" s="659"/>
      <c r="F336" s="660"/>
      <c r="G336" s="658"/>
      <c r="H336" s="661"/>
      <c r="I336" s="662"/>
      <c r="J336" s="658"/>
      <c r="K336" s="659"/>
      <c r="L336" s="68"/>
      <c r="M336" s="69"/>
      <c r="N336" s="69"/>
      <c r="O336" s="69"/>
      <c r="P336" s="69"/>
      <c r="Q336" s="69"/>
      <c r="R336" s="69"/>
      <c r="S336" s="69"/>
      <c r="T336" s="69"/>
      <c r="U336" s="69"/>
      <c r="V336" s="69"/>
      <c r="W336" s="69"/>
    </row>
    <row r="337" spans="1:23" ht="11.25" customHeight="1" x14ac:dyDescent="0.25">
      <c r="A337" s="63">
        <f t="shared" si="45"/>
        <v>0</v>
      </c>
      <c r="B337" s="652"/>
      <c r="C337" s="658"/>
      <c r="D337" s="658"/>
      <c r="E337" s="659"/>
      <c r="F337" s="660"/>
      <c r="G337" s="658"/>
      <c r="H337" s="661"/>
      <c r="I337" s="662"/>
      <c r="J337" s="658"/>
      <c r="K337" s="659"/>
      <c r="L337" s="68"/>
      <c r="M337" s="69"/>
      <c r="N337" s="69"/>
      <c r="O337" s="69"/>
      <c r="P337" s="69"/>
      <c r="Q337" s="69"/>
      <c r="R337" s="69"/>
      <c r="S337" s="69"/>
      <c r="T337" s="69"/>
      <c r="U337" s="69"/>
      <c r="V337" s="69"/>
      <c r="W337" s="69"/>
    </row>
    <row r="338" spans="1:23" ht="11.25" customHeight="1" x14ac:dyDescent="0.25">
      <c r="A338" s="63">
        <f t="shared" si="45"/>
        <v>0</v>
      </c>
      <c r="B338" s="652"/>
      <c r="C338" s="658"/>
      <c r="D338" s="658"/>
      <c r="E338" s="659"/>
      <c r="F338" s="660"/>
      <c r="G338" s="658"/>
      <c r="H338" s="661"/>
      <c r="I338" s="662"/>
      <c r="J338" s="658"/>
      <c r="K338" s="659"/>
      <c r="L338" s="68"/>
      <c r="M338" s="69"/>
      <c r="N338" s="69"/>
      <c r="O338" s="69"/>
      <c r="P338" s="69"/>
      <c r="Q338" s="69"/>
      <c r="R338" s="69"/>
      <c r="S338" s="69"/>
      <c r="T338" s="69"/>
      <c r="U338" s="69"/>
      <c r="V338" s="69"/>
      <c r="W338" s="69"/>
    </row>
    <row r="339" spans="1:23" ht="11.25" customHeight="1" x14ac:dyDescent="0.25">
      <c r="A339" s="70" t="s">
        <v>156</v>
      </c>
      <c r="B339" s="652">
        <v>2</v>
      </c>
      <c r="C339" s="81">
        <f>C174+C185+C196+C207+C218+C229+C240+C251+C262+C284+C295+C306+C317+C328+C273</f>
        <v>0</v>
      </c>
      <c r="D339" s="81">
        <f>D174+D185+D196+D207+D218+D229+D240+D251+D262+D284+D295+D306+D317+D328+D273</f>
        <v>374167586.14133584</v>
      </c>
      <c r="E339" s="82">
        <f t="shared" ref="E339:K339" si="50">E174+E185+E196+E207+E218+E229+E240+E251+E262+E284+E295+E306+E317+E328+E273</f>
        <v>419517287.79000008</v>
      </c>
      <c r="F339" s="83">
        <f t="shared" si="50"/>
        <v>366051106.11000001</v>
      </c>
      <c r="G339" s="81">
        <f t="shared" si="50"/>
        <v>381311976.59000003</v>
      </c>
      <c r="H339" s="80">
        <f t="shared" si="50"/>
        <v>381311976.59000003</v>
      </c>
      <c r="I339" s="84">
        <f t="shared" si="50"/>
        <v>392659853</v>
      </c>
      <c r="J339" s="81">
        <f t="shared" si="50"/>
        <v>416219444.18000001</v>
      </c>
      <c r="K339" s="82">
        <f t="shared" si="50"/>
        <v>441192610.83080006</v>
      </c>
      <c r="L339" s="72">
        <f t="shared" ref="L339:W339" si="51">SUM(L174:L250)</f>
        <v>0</v>
      </c>
      <c r="M339" s="73">
        <f t="shared" si="51"/>
        <v>0</v>
      </c>
      <c r="N339" s="73">
        <f t="shared" si="51"/>
        <v>0</v>
      </c>
      <c r="O339" s="73">
        <f t="shared" si="51"/>
        <v>0</v>
      </c>
      <c r="P339" s="73">
        <f t="shared" si="51"/>
        <v>0</v>
      </c>
      <c r="Q339" s="73">
        <f t="shared" si="51"/>
        <v>0</v>
      </c>
      <c r="R339" s="73">
        <f t="shared" si="51"/>
        <v>0</v>
      </c>
      <c r="S339" s="73">
        <f t="shared" si="51"/>
        <v>0</v>
      </c>
      <c r="T339" s="73">
        <f t="shared" si="51"/>
        <v>0</v>
      </c>
      <c r="U339" s="73">
        <f t="shared" si="51"/>
        <v>0</v>
      </c>
      <c r="V339" s="73">
        <f t="shared" si="51"/>
        <v>0</v>
      </c>
      <c r="W339" s="73">
        <f t="shared" si="51"/>
        <v>0</v>
      </c>
    </row>
    <row r="340" spans="1:23" ht="4.9000000000000004" customHeight="1" x14ac:dyDescent="0.25">
      <c r="A340" s="74"/>
      <c r="B340" s="652"/>
      <c r="C340" s="86"/>
      <c r="D340" s="86"/>
      <c r="E340" s="87"/>
      <c r="F340" s="88"/>
      <c r="G340" s="86"/>
      <c r="H340" s="85"/>
      <c r="I340" s="89"/>
      <c r="J340" s="86"/>
      <c r="K340" s="87"/>
      <c r="L340" s="90"/>
      <c r="M340" s="91"/>
      <c r="N340" s="91"/>
      <c r="O340" s="91"/>
      <c r="P340" s="91"/>
      <c r="Q340" s="91"/>
      <c r="R340" s="91"/>
      <c r="S340" s="91"/>
      <c r="T340" s="91"/>
      <c r="U340" s="91"/>
      <c r="V340" s="91"/>
      <c r="W340" s="91"/>
    </row>
    <row r="341" spans="1:23" ht="13.5" thickBot="1" x14ac:dyDescent="0.3">
      <c r="A341" s="92" t="str">
        <f>result</f>
        <v>Surplus/(Deficit) for the year</v>
      </c>
      <c r="B341" s="653">
        <v>2</v>
      </c>
      <c r="C341" s="95">
        <f t="shared" ref="C341:W341" si="52">C171-C339</f>
        <v>0</v>
      </c>
      <c r="D341" s="95">
        <f t="shared" si="52"/>
        <v>-43726873.871335804</v>
      </c>
      <c r="E341" s="96">
        <f t="shared" si="52"/>
        <v>-43253829.070000112</v>
      </c>
      <c r="F341" s="97">
        <f t="shared" si="52"/>
        <v>-23732200.865960002</v>
      </c>
      <c r="G341" s="95">
        <f t="shared" si="52"/>
        <v>-7555718.2259600163</v>
      </c>
      <c r="H341" s="94">
        <f t="shared" si="52"/>
        <v>-7555718.2259600163</v>
      </c>
      <c r="I341" s="98">
        <f t="shared" si="52"/>
        <v>552474.99351882935</v>
      </c>
      <c r="J341" s="95">
        <f t="shared" si="52"/>
        <v>585623.49312996864</v>
      </c>
      <c r="K341" s="96">
        <f t="shared" si="52"/>
        <v>620760.90271770954</v>
      </c>
      <c r="L341" s="99">
        <f t="shared" si="52"/>
        <v>0</v>
      </c>
      <c r="M341" s="100">
        <f t="shared" si="52"/>
        <v>0</v>
      </c>
      <c r="N341" s="100">
        <f t="shared" si="52"/>
        <v>0</v>
      </c>
      <c r="O341" s="100">
        <f t="shared" si="52"/>
        <v>0</v>
      </c>
      <c r="P341" s="100">
        <f t="shared" si="52"/>
        <v>0</v>
      </c>
      <c r="Q341" s="100">
        <f t="shared" si="52"/>
        <v>0</v>
      </c>
      <c r="R341" s="100">
        <f t="shared" si="52"/>
        <v>0</v>
      </c>
      <c r="S341" s="100">
        <f t="shared" si="52"/>
        <v>0</v>
      </c>
      <c r="T341" s="100">
        <f t="shared" si="52"/>
        <v>0</v>
      </c>
      <c r="U341" s="100">
        <f t="shared" si="52"/>
        <v>0</v>
      </c>
      <c r="V341" s="100">
        <f t="shared" si="52"/>
        <v>0</v>
      </c>
      <c r="W341" s="100">
        <f t="shared" si="52"/>
        <v>0</v>
      </c>
    </row>
    <row r="342" spans="1:23" s="464" customFormat="1" ht="11.25" customHeight="1" thickTop="1" x14ac:dyDescent="0.25">
      <c r="A342" s="101" t="str">
        <f>head27a</f>
        <v>References</v>
      </c>
      <c r="B342" s="645"/>
      <c r="C342" s="646"/>
      <c r="D342" s="647"/>
      <c r="E342" s="647"/>
      <c r="F342" s="647"/>
      <c r="G342" s="647"/>
      <c r="H342" s="647"/>
      <c r="I342" s="647"/>
      <c r="J342" s="647"/>
      <c r="K342" s="647"/>
    </row>
    <row r="343" spans="1:23" s="464" customFormat="1" ht="11.25" customHeight="1" x14ac:dyDescent="0.25">
      <c r="A343" s="105" t="s">
        <v>2499</v>
      </c>
      <c r="B343" s="645"/>
      <c r="C343" s="648"/>
      <c r="D343" s="648"/>
      <c r="E343" s="647"/>
      <c r="F343" s="647"/>
      <c r="G343" s="647"/>
      <c r="H343" s="647"/>
      <c r="I343" s="647"/>
      <c r="J343" s="647"/>
      <c r="K343" s="647"/>
    </row>
    <row r="344" spans="1:23" s="464" customFormat="1" ht="11.25" customHeight="1" x14ac:dyDescent="0.25">
      <c r="A344" s="106" t="s">
        <v>2498</v>
      </c>
      <c r="B344" s="645"/>
      <c r="C344" s="648"/>
      <c r="D344" s="648"/>
      <c r="E344" s="647"/>
      <c r="F344" s="647"/>
      <c r="G344" s="647"/>
      <c r="H344" s="647"/>
      <c r="I344" s="647"/>
      <c r="J344" s="647"/>
      <c r="K344" s="647"/>
    </row>
    <row r="345" spans="1:23" s="464" customFormat="1" ht="11.25" customHeight="1" x14ac:dyDescent="0.25">
      <c r="A345" s="106" t="s">
        <v>376</v>
      </c>
      <c r="B345" s="649"/>
      <c r="C345" s="650"/>
      <c r="D345" s="650"/>
      <c r="E345" s="651"/>
      <c r="F345" s="651"/>
      <c r="G345" s="651"/>
      <c r="H345" s="651"/>
      <c r="I345" s="651"/>
      <c r="J345" s="651"/>
      <c r="K345" s="651"/>
    </row>
    <row r="346" spans="1:23" ht="11.25" customHeight="1" x14ac:dyDescent="0.25"/>
    <row r="347" spans="1:23" ht="11.25" customHeight="1" x14ac:dyDescent="0.25">
      <c r="A347" s="108" t="s">
        <v>11</v>
      </c>
      <c r="B347" s="102"/>
      <c r="C347" s="109">
        <f>C171-'A4-FinPerf RE'!C59</f>
        <v>0</v>
      </c>
      <c r="D347" s="109">
        <f>D171-'A4-FinPerf RE'!D59</f>
        <v>0.27000004053115845</v>
      </c>
      <c r="E347" s="109">
        <f>E171-'A4-FinPerf RE'!E59</f>
        <v>0.71999996900558472</v>
      </c>
      <c r="F347" s="109">
        <f>F171-'A4-FinPerf RE'!F59</f>
        <v>-9.5960021018981934E-2</v>
      </c>
      <c r="G347" s="109">
        <f>G171-'A4-FinPerf RE'!G59</f>
        <v>-1.1459599733352661</v>
      </c>
      <c r="H347" s="109">
        <f>H171-'A4-FinPerf RE'!H59</f>
        <v>-1.1459599733352661</v>
      </c>
      <c r="I347" s="109">
        <f>I171-'A4-FinPerf RE'!J59</f>
        <v>-4.0481150150299072E-2</v>
      </c>
      <c r="J347" s="109">
        <f>J171-'A4-FinPerf RE'!K59</f>
        <v>-4.291003942489624E-2</v>
      </c>
      <c r="K347" s="109">
        <f>K171-'A4-FinPerf RE'!L59</f>
        <v>-4.5484721660614014E-2</v>
      </c>
    </row>
    <row r="348" spans="1:23" ht="11.25" customHeight="1" x14ac:dyDescent="0.25">
      <c r="A348" s="108" t="s">
        <v>12</v>
      </c>
      <c r="B348" s="102"/>
      <c r="C348" s="109">
        <f>C339-'A4-FinPerf RE'!C35</f>
        <v>0</v>
      </c>
      <c r="D348" s="109">
        <f>D339-'A4-FinPerf RE'!D35</f>
        <v>0.14133584499359131</v>
      </c>
      <c r="E348" s="109">
        <f>E339-'A4-FinPerf RE'!E35</f>
        <v>-1.2099999189376831</v>
      </c>
      <c r="F348" s="109">
        <f>F339-'A4-FinPerf RE'!F35</f>
        <v>7.4469084143638611</v>
      </c>
      <c r="G348" s="109">
        <f>G339-'A4-FinPerf RE'!G35</f>
        <v>-1.015091598033905</v>
      </c>
      <c r="H348" s="109">
        <f>H339-'A4-FinPerf RE'!H35</f>
        <v>-1.015091598033905</v>
      </c>
      <c r="I348" s="109">
        <f>I339-'A4-FinPerf RE'!J35</f>
        <v>-2.6297999620437622</v>
      </c>
      <c r="J348" s="109">
        <f>J339-'A4-FinPerf RE'!K35</f>
        <v>-2.7875879406929016</v>
      </c>
      <c r="K348" s="109">
        <f>K339-'A4-FinPerf RE'!L35</f>
        <v>-2.9548432230949402</v>
      </c>
    </row>
    <row r="349" spans="1:23" ht="11.25" customHeight="1" x14ac:dyDescent="0.25"/>
    <row r="350" spans="1:23" ht="11.25" customHeight="1" x14ac:dyDescent="0.25"/>
    <row r="351" spans="1:23" ht="11.25" customHeight="1" x14ac:dyDescent="0.25"/>
    <row r="352" spans="1:23"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sheetData>
  <mergeCells count="3">
    <mergeCell ref="L2:W2"/>
    <mergeCell ref="F2:H2"/>
    <mergeCell ref="I2:K2"/>
  </mergeCells>
  <phoneticPr fontId="3" type="noConversion"/>
  <dataValidations xWindow="42844" yWindow="125" count="1">
    <dataValidation type="list" allowBlank="1" showInputMessage="1" showErrorMessage="1" promptTitle="Select Vote" prompt="Select Vote from list" sqref="A185" xr:uid="{00000000-0002-0000-0A00-000000000000}">
      <formula1>Vote</formula1>
    </dataValidation>
  </dataValidations>
  <pageMargins left="0.35433070866141736" right="0.11811023622047245" top="0.78740157480314965" bottom="0.59055118110236227" header="0.51181102362204722" footer="0.35433070866141736"/>
  <pageSetup paperSize="9" scale="70" fitToHeight="2" orientation="portrait"/>
  <headerFooter alignWithMargins="0"/>
  <rowBreaks count="1" manualBreakCount="1">
    <brk id="17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82"/>
  <sheetViews>
    <sheetView showGridLines="0" zoomScaleNormal="100" workbookViewId="0">
      <selection sqref="A1:L47"/>
    </sheetView>
  </sheetViews>
  <sheetFormatPr defaultRowHeight="12.75" x14ac:dyDescent="0.25"/>
  <cols>
    <col min="1" max="1" width="30.7109375" style="25" customWidth="1"/>
    <col min="2" max="2" width="3" style="102" customWidth="1"/>
    <col min="3" max="3" width="6.85546875" style="25" bestFit="1" customWidth="1"/>
    <col min="4" max="4" width="9.5703125" style="25" bestFit="1" customWidth="1"/>
    <col min="5" max="5" width="10.7109375" style="25" bestFit="1" customWidth="1"/>
    <col min="6" max="8" width="9.28515625" style="25" customWidth="1"/>
    <col min="9" max="9" width="9.140625" style="25" customWidth="1"/>
    <col min="10" max="12" width="9.28515625" style="25" customWidth="1"/>
    <col min="13" max="13" width="9.7109375" style="25" hidden="1" customWidth="1"/>
    <col min="14" max="14" width="9.42578125" style="25" hidden="1" customWidth="1"/>
    <col min="15" max="15" width="9.7109375" style="25" hidden="1" customWidth="1"/>
    <col min="16" max="18" width="9.42578125" style="25" hidden="1" customWidth="1"/>
    <col min="19" max="19" width="9.7109375" style="25" hidden="1" customWidth="1"/>
    <col min="20" max="22" width="9.42578125" style="25" hidden="1" customWidth="1"/>
    <col min="23" max="24" width="9.7109375" style="25" hidden="1" customWidth="1"/>
    <col min="25" max="16384" width="9.140625" style="25"/>
  </cols>
  <sheetData>
    <row r="1" spans="1:24" s="52" customFormat="1" x14ac:dyDescent="0.2">
      <c r="A1" s="23" t="str">
        <f>muni&amp;" - "&amp;Approve4</f>
        <v>EC101 Dr Beyers Naude - Table A4 Budgeted Financial Performance (revenue and expenditure)</v>
      </c>
      <c r="B1" s="23"/>
      <c r="C1" s="23"/>
      <c r="D1" s="23"/>
      <c r="E1" s="23"/>
      <c r="F1" s="23"/>
      <c r="G1" s="23"/>
      <c r="H1" s="23"/>
      <c r="I1" s="23"/>
      <c r="J1" s="23"/>
      <c r="K1" s="23"/>
      <c r="L1" s="23"/>
    </row>
    <row r="2" spans="1:24" x14ac:dyDescent="0.25">
      <c r="A2" s="609" t="str">
        <f>desc</f>
        <v>Description</v>
      </c>
      <c r="B2" s="22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c r="M2" s="1919" t="str">
        <f>Head4</f>
        <v>LTFS</v>
      </c>
      <c r="N2" s="1919"/>
      <c r="O2" s="1919"/>
      <c r="P2" s="1919"/>
      <c r="Q2" s="1919"/>
      <c r="R2" s="1919"/>
      <c r="S2" s="1919"/>
      <c r="T2" s="1919"/>
      <c r="U2" s="1919"/>
      <c r="V2" s="1919"/>
      <c r="W2" s="1919"/>
      <c r="X2" s="1920"/>
    </row>
    <row r="3" spans="1:24" ht="25.5" x14ac:dyDescent="0.25">
      <c r="A3" s="53" t="s">
        <v>573</v>
      </c>
      <c r="B3" s="135">
        <v>1</v>
      </c>
      <c r="C3" s="203" t="str">
        <f>Head5</f>
        <v>Audited Outcome</v>
      </c>
      <c r="D3" s="203" t="str">
        <f>Head5</f>
        <v>Audited Outcome</v>
      </c>
      <c r="E3" s="204" t="str">
        <f>Head5</f>
        <v>Audited Outcome</v>
      </c>
      <c r="F3" s="141" t="str">
        <f>Head6</f>
        <v>Original Budget</v>
      </c>
      <c r="G3" s="203" t="str">
        <f>Head7</f>
        <v>Adjusted Budget</v>
      </c>
      <c r="H3" s="204" t="str">
        <f>Head8</f>
        <v>Full Year Forecast</v>
      </c>
      <c r="I3" s="202" t="str">
        <f>Head5b</f>
        <v>Pre-audit outcome</v>
      </c>
      <c r="J3" s="141" t="str">
        <f>Head9</f>
        <v>Budget Year 2019/20</v>
      </c>
      <c r="K3" s="203" t="str">
        <f>Head10</f>
        <v>Budget Year +1 2020/21</v>
      </c>
      <c r="L3" s="204" t="str">
        <f>Head11</f>
        <v>Budget Year +2 2021/22</v>
      </c>
      <c r="M3" s="884" t="str">
        <f>Head12</f>
        <v>Forecast 2022/23</v>
      </c>
      <c r="N3" s="885" t="str">
        <f>Head13</f>
        <v>Forecast 2023/24</v>
      </c>
      <c r="O3" s="885" t="str">
        <f>Head14</f>
        <v>Forecast 2024/25</v>
      </c>
      <c r="P3" s="885" t="str">
        <f>Head15</f>
        <v>Forecast 2025/26</v>
      </c>
      <c r="Q3" s="885" t="str">
        <f>Head16</f>
        <v>Forecast 2026/27</v>
      </c>
      <c r="R3" s="885" t="str">
        <f>Head17</f>
        <v>Forecast 2027/28</v>
      </c>
      <c r="S3" s="885" t="str">
        <f>Head18</f>
        <v>Forecast 2028/29</v>
      </c>
      <c r="T3" s="885" t="str">
        <f>Head19</f>
        <v>Forecast 2029/30</v>
      </c>
      <c r="U3" s="885" t="str">
        <f>Head20</f>
        <v>Forecast 2030/31</v>
      </c>
      <c r="V3" s="885" t="str">
        <f>Head21</f>
        <v>Forecast 2031/32</v>
      </c>
      <c r="W3" s="885" t="str">
        <f>Head22</f>
        <v>Forecast 2032/33</v>
      </c>
      <c r="X3" s="885" t="str">
        <f>Head23</f>
        <v>Forecast 2033/34</v>
      </c>
    </row>
    <row r="4" spans="1:24" x14ac:dyDescent="0.25">
      <c r="A4" s="54" t="s">
        <v>575</v>
      </c>
      <c r="B4" s="136"/>
      <c r="C4" s="57"/>
      <c r="D4" s="57"/>
      <c r="E4" s="137"/>
      <c r="F4" s="59"/>
      <c r="G4" s="57"/>
      <c r="H4" s="58"/>
      <c r="I4" s="56"/>
      <c r="J4" s="60"/>
      <c r="K4" s="57"/>
      <c r="L4" s="58"/>
      <c r="M4" s="61"/>
      <c r="N4" s="62"/>
      <c r="O4" s="62"/>
      <c r="P4" s="62"/>
      <c r="Q4" s="62"/>
      <c r="R4" s="62"/>
      <c r="S4" s="62"/>
      <c r="T4" s="62"/>
      <c r="U4" s="62"/>
      <c r="V4" s="62"/>
      <c r="W4" s="62"/>
      <c r="X4" s="62"/>
    </row>
    <row r="5" spans="1:24" x14ac:dyDescent="0.25">
      <c r="A5" s="63" t="s">
        <v>470</v>
      </c>
      <c r="B5" s="55">
        <v>2</v>
      </c>
      <c r="C5" s="76">
        <f>'SA1'!C9</f>
        <v>0</v>
      </c>
      <c r="D5" s="76">
        <f>'SA1'!D9</f>
        <v>21625697</v>
      </c>
      <c r="E5" s="332">
        <f>'SA1'!E9</f>
        <v>31809377</v>
      </c>
      <c r="F5" s="79">
        <f>'SA1'!F9</f>
        <v>29579265</v>
      </c>
      <c r="G5" s="76">
        <f>'SA1'!G9</f>
        <v>25976004.670000002</v>
      </c>
      <c r="H5" s="333">
        <f>'SA1'!H9</f>
        <v>25976004.670000002</v>
      </c>
      <c r="I5" s="75">
        <f>'SA1'!I9</f>
        <v>25976004.670000002</v>
      </c>
      <c r="J5" s="79">
        <f>'SA1'!J9</f>
        <v>40992662.229999997</v>
      </c>
      <c r="K5" s="76">
        <f>'SA1'!K9</f>
        <v>43452221.963799998</v>
      </c>
      <c r="L5" s="333">
        <f>'SA1'!L9</f>
        <v>46059355.281628005</v>
      </c>
      <c r="M5" s="68"/>
      <c r="N5" s="69"/>
      <c r="O5" s="69"/>
      <c r="P5" s="69"/>
      <c r="Q5" s="69"/>
      <c r="R5" s="69"/>
      <c r="S5" s="69"/>
      <c r="T5" s="69"/>
      <c r="U5" s="69"/>
      <c r="V5" s="69"/>
      <c r="W5" s="69"/>
      <c r="X5" s="69"/>
    </row>
    <row r="6" spans="1:24" x14ac:dyDescent="0.25">
      <c r="A6" s="63" t="s">
        <v>1583</v>
      </c>
      <c r="B6" s="55">
        <v>2</v>
      </c>
      <c r="C6" s="76">
        <f>'SA1'!C15</f>
        <v>0</v>
      </c>
      <c r="D6" s="76">
        <f>'SA1'!D15</f>
        <v>85747062</v>
      </c>
      <c r="E6" s="332">
        <f>'SA1'!E15</f>
        <v>99389627</v>
      </c>
      <c r="F6" s="79">
        <f>'SA1'!F15</f>
        <v>101549211</v>
      </c>
      <c r="G6" s="76">
        <f>'SA1'!G15</f>
        <v>115062061</v>
      </c>
      <c r="H6" s="333">
        <f>'SA1'!H15</f>
        <v>115062061</v>
      </c>
      <c r="I6" s="75">
        <f>'SA1'!I15</f>
        <v>115062061</v>
      </c>
      <c r="J6" s="79">
        <f>'SA1'!J15</f>
        <v>130035817</v>
      </c>
      <c r="K6" s="76">
        <f>'SA1'!K15</f>
        <v>137837966.02000001</v>
      </c>
      <c r="L6" s="333">
        <f>'SA1'!L15</f>
        <v>146108243.98120001</v>
      </c>
      <c r="M6" s="68"/>
      <c r="N6" s="69"/>
      <c r="O6" s="69"/>
      <c r="P6" s="69"/>
      <c r="Q6" s="69"/>
      <c r="R6" s="69"/>
      <c r="S6" s="69"/>
      <c r="T6" s="69"/>
      <c r="U6" s="69"/>
      <c r="V6" s="69"/>
      <c r="W6" s="69"/>
      <c r="X6" s="69"/>
    </row>
    <row r="7" spans="1:24" x14ac:dyDescent="0.25">
      <c r="A7" s="63" t="s">
        <v>1584</v>
      </c>
      <c r="B7" s="55">
        <v>2</v>
      </c>
      <c r="C7" s="76">
        <f>'SA1'!C21</f>
        <v>0</v>
      </c>
      <c r="D7" s="76">
        <f>'SA1'!D21</f>
        <v>24228251</v>
      </c>
      <c r="E7" s="332">
        <f>'SA1'!E21</f>
        <v>26572699</v>
      </c>
      <c r="F7" s="79">
        <f>'SA1'!F21</f>
        <v>25470173</v>
      </c>
      <c r="G7" s="76">
        <f>'SA1'!G21</f>
        <v>28701886</v>
      </c>
      <c r="H7" s="333">
        <f>'SA1'!H21</f>
        <v>28701886</v>
      </c>
      <c r="I7" s="75">
        <f>'SA1'!I21</f>
        <v>28701886</v>
      </c>
      <c r="J7" s="79">
        <f>'SA1'!J21</f>
        <v>27543416</v>
      </c>
      <c r="K7" s="76">
        <f>'SA1'!K21</f>
        <v>29196020.960000001</v>
      </c>
      <c r="L7" s="333">
        <f>'SA1'!L21</f>
        <v>30947782.217599995</v>
      </c>
      <c r="M7" s="68"/>
      <c r="N7" s="69"/>
      <c r="O7" s="69"/>
      <c r="P7" s="69"/>
      <c r="Q7" s="69"/>
      <c r="R7" s="69"/>
      <c r="S7" s="69"/>
      <c r="T7" s="69"/>
      <c r="U7" s="69"/>
      <c r="V7" s="69"/>
      <c r="W7" s="69"/>
      <c r="X7" s="69"/>
    </row>
    <row r="8" spans="1:24" x14ac:dyDescent="0.25">
      <c r="A8" s="63" t="s">
        <v>813</v>
      </c>
      <c r="B8" s="55">
        <v>2</v>
      </c>
      <c r="C8" s="76">
        <f>'SA1'!C27</f>
        <v>0</v>
      </c>
      <c r="D8" s="76">
        <f>'SA1'!D27</f>
        <v>2030046</v>
      </c>
      <c r="E8" s="332">
        <f>'SA1'!E27</f>
        <v>12557944</v>
      </c>
      <c r="F8" s="79">
        <f>'SA1'!F27</f>
        <v>10300768</v>
      </c>
      <c r="G8" s="76">
        <f>'SA1'!G27</f>
        <v>10300768</v>
      </c>
      <c r="H8" s="333">
        <f>'SA1'!H27</f>
        <v>10300768</v>
      </c>
      <c r="I8" s="75">
        <f>'SA1'!I27</f>
        <v>10300768</v>
      </c>
      <c r="J8" s="79">
        <f>'SA1'!J27</f>
        <v>16385432</v>
      </c>
      <c r="K8" s="76">
        <f>'SA1'!K27</f>
        <v>17368557.920000002</v>
      </c>
      <c r="L8" s="333">
        <f>'SA1'!L27</f>
        <v>18410671.395200003</v>
      </c>
      <c r="M8" s="68"/>
      <c r="N8" s="69"/>
      <c r="O8" s="69"/>
      <c r="P8" s="69"/>
      <c r="Q8" s="69"/>
      <c r="R8" s="69"/>
      <c r="S8" s="69"/>
      <c r="T8" s="69"/>
      <c r="U8" s="69"/>
      <c r="V8" s="69"/>
      <c r="W8" s="69"/>
      <c r="X8" s="69"/>
    </row>
    <row r="9" spans="1:24" x14ac:dyDescent="0.25">
      <c r="A9" s="63" t="s">
        <v>917</v>
      </c>
      <c r="B9" s="55">
        <v>2</v>
      </c>
      <c r="C9" s="76">
        <f>'SA1'!C34</f>
        <v>0</v>
      </c>
      <c r="D9" s="76">
        <f>'SA1'!D34</f>
        <v>4257423</v>
      </c>
      <c r="E9" s="77">
        <f>'SA1'!E34</f>
        <v>15384258.999999998</v>
      </c>
      <c r="F9" s="78">
        <f>'SA1'!F34</f>
        <v>11463256</v>
      </c>
      <c r="G9" s="76">
        <f>'SA1'!G34</f>
        <v>11810647</v>
      </c>
      <c r="H9" s="333">
        <f>'SA1'!H34</f>
        <v>11810647</v>
      </c>
      <c r="I9" s="75">
        <f>'SA1'!I34</f>
        <v>11810647</v>
      </c>
      <c r="J9" s="79">
        <f>'SA1'!J34</f>
        <v>22906515</v>
      </c>
      <c r="K9" s="76">
        <f>'SA1'!K34</f>
        <v>24280905.899999999</v>
      </c>
      <c r="L9" s="77">
        <f>'SA1'!L34</f>
        <v>25737760.254000001</v>
      </c>
      <c r="M9" s="68"/>
      <c r="N9" s="69"/>
      <c r="O9" s="69"/>
      <c r="P9" s="69"/>
      <c r="Q9" s="69"/>
      <c r="R9" s="69"/>
      <c r="S9" s="69"/>
      <c r="T9" s="69"/>
      <c r="U9" s="69"/>
      <c r="V9" s="69"/>
      <c r="W9" s="69"/>
      <c r="X9" s="69"/>
    </row>
    <row r="10" spans="1:24" ht="6" customHeight="1" x14ac:dyDescent="0.25">
      <c r="A10" s="63"/>
      <c r="B10" s="55"/>
      <c r="C10" s="76"/>
      <c r="D10" s="76"/>
      <c r="E10" s="77"/>
      <c r="F10" s="78"/>
      <c r="G10" s="76"/>
      <c r="H10" s="77"/>
      <c r="I10" s="75"/>
      <c r="J10" s="79"/>
      <c r="K10" s="76"/>
      <c r="L10" s="77"/>
      <c r="M10" s="68"/>
      <c r="N10" s="69"/>
      <c r="O10" s="69"/>
      <c r="P10" s="69"/>
      <c r="Q10" s="69"/>
      <c r="R10" s="69"/>
      <c r="S10" s="69"/>
      <c r="T10" s="69"/>
      <c r="U10" s="69"/>
      <c r="V10" s="69"/>
      <c r="W10" s="69"/>
      <c r="X10" s="69"/>
    </row>
    <row r="11" spans="1:24" x14ac:dyDescent="0.25">
      <c r="A11" s="63" t="s">
        <v>1429</v>
      </c>
      <c r="B11" s="55"/>
      <c r="C11" s="1316"/>
      <c r="D11" s="1316">
        <v>591870</v>
      </c>
      <c r="E11" s="1319">
        <v>788339</v>
      </c>
      <c r="F11" s="1320">
        <v>849024.68</v>
      </c>
      <c r="G11" s="1316">
        <v>867417.68</v>
      </c>
      <c r="H11" s="1317">
        <v>867417.68</v>
      </c>
      <c r="I11" s="1328">
        <v>867417.68</v>
      </c>
      <c r="J11" s="1316">
        <v>929460.804</v>
      </c>
      <c r="K11" s="1316">
        <f>J11*1.06</f>
        <v>985228.45224000001</v>
      </c>
      <c r="L11" s="1316">
        <f>K11*1.06</f>
        <v>1044342.1593744</v>
      </c>
      <c r="M11" s="68"/>
      <c r="N11" s="69"/>
      <c r="O11" s="69"/>
      <c r="P11" s="69"/>
      <c r="Q11" s="69"/>
      <c r="R11" s="69"/>
      <c r="S11" s="69"/>
      <c r="T11" s="69"/>
      <c r="U11" s="69"/>
      <c r="V11" s="69"/>
      <c r="W11" s="69"/>
      <c r="X11" s="69"/>
    </row>
    <row r="12" spans="1:24" x14ac:dyDescent="0.25">
      <c r="A12" s="63" t="s">
        <v>404</v>
      </c>
      <c r="B12" s="55"/>
      <c r="C12" s="1316"/>
      <c r="D12" s="1316">
        <v>1726590</v>
      </c>
      <c r="E12" s="1325">
        <v>1919091</v>
      </c>
      <c r="F12" s="1326">
        <v>2015398</v>
      </c>
      <c r="G12" s="1316">
        <v>626234</v>
      </c>
      <c r="H12" s="1325">
        <v>626234</v>
      </c>
      <c r="I12" s="1325">
        <v>626234</v>
      </c>
      <c r="J12" s="1320">
        <v>3268158</v>
      </c>
      <c r="K12" s="1316">
        <f t="shared" ref="K12:K18" si="0">J12*1.06</f>
        <v>3464247.48</v>
      </c>
      <c r="L12" s="1316">
        <f t="shared" ref="L12:L18" si="1">K12*1.06</f>
        <v>3672102.3288000003</v>
      </c>
      <c r="M12" s="68"/>
      <c r="N12" s="69"/>
      <c r="O12" s="69"/>
      <c r="P12" s="69"/>
      <c r="Q12" s="69"/>
      <c r="R12" s="69"/>
      <c r="S12" s="69"/>
      <c r="T12" s="69"/>
      <c r="U12" s="69"/>
      <c r="V12" s="69"/>
      <c r="W12" s="69"/>
      <c r="X12" s="69"/>
    </row>
    <row r="13" spans="1:24" x14ac:dyDescent="0.25">
      <c r="A13" s="63" t="s">
        <v>405</v>
      </c>
      <c r="B13" s="55"/>
      <c r="C13" s="1316"/>
      <c r="D13" s="1316">
        <v>5859447</v>
      </c>
      <c r="E13" s="1325">
        <v>9550406</v>
      </c>
      <c r="F13" s="1327">
        <v>9713309</v>
      </c>
      <c r="G13" s="1316">
        <v>5479699</v>
      </c>
      <c r="H13" s="1325">
        <v>5479699</v>
      </c>
      <c r="I13" s="1325">
        <v>5479699</v>
      </c>
      <c r="J13" s="1320">
        <v>4103480</v>
      </c>
      <c r="K13" s="1316">
        <f t="shared" si="0"/>
        <v>4349688.8</v>
      </c>
      <c r="L13" s="1316">
        <f t="shared" si="1"/>
        <v>4610670.1280000005</v>
      </c>
      <c r="M13" s="68"/>
      <c r="N13" s="69"/>
      <c r="O13" s="69"/>
      <c r="P13" s="69"/>
      <c r="Q13" s="69"/>
      <c r="R13" s="69"/>
      <c r="S13" s="69"/>
      <c r="T13" s="69"/>
      <c r="U13" s="69"/>
      <c r="V13" s="69"/>
      <c r="W13" s="69"/>
      <c r="X13" s="69"/>
    </row>
    <row r="14" spans="1:24" x14ac:dyDescent="0.25">
      <c r="A14" s="63" t="s">
        <v>1359</v>
      </c>
      <c r="B14" s="55"/>
      <c r="C14" s="1329"/>
      <c r="D14" s="1329"/>
      <c r="E14" s="1330"/>
      <c r="F14" s="1331"/>
      <c r="G14" s="1329">
        <v>0</v>
      </c>
      <c r="H14" s="1330">
        <v>0</v>
      </c>
      <c r="I14" s="1332">
        <v>0</v>
      </c>
      <c r="J14" s="1331"/>
      <c r="K14" s="1316">
        <f t="shared" si="0"/>
        <v>0</v>
      </c>
      <c r="L14" s="1316">
        <f t="shared" si="1"/>
        <v>0</v>
      </c>
      <c r="M14" s="68"/>
      <c r="N14" s="69"/>
      <c r="O14" s="69"/>
      <c r="P14" s="69"/>
      <c r="Q14" s="69"/>
      <c r="R14" s="69"/>
      <c r="S14" s="69"/>
      <c r="T14" s="69"/>
      <c r="U14" s="69"/>
      <c r="V14" s="69"/>
      <c r="W14" s="69"/>
      <c r="X14" s="69"/>
    </row>
    <row r="15" spans="1:24" x14ac:dyDescent="0.25">
      <c r="A15" s="63" t="s">
        <v>2385</v>
      </c>
      <c r="B15" s="55"/>
      <c r="C15" s="1329"/>
      <c r="D15" s="1329">
        <v>184282</v>
      </c>
      <c r="E15" s="1330">
        <v>78849</v>
      </c>
      <c r="F15" s="1331">
        <v>120893</v>
      </c>
      <c r="G15" s="1329">
        <v>25893</v>
      </c>
      <c r="H15" s="1330">
        <v>25893</v>
      </c>
      <c r="I15" s="1332">
        <v>25893</v>
      </c>
      <c r="J15" s="1331">
        <v>11150</v>
      </c>
      <c r="K15" s="1316">
        <f t="shared" si="0"/>
        <v>11819</v>
      </c>
      <c r="L15" s="1316">
        <f t="shared" si="1"/>
        <v>12528.140000000001</v>
      </c>
      <c r="M15" s="68"/>
      <c r="N15" s="69"/>
      <c r="O15" s="69"/>
      <c r="P15" s="69"/>
      <c r="Q15" s="69"/>
      <c r="R15" s="69"/>
      <c r="S15" s="69"/>
      <c r="T15" s="69"/>
      <c r="U15" s="69"/>
      <c r="V15" s="69"/>
      <c r="W15" s="69"/>
      <c r="X15" s="69"/>
    </row>
    <row r="16" spans="1:24" x14ac:dyDescent="0.25">
      <c r="A16" s="63" t="s">
        <v>407</v>
      </c>
      <c r="B16" s="55"/>
      <c r="C16" s="1329"/>
      <c r="D16" s="1329">
        <v>1111422</v>
      </c>
      <c r="E16" s="1330">
        <v>865905</v>
      </c>
      <c r="F16" s="1331">
        <v>1500972</v>
      </c>
      <c r="G16" s="1329">
        <v>1255802</v>
      </c>
      <c r="H16" s="1330">
        <v>1255802</v>
      </c>
      <c r="I16" s="1332">
        <v>1255802</v>
      </c>
      <c r="J16" s="1331">
        <v>1652189</v>
      </c>
      <c r="K16" s="1316">
        <f t="shared" si="0"/>
        <v>1751320.34</v>
      </c>
      <c r="L16" s="1316">
        <f t="shared" si="1"/>
        <v>1856399.5604000001</v>
      </c>
      <c r="M16" s="68"/>
      <c r="N16" s="69"/>
      <c r="O16" s="69"/>
      <c r="P16" s="69"/>
      <c r="Q16" s="69"/>
      <c r="R16" s="69"/>
      <c r="S16" s="69"/>
      <c r="T16" s="69"/>
      <c r="U16" s="69"/>
      <c r="V16" s="69"/>
      <c r="W16" s="69"/>
      <c r="X16" s="69"/>
    </row>
    <row r="17" spans="1:24" x14ac:dyDescent="0.25">
      <c r="A17" s="63" t="s">
        <v>1340</v>
      </c>
      <c r="B17" s="55"/>
      <c r="C17" s="1329"/>
      <c r="D17" s="1329">
        <v>2088883</v>
      </c>
      <c r="E17" s="1330">
        <v>671174</v>
      </c>
      <c r="F17" s="1331">
        <v>2681642</v>
      </c>
      <c r="G17" s="1329">
        <v>2831444</v>
      </c>
      <c r="H17" s="1330">
        <v>2831444</v>
      </c>
      <c r="I17" s="1332">
        <v>2831444</v>
      </c>
      <c r="J17" s="1331">
        <v>3668140</v>
      </c>
      <c r="K17" s="1316">
        <f t="shared" si="0"/>
        <v>3888228.4000000004</v>
      </c>
      <c r="L17" s="1316">
        <f t="shared" si="1"/>
        <v>4121522.1040000007</v>
      </c>
      <c r="M17" s="68"/>
      <c r="N17" s="69"/>
      <c r="O17" s="69"/>
      <c r="P17" s="69"/>
      <c r="Q17" s="69"/>
      <c r="R17" s="69"/>
      <c r="S17" s="69"/>
      <c r="T17" s="69"/>
      <c r="U17" s="69"/>
      <c r="V17" s="69"/>
      <c r="W17" s="69"/>
      <c r="X17" s="69"/>
    </row>
    <row r="18" spans="1:24" x14ac:dyDescent="0.25">
      <c r="A18" s="63" t="s">
        <v>2384</v>
      </c>
      <c r="B18" s="55"/>
      <c r="C18" s="1329"/>
      <c r="D18" s="1329">
        <v>109040331</v>
      </c>
      <c r="E18" s="1330">
        <v>115191194</v>
      </c>
      <c r="F18" s="1331">
        <v>97441111</v>
      </c>
      <c r="G18" s="1329">
        <v>101162356</v>
      </c>
      <c r="H18" s="1330">
        <v>101162356</v>
      </c>
      <c r="I18" s="1332">
        <v>101162356</v>
      </c>
      <c r="J18" s="1331">
        <v>102332054.5</v>
      </c>
      <c r="K18" s="1316">
        <f t="shared" si="0"/>
        <v>108471977.77000001</v>
      </c>
      <c r="L18" s="1316">
        <f t="shared" si="1"/>
        <v>114980296.43620002</v>
      </c>
      <c r="M18" s="68"/>
      <c r="N18" s="69"/>
      <c r="O18" s="69"/>
      <c r="P18" s="69"/>
      <c r="Q18" s="69"/>
      <c r="R18" s="69"/>
      <c r="S18" s="69"/>
      <c r="T18" s="69"/>
      <c r="U18" s="69"/>
      <c r="V18" s="69"/>
      <c r="W18" s="69"/>
      <c r="X18" s="69"/>
    </row>
    <row r="19" spans="1:24" x14ac:dyDescent="0.25">
      <c r="A19" s="63" t="s">
        <v>1384</v>
      </c>
      <c r="B19" s="55">
        <v>2</v>
      </c>
      <c r="C19" s="76">
        <f>'SA1'!C49</f>
        <v>0</v>
      </c>
      <c r="D19" s="76">
        <f>'SA1'!D49</f>
        <v>1903550</v>
      </c>
      <c r="E19" s="77">
        <f>'SA1'!E49</f>
        <v>6488612</v>
      </c>
      <c r="F19" s="78">
        <f>'SA1'!F49</f>
        <v>5116882.66</v>
      </c>
      <c r="G19" s="78">
        <f>'SA1'!G49</f>
        <v>5319573.16</v>
      </c>
      <c r="H19" s="78">
        <f>'SA1'!H49</f>
        <v>5319573.16</v>
      </c>
      <c r="I19" s="78">
        <f>'SA1'!I49</f>
        <v>5319573.16</v>
      </c>
      <c r="J19" s="1185">
        <f>'SA1'!J49</f>
        <v>5565853.5</v>
      </c>
      <c r="K19" s="76">
        <f>'SA1'!K49</f>
        <v>5899804.71</v>
      </c>
      <c r="L19" s="77">
        <f>'SA1'!L49</f>
        <v>6253792.9926000005</v>
      </c>
      <c r="M19" s="68"/>
      <c r="N19" s="69"/>
      <c r="O19" s="69"/>
      <c r="P19" s="69"/>
      <c r="Q19" s="69"/>
      <c r="R19" s="69"/>
      <c r="S19" s="69"/>
      <c r="T19" s="69"/>
      <c r="U19" s="69"/>
      <c r="V19" s="69"/>
      <c r="W19" s="69"/>
      <c r="X19" s="69"/>
    </row>
    <row r="20" spans="1:24" x14ac:dyDescent="0.25">
      <c r="A20" s="63" t="s">
        <v>408</v>
      </c>
      <c r="B20" s="55"/>
      <c r="C20" s="1329"/>
      <c r="D20" s="1316">
        <v>3410469</v>
      </c>
      <c r="E20" s="1325">
        <v>0</v>
      </c>
      <c r="F20" s="1326"/>
      <c r="G20" s="1316"/>
      <c r="H20" s="1325"/>
      <c r="I20" s="1327"/>
      <c r="J20" s="1318"/>
      <c r="K20" s="1316"/>
      <c r="L20" s="1325"/>
      <c r="M20" s="68"/>
      <c r="N20" s="69"/>
      <c r="O20" s="69"/>
      <c r="P20" s="69"/>
      <c r="Q20" s="69"/>
      <c r="R20" s="69"/>
      <c r="S20" s="69"/>
      <c r="T20" s="69"/>
      <c r="U20" s="69"/>
      <c r="V20" s="69"/>
      <c r="W20" s="69"/>
      <c r="X20" s="69"/>
    </row>
    <row r="21" spans="1:24" ht="25.5" x14ac:dyDescent="0.25">
      <c r="A21" s="794" t="s">
        <v>918</v>
      </c>
      <c r="B21" s="795"/>
      <c r="C21" s="796">
        <f>SUM(C5:C9)+SUM(C11:C20)</f>
        <v>0</v>
      </c>
      <c r="D21" s="796">
        <f t="shared" ref="D21:L21" si="2">SUM(D5:D9)+SUM(D11:D20)</f>
        <v>263805323</v>
      </c>
      <c r="E21" s="797">
        <f t="shared" si="2"/>
        <v>321267476</v>
      </c>
      <c r="F21" s="798">
        <f t="shared" si="2"/>
        <v>297801905.34000003</v>
      </c>
      <c r="G21" s="796">
        <f t="shared" si="2"/>
        <v>309419785.50999999</v>
      </c>
      <c r="H21" s="797">
        <f t="shared" si="2"/>
        <v>309419785.50999999</v>
      </c>
      <c r="I21" s="798">
        <f t="shared" si="2"/>
        <v>309419785.50999999</v>
      </c>
      <c r="J21" s="799">
        <f t="shared" si="2"/>
        <v>359394328.03399998</v>
      </c>
      <c r="K21" s="796">
        <f t="shared" si="2"/>
        <v>380957987.71604002</v>
      </c>
      <c r="L21" s="797">
        <f t="shared" si="2"/>
        <v>403815466.97900248</v>
      </c>
      <c r="M21" s="72">
        <f t="shared" ref="M21:X21" si="3">SUM(M5:M20)</f>
        <v>0</v>
      </c>
      <c r="N21" s="73">
        <f t="shared" si="3"/>
        <v>0</v>
      </c>
      <c r="O21" s="73">
        <f t="shared" si="3"/>
        <v>0</v>
      </c>
      <c r="P21" s="73">
        <f t="shared" si="3"/>
        <v>0</v>
      </c>
      <c r="Q21" s="73">
        <f t="shared" si="3"/>
        <v>0</v>
      </c>
      <c r="R21" s="73">
        <f t="shared" si="3"/>
        <v>0</v>
      </c>
      <c r="S21" s="73">
        <f t="shared" si="3"/>
        <v>0</v>
      </c>
      <c r="T21" s="73">
        <f t="shared" si="3"/>
        <v>0</v>
      </c>
      <c r="U21" s="73">
        <f t="shared" si="3"/>
        <v>0</v>
      </c>
      <c r="V21" s="73">
        <f t="shared" si="3"/>
        <v>0</v>
      </c>
      <c r="W21" s="73">
        <f t="shared" si="3"/>
        <v>0</v>
      </c>
      <c r="X21" s="73">
        <f t="shared" si="3"/>
        <v>0</v>
      </c>
    </row>
    <row r="22" spans="1:24" x14ac:dyDescent="0.25">
      <c r="A22" s="74"/>
      <c r="B22" s="55"/>
      <c r="C22" s="76"/>
      <c r="D22" s="76"/>
      <c r="E22" s="77"/>
      <c r="F22" s="78"/>
      <c r="G22" s="76"/>
      <c r="H22" s="77"/>
      <c r="I22" s="75"/>
      <c r="J22" s="79"/>
      <c r="K22" s="76"/>
      <c r="L22" s="77"/>
      <c r="M22" s="68"/>
      <c r="N22" s="69"/>
      <c r="O22" s="69"/>
      <c r="P22" s="69"/>
      <c r="Q22" s="69"/>
      <c r="R22" s="69"/>
      <c r="S22" s="69"/>
      <c r="T22" s="69"/>
      <c r="U22" s="69"/>
      <c r="V22" s="69"/>
      <c r="W22" s="69"/>
      <c r="X22" s="69"/>
    </row>
    <row r="23" spans="1:24" x14ac:dyDescent="0.25">
      <c r="A23" s="54" t="s">
        <v>1464</v>
      </c>
      <c r="B23" s="138"/>
      <c r="C23" s="76"/>
      <c r="D23" s="76"/>
      <c r="E23" s="77"/>
      <c r="F23" s="78"/>
      <c r="G23" s="76"/>
      <c r="H23" s="77"/>
      <c r="I23" s="75"/>
      <c r="J23" s="79"/>
      <c r="K23" s="76"/>
      <c r="L23" s="77"/>
      <c r="M23" s="68"/>
      <c r="N23" s="69"/>
      <c r="O23" s="69"/>
      <c r="P23" s="69"/>
      <c r="Q23" s="69"/>
      <c r="R23" s="69"/>
      <c r="S23" s="69"/>
      <c r="T23" s="69"/>
      <c r="U23" s="69"/>
      <c r="V23" s="69"/>
      <c r="W23" s="69"/>
      <c r="X23" s="69"/>
    </row>
    <row r="24" spans="1:24" x14ac:dyDescent="0.25">
      <c r="A24" s="63" t="s">
        <v>409</v>
      </c>
      <c r="B24" s="55">
        <v>2</v>
      </c>
      <c r="C24" s="76">
        <f>'SA1'!C67</f>
        <v>0</v>
      </c>
      <c r="D24" s="76">
        <f>'SA1'!D67</f>
        <v>108123103</v>
      </c>
      <c r="E24" s="77">
        <f>'SA1'!E67</f>
        <v>138171291</v>
      </c>
      <c r="F24" s="78">
        <f>'SA1'!F67</f>
        <v>136617502</v>
      </c>
      <c r="G24" s="76">
        <f>'SA1'!G67</f>
        <v>153963869</v>
      </c>
      <c r="H24" s="77">
        <f>'SA1'!H67</f>
        <v>153963869</v>
      </c>
      <c r="I24" s="75">
        <f>'SA1'!I67</f>
        <v>153963869</v>
      </c>
      <c r="J24" s="79">
        <f>'SA1'!J67</f>
        <v>156731824.61079994</v>
      </c>
      <c r="K24" s="76">
        <f>'SA1'!K67</f>
        <v>166135734.08744794</v>
      </c>
      <c r="L24" s="77">
        <f>'SA1'!L67</f>
        <v>176103878.13269484</v>
      </c>
      <c r="M24" s="68"/>
      <c r="N24" s="69"/>
      <c r="O24" s="69"/>
      <c r="P24" s="69"/>
      <c r="Q24" s="69"/>
      <c r="R24" s="69"/>
      <c r="S24" s="69"/>
      <c r="T24" s="69"/>
      <c r="U24" s="69"/>
      <c r="V24" s="69"/>
      <c r="W24" s="69"/>
      <c r="X24" s="69"/>
    </row>
    <row r="25" spans="1:24" x14ac:dyDescent="0.25">
      <c r="A25" s="63" t="s">
        <v>461</v>
      </c>
      <c r="B25" s="55"/>
      <c r="C25" s="1316"/>
      <c r="D25" s="1316">
        <v>7367925</v>
      </c>
      <c r="E25" s="1325">
        <v>9324299</v>
      </c>
      <c r="F25" s="1326">
        <v>9883760</v>
      </c>
      <c r="G25" s="1316">
        <v>9212497</v>
      </c>
      <c r="H25" s="1325">
        <v>9212497</v>
      </c>
      <c r="I25" s="1327">
        <v>9212497</v>
      </c>
      <c r="J25" s="1318">
        <v>9914897.4839999992</v>
      </c>
      <c r="K25" s="1316">
        <f>J25*1.06</f>
        <v>10509791.333039999</v>
      </c>
      <c r="L25" s="1325">
        <f>K25*1.06</f>
        <v>11140378.813022399</v>
      </c>
      <c r="M25" s="68"/>
      <c r="N25" s="69"/>
      <c r="O25" s="69"/>
      <c r="P25" s="69"/>
      <c r="Q25" s="69"/>
      <c r="R25" s="69"/>
      <c r="S25" s="69"/>
      <c r="T25" s="69"/>
      <c r="U25" s="69"/>
      <c r="V25" s="69"/>
      <c r="W25" s="69"/>
      <c r="X25" s="69"/>
    </row>
    <row r="26" spans="1:24" x14ac:dyDescent="0.25">
      <c r="A26" s="63" t="s">
        <v>1301</v>
      </c>
      <c r="B26" s="55">
        <v>3</v>
      </c>
      <c r="C26" s="1316"/>
      <c r="D26" s="1316">
        <v>36178449</v>
      </c>
      <c r="E26" s="1325">
        <v>5625674</v>
      </c>
      <c r="F26" s="1326">
        <v>3500000</v>
      </c>
      <c r="G26" s="1316">
        <v>5563195</v>
      </c>
      <c r="H26" s="1325">
        <v>5563195</v>
      </c>
      <c r="I26" s="1327">
        <v>5563195</v>
      </c>
      <c r="J26" s="1318">
        <v>3894236.29</v>
      </c>
      <c r="K26" s="1316">
        <f>J26*1.06</f>
        <v>4127890.4674000004</v>
      </c>
      <c r="L26" s="1325">
        <f>K26*1.06</f>
        <v>4375563.8954440011</v>
      </c>
      <c r="M26" s="68"/>
      <c r="N26" s="69"/>
      <c r="O26" s="69"/>
      <c r="P26" s="69"/>
      <c r="Q26" s="69"/>
      <c r="R26" s="69"/>
      <c r="S26" s="69"/>
      <c r="T26" s="69"/>
      <c r="U26" s="69"/>
      <c r="V26" s="69"/>
      <c r="W26" s="69"/>
      <c r="X26" s="69"/>
    </row>
    <row r="27" spans="1:24" x14ac:dyDescent="0.25">
      <c r="A27" s="63" t="s">
        <v>1329</v>
      </c>
      <c r="B27" s="55">
        <v>2</v>
      </c>
      <c r="C27" s="76">
        <f>'SA1'!C83</f>
        <v>0</v>
      </c>
      <c r="D27" s="76">
        <f>'SA1'!D83</f>
        <v>65115683</v>
      </c>
      <c r="E27" s="77">
        <f>'SA1'!E83</f>
        <v>62710848</v>
      </c>
      <c r="F27" s="78">
        <f>'SA1'!F83</f>
        <v>35452742.372000001</v>
      </c>
      <c r="G27" s="76">
        <f>'SA1'!G83</f>
        <v>65848563</v>
      </c>
      <c r="H27" s="77">
        <f>'SA1'!H83</f>
        <v>65848563</v>
      </c>
      <c r="I27" s="75">
        <f>'SA1'!I83</f>
        <v>65848563</v>
      </c>
      <c r="J27" s="79">
        <f>'SA1'!J83</f>
        <v>65848563.600000001</v>
      </c>
      <c r="K27" s="76">
        <f>'SA1'!K83</f>
        <v>69799477.416000009</v>
      </c>
      <c r="L27" s="77">
        <f>'SA1'!L83</f>
        <v>73987446.06096001</v>
      </c>
      <c r="M27" s="68"/>
      <c r="N27" s="69"/>
      <c r="O27" s="69"/>
      <c r="P27" s="69"/>
      <c r="Q27" s="69"/>
      <c r="R27" s="69"/>
      <c r="S27" s="69"/>
      <c r="T27" s="69"/>
      <c r="U27" s="69"/>
      <c r="V27" s="69"/>
      <c r="W27" s="69"/>
      <c r="X27" s="69"/>
    </row>
    <row r="28" spans="1:24" x14ac:dyDescent="0.25">
      <c r="A28" s="63" t="s">
        <v>1383</v>
      </c>
      <c r="B28" s="55"/>
      <c r="C28" s="1316"/>
      <c r="D28" s="1316">
        <v>6160131</v>
      </c>
      <c r="E28" s="1325">
        <v>7228759</v>
      </c>
      <c r="F28" s="1326">
        <v>5575600</v>
      </c>
      <c r="G28" s="1316">
        <v>2787800</v>
      </c>
      <c r="H28" s="1325">
        <v>2787800</v>
      </c>
      <c r="I28" s="1327">
        <v>2787800</v>
      </c>
      <c r="J28" s="1318">
        <v>3787800</v>
      </c>
      <c r="K28" s="1316">
        <f>J28*1.06</f>
        <v>4015068</v>
      </c>
      <c r="L28" s="1325">
        <f>K28*1.06</f>
        <v>4255972.08</v>
      </c>
      <c r="M28" s="68"/>
      <c r="N28" s="69"/>
      <c r="O28" s="69"/>
      <c r="P28" s="69"/>
      <c r="Q28" s="69"/>
      <c r="R28" s="69"/>
      <c r="S28" s="69"/>
      <c r="T28" s="69"/>
      <c r="U28" s="69"/>
      <c r="V28" s="69"/>
      <c r="W28" s="69"/>
      <c r="X28" s="69"/>
    </row>
    <row r="29" spans="1:24" x14ac:dyDescent="0.25">
      <c r="A29" s="63" t="s">
        <v>411</v>
      </c>
      <c r="B29" s="55">
        <v>2</v>
      </c>
      <c r="C29" s="76">
        <f>'SA1'!C88</f>
        <v>0</v>
      </c>
      <c r="D29" s="76">
        <f>'SA1'!D88</f>
        <v>69092068</v>
      </c>
      <c r="E29" s="77">
        <f>'SA1'!E88</f>
        <v>81207643</v>
      </c>
      <c r="F29" s="78">
        <f>'SA1'!F88</f>
        <v>82368100</v>
      </c>
      <c r="G29" s="76">
        <f>'SA1'!G88</f>
        <v>82368100</v>
      </c>
      <c r="H29" s="77">
        <f>'SA1'!H88</f>
        <v>82368100</v>
      </c>
      <c r="I29" s="75">
        <f>'SA1'!I88</f>
        <v>82368100</v>
      </c>
      <c r="J29" s="79">
        <f>'SA1'!J88</f>
        <v>90604910</v>
      </c>
      <c r="K29" s="76">
        <f>'SA1'!K88</f>
        <v>96041204.600000009</v>
      </c>
      <c r="L29" s="77">
        <f>'SA1'!L88</f>
        <v>101803676.87600002</v>
      </c>
      <c r="M29" s="68"/>
      <c r="N29" s="69"/>
      <c r="O29" s="69"/>
      <c r="P29" s="69"/>
      <c r="Q29" s="69"/>
      <c r="R29" s="69"/>
      <c r="S29" s="69"/>
      <c r="T29" s="69"/>
      <c r="U29" s="69"/>
      <c r="V29" s="69"/>
      <c r="W29" s="69"/>
      <c r="X29" s="69"/>
    </row>
    <row r="30" spans="1:24" x14ac:dyDescent="0.25">
      <c r="A30" s="63" t="s">
        <v>1358</v>
      </c>
      <c r="B30" s="55">
        <v>8</v>
      </c>
      <c r="C30" s="1329"/>
      <c r="D30" s="1329"/>
      <c r="E30" s="1332"/>
      <c r="F30" s="1333"/>
      <c r="G30" s="1329"/>
      <c r="H30" s="1332"/>
      <c r="I30" s="1334"/>
      <c r="J30" s="1335"/>
      <c r="K30" s="1329"/>
      <c r="L30" s="1332"/>
      <c r="M30" s="68"/>
      <c r="N30" s="69"/>
      <c r="O30" s="69"/>
      <c r="P30" s="69"/>
      <c r="Q30" s="69"/>
      <c r="R30" s="69"/>
      <c r="S30" s="69"/>
      <c r="T30" s="69"/>
      <c r="U30" s="69"/>
      <c r="V30" s="69"/>
      <c r="W30" s="69"/>
      <c r="X30" s="69"/>
    </row>
    <row r="31" spans="1:24" x14ac:dyDescent="0.25">
      <c r="A31" s="63" t="s">
        <v>412</v>
      </c>
      <c r="B31" s="55"/>
      <c r="C31" s="76">
        <f>'SA1'!C127</f>
        <v>0</v>
      </c>
      <c r="D31" s="76">
        <f>'SA1'!D127</f>
        <v>3677892</v>
      </c>
      <c r="E31" s="77">
        <f>'SA1'!E127</f>
        <v>3897685</v>
      </c>
      <c r="F31" s="78">
        <f>'SA1'!F127</f>
        <v>15941266.856000001</v>
      </c>
      <c r="G31" s="76">
        <f>'SA1'!G127</f>
        <v>13217873</v>
      </c>
      <c r="H31" s="77">
        <f>'SA1'!H127</f>
        <v>13217873</v>
      </c>
      <c r="I31" s="75">
        <f>'SA1'!I127</f>
        <v>13217873</v>
      </c>
      <c r="J31" s="79">
        <f>'SA1'!J127</f>
        <v>4083418.88</v>
      </c>
      <c r="K31" s="76">
        <f>'SA1'!K127</f>
        <v>4328424.0127999997</v>
      </c>
      <c r="L31" s="77">
        <f>'SA1'!L127</f>
        <v>4588129.4535680003</v>
      </c>
      <c r="M31" s="68"/>
      <c r="N31" s="69"/>
      <c r="O31" s="69"/>
      <c r="P31" s="69"/>
      <c r="Q31" s="69"/>
      <c r="R31" s="69"/>
      <c r="S31" s="69"/>
      <c r="T31" s="69"/>
      <c r="U31" s="69"/>
      <c r="V31" s="69"/>
      <c r="W31" s="69"/>
      <c r="X31" s="69"/>
    </row>
    <row r="32" spans="1:24" x14ac:dyDescent="0.25">
      <c r="A32" s="63" t="s">
        <v>2384</v>
      </c>
      <c r="B32" s="55"/>
      <c r="C32" s="76">
        <f>'SA1'!C93</f>
        <v>0</v>
      </c>
      <c r="D32" s="76">
        <f>'SA1'!D93</f>
        <v>0</v>
      </c>
      <c r="E32" s="77">
        <f>'SA1'!E93</f>
        <v>0</v>
      </c>
      <c r="F32" s="78">
        <f>'SA1'!F93</f>
        <v>239188.76</v>
      </c>
      <c r="G32" s="76">
        <f>'SA1'!G93</f>
        <v>202593.76</v>
      </c>
      <c r="H32" s="77">
        <f>'SA1'!H93</f>
        <v>202593.76</v>
      </c>
      <c r="I32" s="75">
        <f>'SA1'!I93</f>
        <v>202593.76</v>
      </c>
      <c r="J32" s="79">
        <f>'SA1'!J93</f>
        <v>35394</v>
      </c>
      <c r="K32" s="76">
        <f>'SA1'!K93</f>
        <v>37517.64</v>
      </c>
      <c r="L32" s="77">
        <f>'SA1'!L93</f>
        <v>39768.698400000001</v>
      </c>
      <c r="M32" s="68"/>
      <c r="N32" s="69"/>
      <c r="O32" s="69"/>
      <c r="P32" s="69"/>
      <c r="Q32" s="69"/>
      <c r="R32" s="69"/>
      <c r="S32" s="69"/>
      <c r="T32" s="69"/>
      <c r="U32" s="69"/>
      <c r="V32" s="69"/>
      <c r="W32" s="69"/>
      <c r="X32" s="69"/>
    </row>
    <row r="33" spans="1:24" x14ac:dyDescent="0.25">
      <c r="A33" s="63" t="s">
        <v>837</v>
      </c>
      <c r="B33" s="55" t="s">
        <v>559</v>
      </c>
      <c r="C33" s="76">
        <f>'SA1'!C157</f>
        <v>0</v>
      </c>
      <c r="D33" s="76">
        <f>'SA1'!D157</f>
        <v>73496916</v>
      </c>
      <c r="E33" s="77">
        <f>'SA1'!E157</f>
        <v>110752250</v>
      </c>
      <c r="F33" s="78">
        <f>'SA1'!F157</f>
        <v>76472938.675091609</v>
      </c>
      <c r="G33" s="76">
        <f>'SA1'!G157</f>
        <v>48147486.845091619</v>
      </c>
      <c r="H33" s="77">
        <f>'SA1'!H157</f>
        <v>48147486.845091619</v>
      </c>
      <c r="I33" s="75">
        <f>'SA1'!I157</f>
        <v>48147486.845091619</v>
      </c>
      <c r="J33" s="79">
        <f>'SA1'!J157</f>
        <v>57758810.765000015</v>
      </c>
      <c r="K33" s="76">
        <f>'SA1'!K157</f>
        <v>61224339.410900019</v>
      </c>
      <c r="L33" s="77">
        <f>'SA1'!L157</f>
        <v>64897799.775554024</v>
      </c>
      <c r="M33" s="68"/>
      <c r="N33" s="69"/>
      <c r="O33" s="69"/>
      <c r="P33" s="69"/>
      <c r="Q33" s="69"/>
      <c r="R33" s="69"/>
      <c r="S33" s="69"/>
      <c r="T33" s="69"/>
      <c r="U33" s="69"/>
      <c r="V33" s="69"/>
      <c r="W33" s="69"/>
      <c r="X33" s="69"/>
    </row>
    <row r="34" spans="1:24" x14ac:dyDescent="0.25">
      <c r="A34" s="63" t="s">
        <v>343</v>
      </c>
      <c r="B34" s="55"/>
      <c r="C34" s="1329"/>
      <c r="D34" s="1329">
        <v>4955419</v>
      </c>
      <c r="E34" s="1325">
        <v>598840</v>
      </c>
      <c r="F34" s="1333"/>
      <c r="G34" s="1329"/>
      <c r="H34" s="1325"/>
      <c r="I34" s="1327"/>
      <c r="J34" s="1335"/>
      <c r="K34" s="1329"/>
      <c r="L34" s="1332"/>
      <c r="M34" s="68"/>
      <c r="N34" s="69"/>
      <c r="O34" s="69"/>
      <c r="P34" s="69"/>
      <c r="Q34" s="69"/>
      <c r="R34" s="69"/>
      <c r="S34" s="69"/>
      <c r="T34" s="69"/>
      <c r="U34" s="69"/>
      <c r="V34" s="69"/>
      <c r="W34" s="69"/>
      <c r="X34" s="69"/>
    </row>
    <row r="35" spans="1:24" x14ac:dyDescent="0.25">
      <c r="A35" s="800" t="s">
        <v>1465</v>
      </c>
      <c r="B35" s="795"/>
      <c r="C35" s="796">
        <f t="shared" ref="C35:L35" si="4">SUM(C24:C34)</f>
        <v>0</v>
      </c>
      <c r="D35" s="796">
        <f>SUM(D24:D34)</f>
        <v>374167586</v>
      </c>
      <c r="E35" s="797">
        <f t="shared" si="4"/>
        <v>419517289</v>
      </c>
      <c r="F35" s="798">
        <f t="shared" si="4"/>
        <v>366051098.6630916</v>
      </c>
      <c r="G35" s="796">
        <f t="shared" si="4"/>
        <v>381311977.60509163</v>
      </c>
      <c r="H35" s="797">
        <f t="shared" si="4"/>
        <v>381311977.60509163</v>
      </c>
      <c r="I35" s="798">
        <f t="shared" si="4"/>
        <v>381311977.60509163</v>
      </c>
      <c r="J35" s="799">
        <f t="shared" si="4"/>
        <v>392659855.62979996</v>
      </c>
      <c r="K35" s="796">
        <f t="shared" si="4"/>
        <v>416219446.96758795</v>
      </c>
      <c r="L35" s="797">
        <f t="shared" si="4"/>
        <v>441192613.78564328</v>
      </c>
      <c r="M35" s="72">
        <f t="shared" ref="M35:X35" si="5">SUM(M24:M34)</f>
        <v>0</v>
      </c>
      <c r="N35" s="73">
        <f t="shared" si="5"/>
        <v>0</v>
      </c>
      <c r="O35" s="73">
        <f t="shared" si="5"/>
        <v>0</v>
      </c>
      <c r="P35" s="73">
        <f t="shared" si="5"/>
        <v>0</v>
      </c>
      <c r="Q35" s="73">
        <f t="shared" si="5"/>
        <v>0</v>
      </c>
      <c r="R35" s="73">
        <f t="shared" si="5"/>
        <v>0</v>
      </c>
      <c r="S35" s="73">
        <f t="shared" si="5"/>
        <v>0</v>
      </c>
      <c r="T35" s="73">
        <f t="shared" si="5"/>
        <v>0</v>
      </c>
      <c r="U35" s="73">
        <f t="shared" si="5"/>
        <v>0</v>
      </c>
      <c r="V35" s="73">
        <f t="shared" si="5"/>
        <v>0</v>
      </c>
      <c r="W35" s="73">
        <f t="shared" si="5"/>
        <v>0</v>
      </c>
      <c r="X35" s="73">
        <f t="shared" si="5"/>
        <v>0</v>
      </c>
    </row>
    <row r="36" spans="1:24" x14ac:dyDescent="0.25">
      <c r="A36" s="74"/>
      <c r="B36" s="55"/>
      <c r="C36" s="81"/>
      <c r="D36" s="81"/>
      <c r="E36" s="82"/>
      <c r="F36" s="83"/>
      <c r="G36" s="81"/>
      <c r="H36" s="82"/>
      <c r="I36" s="83"/>
      <c r="J36" s="84"/>
      <c r="K36" s="81"/>
      <c r="L36" s="82"/>
      <c r="M36" s="90"/>
      <c r="N36" s="91"/>
      <c r="O36" s="91"/>
      <c r="P36" s="91"/>
      <c r="Q36" s="91"/>
      <c r="R36" s="91"/>
      <c r="S36" s="91"/>
      <c r="T36" s="91"/>
      <c r="U36" s="91"/>
      <c r="V36" s="91"/>
      <c r="W36" s="91"/>
      <c r="X36" s="91"/>
    </row>
    <row r="37" spans="1:24" x14ac:dyDescent="0.25">
      <c r="A37" s="118" t="s">
        <v>1514</v>
      </c>
      <c r="B37" s="55"/>
      <c r="C37" s="86">
        <f t="shared" ref="C37:L37" si="6">C21-C35</f>
        <v>0</v>
      </c>
      <c r="D37" s="86">
        <f t="shared" si="6"/>
        <v>-110362263</v>
      </c>
      <c r="E37" s="87">
        <f t="shared" si="6"/>
        <v>-98249813</v>
      </c>
      <c r="F37" s="88">
        <f t="shared" si="6"/>
        <v>-68249193.323091567</v>
      </c>
      <c r="G37" s="86">
        <f t="shared" si="6"/>
        <v>-71892192.095091641</v>
      </c>
      <c r="H37" s="87">
        <f t="shared" si="6"/>
        <v>-71892192.095091641</v>
      </c>
      <c r="I37" s="88">
        <f t="shared" si="6"/>
        <v>-71892192.095091641</v>
      </c>
      <c r="J37" s="89">
        <f t="shared" si="6"/>
        <v>-33265527.595799983</v>
      </c>
      <c r="K37" s="86">
        <f t="shared" si="6"/>
        <v>-35261459.251547933</v>
      </c>
      <c r="L37" s="87">
        <f t="shared" si="6"/>
        <v>-37377146.806640804</v>
      </c>
      <c r="M37" s="90">
        <f t="shared" ref="M37:X37" si="7">M21+M35</f>
        <v>0</v>
      </c>
      <c r="N37" s="91">
        <f t="shared" si="7"/>
        <v>0</v>
      </c>
      <c r="O37" s="91">
        <f t="shared" si="7"/>
        <v>0</v>
      </c>
      <c r="P37" s="91">
        <f t="shared" si="7"/>
        <v>0</v>
      </c>
      <c r="Q37" s="91">
        <f t="shared" si="7"/>
        <v>0</v>
      </c>
      <c r="R37" s="91">
        <f t="shared" si="7"/>
        <v>0</v>
      </c>
      <c r="S37" s="91">
        <f t="shared" si="7"/>
        <v>0</v>
      </c>
      <c r="T37" s="91">
        <f t="shared" si="7"/>
        <v>0</v>
      </c>
      <c r="U37" s="91">
        <f t="shared" si="7"/>
        <v>0</v>
      </c>
      <c r="V37" s="91">
        <f t="shared" si="7"/>
        <v>0</v>
      </c>
      <c r="W37" s="91">
        <f t="shared" si="7"/>
        <v>0</v>
      </c>
      <c r="X37" s="91">
        <f t="shared" si="7"/>
        <v>0</v>
      </c>
    </row>
    <row r="38" spans="1:24" ht="25.5" x14ac:dyDescent="0.25">
      <c r="A38" s="146" t="s">
        <v>2388</v>
      </c>
      <c r="B38" s="55"/>
      <c r="C38" s="1316"/>
      <c r="D38" s="1316">
        <v>66635389</v>
      </c>
      <c r="E38" s="1325">
        <v>54995982</v>
      </c>
      <c r="F38" s="1326">
        <v>44517000</v>
      </c>
      <c r="G38" s="1316">
        <v>64336474</v>
      </c>
      <c r="H38" s="1325">
        <v>64336474</v>
      </c>
      <c r="I38" s="1327">
        <v>64336474</v>
      </c>
      <c r="J38" s="1318">
        <v>33818000</v>
      </c>
      <c r="K38" s="1316">
        <f>J38*1.06</f>
        <v>35847080</v>
      </c>
      <c r="L38" s="1325">
        <f>K38*1.06</f>
        <v>37997904.800000004</v>
      </c>
      <c r="M38" s="68"/>
      <c r="N38" s="69"/>
      <c r="O38" s="69"/>
      <c r="P38" s="69"/>
      <c r="Q38" s="69"/>
      <c r="R38" s="69"/>
      <c r="S38" s="69"/>
      <c r="T38" s="69"/>
      <c r="U38" s="69"/>
      <c r="V38" s="69"/>
      <c r="W38" s="69"/>
      <c r="X38" s="69"/>
    </row>
    <row r="39" spans="1:24" ht="63.75" x14ac:dyDescent="0.25">
      <c r="A39" s="146" t="s">
        <v>2387</v>
      </c>
      <c r="B39" s="55">
        <v>6</v>
      </c>
      <c r="C39" s="76">
        <f>'SA1'!C76</f>
        <v>0</v>
      </c>
      <c r="D39" s="76">
        <f>'SA1'!D76</f>
        <v>0</v>
      </c>
      <c r="E39" s="77">
        <f>'SA1'!E76</f>
        <v>0</v>
      </c>
      <c r="F39" s="78">
        <f>'SA1'!F76</f>
        <v>0</v>
      </c>
      <c r="G39" s="76">
        <f>'SA1'!G76</f>
        <v>0</v>
      </c>
      <c r="H39" s="77">
        <f>'SA1'!H76</f>
        <v>0</v>
      </c>
      <c r="I39" s="75">
        <f>'SA1'!I76</f>
        <v>0</v>
      </c>
      <c r="J39" s="79">
        <f>'SA1'!J76</f>
        <v>0</v>
      </c>
      <c r="K39" s="76">
        <f>'SA1'!K76</f>
        <v>0</v>
      </c>
      <c r="L39" s="77">
        <f>'SA1'!L76</f>
        <v>0</v>
      </c>
      <c r="M39" s="68"/>
      <c r="N39" s="69"/>
      <c r="O39" s="69"/>
      <c r="P39" s="69"/>
      <c r="Q39" s="69"/>
      <c r="R39" s="69"/>
      <c r="S39" s="69"/>
      <c r="T39" s="69"/>
      <c r="U39" s="69"/>
      <c r="V39" s="69"/>
      <c r="W39" s="69"/>
      <c r="X39" s="69"/>
    </row>
    <row r="40" spans="1:24" x14ac:dyDescent="0.25">
      <c r="A40" s="63" t="s">
        <v>2386</v>
      </c>
      <c r="B40" s="55"/>
      <c r="C40" s="1329"/>
      <c r="D40" s="1316"/>
      <c r="E40" s="1325"/>
      <c r="F40" s="1336"/>
      <c r="G40" s="1337"/>
      <c r="H40" s="1338"/>
      <c r="I40" s="1327"/>
      <c r="J40" s="1339"/>
      <c r="K40" s="1337"/>
      <c r="L40" s="1338"/>
      <c r="M40" s="68"/>
      <c r="N40" s="69"/>
      <c r="O40" s="69"/>
      <c r="P40" s="69"/>
      <c r="Q40" s="69"/>
      <c r="R40" s="69"/>
      <c r="S40" s="69"/>
      <c r="T40" s="69"/>
      <c r="U40" s="69"/>
      <c r="V40" s="69"/>
      <c r="W40" s="69"/>
      <c r="X40" s="69"/>
    </row>
    <row r="41" spans="1:24" ht="25.5" x14ac:dyDescent="0.25">
      <c r="A41" s="139" t="s">
        <v>375</v>
      </c>
      <c r="B41" s="55"/>
      <c r="C41" s="140">
        <f t="shared" ref="C41:L41" si="8">SUM(C37:C40)</f>
        <v>0</v>
      </c>
      <c r="D41" s="140">
        <f t="shared" si="8"/>
        <v>-43726874</v>
      </c>
      <c r="E41" s="142">
        <f t="shared" si="8"/>
        <v>-43253831</v>
      </c>
      <c r="F41" s="143">
        <f t="shared" si="8"/>
        <v>-23732193.323091567</v>
      </c>
      <c r="G41" s="140">
        <f t="shared" si="8"/>
        <v>-7555718.0950916409</v>
      </c>
      <c r="H41" s="142">
        <f t="shared" si="8"/>
        <v>-7555718.0950916409</v>
      </c>
      <c r="I41" s="143">
        <f t="shared" si="8"/>
        <v>-7555718.0950916409</v>
      </c>
      <c r="J41" s="144">
        <f t="shared" si="8"/>
        <v>552472.40420001745</v>
      </c>
      <c r="K41" s="140">
        <f t="shared" si="8"/>
        <v>585620.74845206738</v>
      </c>
      <c r="L41" s="142">
        <f t="shared" si="8"/>
        <v>620757.99335920066</v>
      </c>
      <c r="M41" s="68"/>
      <c r="N41" s="69"/>
      <c r="O41" s="69"/>
      <c r="P41" s="69"/>
      <c r="Q41" s="69"/>
      <c r="R41" s="69"/>
      <c r="S41" s="69"/>
      <c r="T41" s="69"/>
      <c r="U41" s="69"/>
      <c r="V41" s="69"/>
      <c r="W41" s="69"/>
      <c r="X41" s="69"/>
    </row>
    <row r="42" spans="1:24" x14ac:dyDescent="0.25">
      <c r="A42" s="63" t="s">
        <v>922</v>
      </c>
      <c r="B42" s="55"/>
      <c r="C42" s="1329"/>
      <c r="D42" s="1329"/>
      <c r="E42" s="1332"/>
      <c r="F42" s="1333"/>
      <c r="G42" s="1329"/>
      <c r="H42" s="1332"/>
      <c r="I42" s="1333"/>
      <c r="J42" s="1335"/>
      <c r="K42" s="1329"/>
      <c r="L42" s="1332"/>
      <c r="M42" s="68"/>
      <c r="N42" s="69"/>
      <c r="O42" s="69"/>
      <c r="P42" s="69"/>
      <c r="Q42" s="69"/>
      <c r="R42" s="69"/>
      <c r="S42" s="69"/>
      <c r="T42" s="69"/>
      <c r="U42" s="69"/>
      <c r="V42" s="69"/>
      <c r="W42" s="69"/>
      <c r="X42" s="69"/>
    </row>
    <row r="43" spans="1:24" x14ac:dyDescent="0.25">
      <c r="A43" s="145" t="s">
        <v>923</v>
      </c>
      <c r="B43" s="55"/>
      <c r="C43" s="81">
        <f t="shared" ref="C43:L43" si="9">C41-C42</f>
        <v>0</v>
      </c>
      <c r="D43" s="81">
        <f t="shared" si="9"/>
        <v>-43726874</v>
      </c>
      <c r="E43" s="82">
        <f t="shared" si="9"/>
        <v>-43253831</v>
      </c>
      <c r="F43" s="83">
        <f t="shared" si="9"/>
        <v>-23732193.323091567</v>
      </c>
      <c r="G43" s="81">
        <f t="shared" si="9"/>
        <v>-7555718.0950916409</v>
      </c>
      <c r="H43" s="82">
        <f t="shared" si="9"/>
        <v>-7555718.0950916409</v>
      </c>
      <c r="I43" s="83">
        <f t="shared" si="9"/>
        <v>-7555718.0950916409</v>
      </c>
      <c r="J43" s="84">
        <f t="shared" si="9"/>
        <v>552472.40420001745</v>
      </c>
      <c r="K43" s="81">
        <f t="shared" si="9"/>
        <v>585620.74845206738</v>
      </c>
      <c r="L43" s="82">
        <f t="shared" si="9"/>
        <v>620757.99335920066</v>
      </c>
      <c r="M43" s="68"/>
      <c r="N43" s="69"/>
      <c r="O43" s="69"/>
      <c r="P43" s="69"/>
      <c r="Q43" s="69"/>
      <c r="R43" s="69"/>
      <c r="S43" s="69"/>
      <c r="T43" s="69"/>
      <c r="U43" s="69"/>
      <c r="V43" s="69"/>
      <c r="W43" s="69"/>
      <c r="X43" s="69"/>
    </row>
    <row r="44" spans="1:24" x14ac:dyDescent="0.25">
      <c r="A44" s="63" t="s">
        <v>985</v>
      </c>
      <c r="B44" s="55"/>
      <c r="C44" s="1329"/>
      <c r="D44" s="1329"/>
      <c r="E44" s="1332"/>
      <c r="F44" s="1333"/>
      <c r="G44" s="1329"/>
      <c r="H44" s="1332"/>
      <c r="I44" s="1333"/>
      <c r="J44" s="1335"/>
      <c r="K44" s="1329"/>
      <c r="L44" s="1332"/>
      <c r="M44" s="68"/>
      <c r="N44" s="69"/>
      <c r="O44" s="69"/>
      <c r="P44" s="69"/>
      <c r="Q44" s="69"/>
      <c r="R44" s="69"/>
      <c r="S44" s="69"/>
      <c r="T44" s="69"/>
      <c r="U44" s="69"/>
      <c r="V44" s="69"/>
      <c r="W44" s="69"/>
      <c r="X44" s="69"/>
    </row>
    <row r="45" spans="1:24" x14ac:dyDescent="0.25">
      <c r="A45" s="145" t="s">
        <v>164</v>
      </c>
      <c r="B45" s="55"/>
      <c r="C45" s="140">
        <f t="shared" ref="C45:L45" si="10">SUM(C43:C44)</f>
        <v>0</v>
      </c>
      <c r="D45" s="140">
        <f t="shared" si="10"/>
        <v>-43726874</v>
      </c>
      <c r="E45" s="142">
        <f t="shared" si="10"/>
        <v>-43253831</v>
      </c>
      <c r="F45" s="143">
        <f t="shared" si="10"/>
        <v>-23732193.323091567</v>
      </c>
      <c r="G45" s="140">
        <f t="shared" si="10"/>
        <v>-7555718.0950916409</v>
      </c>
      <c r="H45" s="142">
        <f t="shared" si="10"/>
        <v>-7555718.0950916409</v>
      </c>
      <c r="I45" s="143">
        <f t="shared" si="10"/>
        <v>-7555718.0950916409</v>
      </c>
      <c r="J45" s="144">
        <f t="shared" si="10"/>
        <v>552472.40420001745</v>
      </c>
      <c r="K45" s="140">
        <f t="shared" si="10"/>
        <v>585620.74845206738</v>
      </c>
      <c r="L45" s="142">
        <f t="shared" si="10"/>
        <v>620757.99335920066</v>
      </c>
      <c r="M45" s="68"/>
      <c r="N45" s="69"/>
      <c r="O45" s="69"/>
      <c r="P45" s="69"/>
      <c r="Q45" s="69"/>
      <c r="R45" s="69"/>
      <c r="S45" s="69"/>
      <c r="T45" s="69"/>
      <c r="U45" s="69"/>
      <c r="V45" s="69"/>
      <c r="W45" s="69"/>
      <c r="X45" s="69"/>
    </row>
    <row r="46" spans="1:24" x14ac:dyDescent="0.25">
      <c r="A46" s="146" t="s">
        <v>392</v>
      </c>
      <c r="B46" s="55">
        <v>7</v>
      </c>
      <c r="C46" s="1329"/>
      <c r="D46" s="1329"/>
      <c r="E46" s="1332"/>
      <c r="F46" s="1326"/>
      <c r="G46" s="1316"/>
      <c r="H46" s="1325"/>
      <c r="I46" s="1326"/>
      <c r="J46" s="1318"/>
      <c r="K46" s="1316"/>
      <c r="L46" s="1325"/>
      <c r="M46" s="68"/>
      <c r="N46" s="69"/>
      <c r="O46" s="69"/>
      <c r="P46" s="69"/>
      <c r="Q46" s="69"/>
      <c r="R46" s="69"/>
      <c r="S46" s="69"/>
      <c r="T46" s="69"/>
      <c r="U46" s="69"/>
      <c r="V46" s="69"/>
      <c r="W46" s="69"/>
      <c r="X46" s="69"/>
    </row>
    <row r="47" spans="1:24" ht="13.5" thickBot="1" x14ac:dyDescent="0.3">
      <c r="A47" s="147" t="str">
        <f>result</f>
        <v>Surplus/(Deficit) for the year</v>
      </c>
      <c r="B47" s="93"/>
      <c r="C47" s="95">
        <f t="shared" ref="C47:L47" si="11">SUM(C45:C46)</f>
        <v>0</v>
      </c>
      <c r="D47" s="95">
        <f t="shared" si="11"/>
        <v>-43726874</v>
      </c>
      <c r="E47" s="96">
        <f t="shared" si="11"/>
        <v>-43253831</v>
      </c>
      <c r="F47" s="97">
        <f t="shared" si="11"/>
        <v>-23732193.323091567</v>
      </c>
      <c r="G47" s="95">
        <f t="shared" si="11"/>
        <v>-7555718.0950916409</v>
      </c>
      <c r="H47" s="96">
        <f t="shared" si="11"/>
        <v>-7555718.0950916409</v>
      </c>
      <c r="I47" s="97">
        <f t="shared" si="11"/>
        <v>-7555718.0950916409</v>
      </c>
      <c r="J47" s="98">
        <f t="shared" si="11"/>
        <v>552472.40420001745</v>
      </c>
      <c r="K47" s="95">
        <f t="shared" si="11"/>
        <v>585620.74845206738</v>
      </c>
      <c r="L47" s="96">
        <f t="shared" si="11"/>
        <v>620757.99335920066</v>
      </c>
      <c r="M47" s="99">
        <f t="shared" ref="M47:X47" si="12">M25+M46</f>
        <v>0</v>
      </c>
      <c r="N47" s="100">
        <f t="shared" si="12"/>
        <v>0</v>
      </c>
      <c r="O47" s="100">
        <f t="shared" si="12"/>
        <v>0</v>
      </c>
      <c r="P47" s="100">
        <f t="shared" si="12"/>
        <v>0</v>
      </c>
      <c r="Q47" s="100">
        <f t="shared" si="12"/>
        <v>0</v>
      </c>
      <c r="R47" s="100">
        <f t="shared" si="12"/>
        <v>0</v>
      </c>
      <c r="S47" s="100">
        <f t="shared" si="12"/>
        <v>0</v>
      </c>
      <c r="T47" s="100">
        <f t="shared" si="12"/>
        <v>0</v>
      </c>
      <c r="U47" s="100">
        <f t="shared" si="12"/>
        <v>0</v>
      </c>
      <c r="V47" s="100">
        <f t="shared" si="12"/>
        <v>0</v>
      </c>
      <c r="W47" s="100">
        <f t="shared" si="12"/>
        <v>0</v>
      </c>
      <c r="X47" s="100">
        <f t="shared" si="12"/>
        <v>0</v>
      </c>
    </row>
    <row r="48" spans="1:24" ht="13.5" thickTop="1" x14ac:dyDescent="0.25">
      <c r="A48" s="101" t="str">
        <f>head27a</f>
        <v>References</v>
      </c>
      <c r="C48" s="104"/>
      <c r="D48" s="104"/>
      <c r="E48" s="104"/>
      <c r="F48" s="104"/>
      <c r="G48" s="104"/>
      <c r="H48" s="104"/>
      <c r="I48" s="104"/>
      <c r="J48" s="104"/>
      <c r="K48" s="104"/>
      <c r="L48" s="104"/>
      <c r="M48" s="104"/>
      <c r="N48" s="104"/>
      <c r="O48" s="104"/>
      <c r="P48" s="104"/>
      <c r="Q48" s="104"/>
      <c r="R48" s="104"/>
      <c r="S48" s="104"/>
      <c r="T48" s="104"/>
      <c r="U48" s="104"/>
      <c r="V48" s="104"/>
      <c r="W48" s="104"/>
      <c r="X48" s="104"/>
    </row>
    <row r="49" spans="1:13" x14ac:dyDescent="0.25">
      <c r="A49" s="132" t="s">
        <v>165</v>
      </c>
      <c r="C49" s="103"/>
      <c r="D49" s="103"/>
      <c r="E49" s="104"/>
      <c r="F49" s="104"/>
      <c r="G49" s="104"/>
      <c r="H49" s="104"/>
      <c r="I49" s="104"/>
      <c r="J49" s="104"/>
      <c r="K49" s="104"/>
      <c r="L49" s="104"/>
    </row>
    <row r="50" spans="1:13" x14ac:dyDescent="0.25">
      <c r="A50" s="132" t="s">
        <v>684</v>
      </c>
      <c r="C50" s="104"/>
      <c r="D50" s="103"/>
      <c r="E50" s="104"/>
      <c r="F50" s="104"/>
      <c r="G50" s="104"/>
      <c r="H50" s="104"/>
      <c r="I50" s="104"/>
      <c r="J50" s="104"/>
      <c r="K50" s="104"/>
      <c r="L50" s="104"/>
    </row>
    <row r="51" spans="1:13" x14ac:dyDescent="0.25">
      <c r="A51" s="132" t="s">
        <v>507</v>
      </c>
      <c r="C51" s="104"/>
      <c r="D51" s="103"/>
      <c r="E51" s="104"/>
      <c r="F51" s="104"/>
      <c r="G51" s="104"/>
      <c r="H51" s="104"/>
      <c r="I51" s="104"/>
      <c r="J51" s="104"/>
      <c r="K51" s="104"/>
      <c r="L51" s="104"/>
    </row>
    <row r="52" spans="1:13" x14ac:dyDescent="0.25">
      <c r="A52" s="132" t="s">
        <v>508</v>
      </c>
      <c r="C52" s="104"/>
      <c r="D52" s="103"/>
      <c r="E52" s="104"/>
      <c r="F52" s="104"/>
      <c r="G52" s="104"/>
      <c r="H52" s="104"/>
      <c r="I52" s="104"/>
      <c r="J52" s="104"/>
      <c r="K52" s="104"/>
      <c r="L52" s="104"/>
    </row>
    <row r="53" spans="1:13" x14ac:dyDescent="0.25">
      <c r="A53" s="132" t="s">
        <v>1109</v>
      </c>
      <c r="C53" s="104"/>
      <c r="D53" s="103"/>
      <c r="E53" s="104"/>
      <c r="F53" s="104"/>
      <c r="G53" s="104"/>
      <c r="H53" s="104"/>
      <c r="I53" s="104"/>
      <c r="J53" s="104"/>
      <c r="K53" s="104"/>
      <c r="L53" s="104"/>
    </row>
    <row r="54" spans="1:13" x14ac:dyDescent="0.25">
      <c r="A54" s="132" t="s">
        <v>166</v>
      </c>
      <c r="C54" s="104"/>
      <c r="D54" s="103"/>
      <c r="E54" s="104"/>
      <c r="F54" s="104"/>
      <c r="G54" s="104"/>
      <c r="H54" s="104"/>
      <c r="I54" s="104"/>
      <c r="J54" s="104"/>
      <c r="K54" s="104"/>
      <c r="L54" s="104"/>
    </row>
    <row r="55" spans="1:13" x14ac:dyDescent="0.25">
      <c r="A55" s="132" t="s">
        <v>2389</v>
      </c>
      <c r="C55" s="104"/>
      <c r="D55" s="103"/>
      <c r="E55" s="104"/>
      <c r="F55" s="104"/>
      <c r="G55" s="104"/>
      <c r="H55" s="104"/>
      <c r="I55" s="104"/>
      <c r="J55" s="104"/>
      <c r="K55" s="104"/>
      <c r="L55" s="104"/>
    </row>
    <row r="56" spans="1:13" x14ac:dyDescent="0.25">
      <c r="A56" s="132" t="s">
        <v>787</v>
      </c>
      <c r="C56" s="104"/>
      <c r="D56" s="103"/>
      <c r="E56" s="104"/>
      <c r="F56" s="104"/>
      <c r="G56" s="104"/>
      <c r="H56" s="104"/>
      <c r="I56" s="104"/>
      <c r="J56" s="104"/>
      <c r="K56" s="104"/>
      <c r="L56" s="104"/>
    </row>
    <row r="57" spans="1:13" x14ac:dyDescent="0.25">
      <c r="A57" s="133" t="s">
        <v>249</v>
      </c>
      <c r="B57" s="107"/>
      <c r="C57" s="109">
        <f>C45-'A3-FinPerf V'!C39</f>
        <v>0</v>
      </c>
      <c r="D57" s="109">
        <f>D45-'A3-FinPerf V'!D39</f>
        <v>-0.12866419553756714</v>
      </c>
      <c r="E57" s="177">
        <f>E45-'A3-FinPerf V'!E39</f>
        <v>-1.9299998879432678</v>
      </c>
      <c r="F57" s="109">
        <f>F45-'A3-FinPerf V'!F39</f>
        <v>7.542868435382843</v>
      </c>
      <c r="G57" s="109">
        <f>G45-'A3-FinPerf V'!G39</f>
        <v>0.13086837530136108</v>
      </c>
      <c r="H57" s="109">
        <f>H45-'A3-FinPerf V'!H39</f>
        <v>0.13086837530136108</v>
      </c>
      <c r="I57" s="109"/>
      <c r="J57" s="109">
        <f>J45-'A3-FinPerf V'!I39</f>
        <v>-2.5893188118934631</v>
      </c>
      <c r="K57" s="109">
        <f>K45-'A3-FinPerf V'!J39</f>
        <v>-2.7446779012680054</v>
      </c>
      <c r="L57" s="109">
        <f>L45-'A3-FinPerf V'!K39</f>
        <v>-2.9093585088849068</v>
      </c>
    </row>
    <row r="58" spans="1:13" x14ac:dyDescent="0.25">
      <c r="A58" s="108"/>
      <c r="B58" s="107"/>
      <c r="C58" s="109"/>
      <c r="D58" s="109"/>
      <c r="E58" s="109"/>
      <c r="F58" s="109"/>
      <c r="G58" s="109"/>
      <c r="H58" s="109"/>
      <c r="I58" s="109"/>
      <c r="J58" s="109"/>
      <c r="K58" s="109"/>
      <c r="L58" s="109"/>
    </row>
    <row r="59" spans="1:13" x14ac:dyDescent="0.25">
      <c r="A59" s="108" t="s">
        <v>8</v>
      </c>
      <c r="B59" s="25"/>
      <c r="C59" s="148">
        <f t="shared" ref="C59:L59" si="13">C21+SUM(C38:C40)</f>
        <v>0</v>
      </c>
      <c r="D59" s="148">
        <f t="shared" si="13"/>
        <v>330440712</v>
      </c>
      <c r="E59" s="148">
        <f t="shared" si="13"/>
        <v>376263458</v>
      </c>
      <c r="F59" s="148">
        <f t="shared" si="13"/>
        <v>342318905.34000003</v>
      </c>
      <c r="G59" s="148">
        <f t="shared" si="13"/>
        <v>373756259.50999999</v>
      </c>
      <c r="H59" s="148">
        <f t="shared" si="13"/>
        <v>373756259.50999999</v>
      </c>
      <c r="I59" s="148">
        <f t="shared" si="13"/>
        <v>373756259.50999999</v>
      </c>
      <c r="J59" s="148">
        <f t="shared" si="13"/>
        <v>393212328.03399998</v>
      </c>
      <c r="K59" s="148">
        <f t="shared" si="13"/>
        <v>416805067.71604002</v>
      </c>
      <c r="L59" s="148">
        <f t="shared" si="13"/>
        <v>441813371.77900249</v>
      </c>
      <c r="M59" s="148"/>
    </row>
    <row r="60" spans="1:13" x14ac:dyDescent="0.25">
      <c r="B60" s="25"/>
      <c r="C60" s="104"/>
      <c r="D60" s="104"/>
      <c r="G60" s="104"/>
      <c r="M60" s="148"/>
    </row>
    <row r="61" spans="1:13" x14ac:dyDescent="0.25">
      <c r="B61" s="25"/>
      <c r="C61" s="104"/>
      <c r="D61" s="104"/>
      <c r="G61" s="104"/>
    </row>
    <row r="62" spans="1:13" x14ac:dyDescent="0.25">
      <c r="B62" s="25"/>
      <c r="C62" s="104"/>
      <c r="D62" s="104"/>
      <c r="G62" s="104"/>
    </row>
    <row r="63" spans="1:13" x14ac:dyDescent="0.25">
      <c r="B63" s="25"/>
      <c r="D63" s="148"/>
    </row>
    <row r="64" spans="1:13" x14ac:dyDescent="0.25">
      <c r="B64" s="25"/>
    </row>
    <row r="65" spans="2:2" x14ac:dyDescent="0.25">
      <c r="B65" s="25"/>
    </row>
    <row r="66" spans="2:2" x14ac:dyDescent="0.25">
      <c r="B66" s="25"/>
    </row>
    <row r="67" spans="2:2" x14ac:dyDescent="0.25">
      <c r="B67" s="25"/>
    </row>
    <row r="68" spans="2:2" x14ac:dyDescent="0.25">
      <c r="B68" s="25"/>
    </row>
    <row r="69" spans="2:2" x14ac:dyDescent="0.25">
      <c r="B69" s="25"/>
    </row>
    <row r="70" spans="2:2" x14ac:dyDescent="0.25">
      <c r="B70" s="25"/>
    </row>
    <row r="71" spans="2:2" x14ac:dyDescent="0.25">
      <c r="B71" s="25"/>
    </row>
    <row r="72" spans="2:2" x14ac:dyDescent="0.25">
      <c r="B72" s="25"/>
    </row>
    <row r="73" spans="2:2" x14ac:dyDescent="0.25">
      <c r="B73" s="25"/>
    </row>
    <row r="74" spans="2:2" x14ac:dyDescent="0.25">
      <c r="B74" s="25"/>
    </row>
    <row r="75" spans="2:2" x14ac:dyDescent="0.25">
      <c r="B75" s="25"/>
    </row>
    <row r="76" spans="2:2" x14ac:dyDescent="0.25">
      <c r="B76" s="25"/>
    </row>
    <row r="77" spans="2:2" x14ac:dyDescent="0.25">
      <c r="B77" s="25"/>
    </row>
    <row r="78" spans="2:2" x14ac:dyDescent="0.25">
      <c r="B78" s="25"/>
    </row>
    <row r="79" spans="2:2" x14ac:dyDescent="0.25">
      <c r="B79" s="25"/>
    </row>
    <row r="80" spans="2:2" x14ac:dyDescent="0.25">
      <c r="B80" s="25"/>
    </row>
    <row r="81" spans="2:2" x14ac:dyDescent="0.25">
      <c r="B81" s="25"/>
    </row>
    <row r="82" spans="2:2" x14ac:dyDescent="0.25">
      <c r="B82" s="25"/>
    </row>
  </sheetData>
  <mergeCells count="3">
    <mergeCell ref="M2:X2"/>
    <mergeCell ref="J2:L2"/>
    <mergeCell ref="F2:I2"/>
  </mergeCells>
  <phoneticPr fontId="3" type="noConversion"/>
  <printOptions horizontalCentered="1"/>
  <pageMargins left="0.37" right="0.2" top="0.6" bottom="0.5" header="0.511811023622047" footer="0.39370078740157499"/>
  <pageSetup paperSize="9" scale="7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R120"/>
  <sheetViews>
    <sheetView showGridLines="0" zoomScaleNormal="100" workbookViewId="0">
      <pane xSplit="2" ySplit="3" topLeftCell="C49" activePane="bottomRight" state="frozen"/>
      <selection pane="topRight"/>
      <selection pane="bottomLeft"/>
      <selection pane="bottomRight" activeCell="A2" sqref="A2:L74"/>
    </sheetView>
  </sheetViews>
  <sheetFormatPr defaultRowHeight="12.75" x14ac:dyDescent="0.25"/>
  <cols>
    <col min="1" max="1" width="30.7109375" style="25" customWidth="1"/>
    <col min="2" max="2" width="3" style="102" customWidth="1"/>
    <col min="3" max="5" width="12.7109375" style="25" customWidth="1"/>
    <col min="6" max="8" width="9.28515625" style="25" customWidth="1"/>
    <col min="9" max="9" width="9.140625" style="25" customWidth="1"/>
    <col min="10" max="12" width="9.28515625" style="25" customWidth="1"/>
    <col min="13" max="13" width="11.7109375" style="25" bestFit="1"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3" s="52" customFormat="1" x14ac:dyDescent="0.2">
      <c r="A1" s="23" t="s">
        <v>2513</v>
      </c>
      <c r="B1" s="23"/>
      <c r="C1" s="23"/>
      <c r="D1" s="23"/>
      <c r="E1" s="23"/>
      <c r="F1" s="23"/>
      <c r="G1" s="23"/>
      <c r="H1" s="23"/>
      <c r="I1" s="23"/>
      <c r="J1" s="23"/>
      <c r="K1" s="23"/>
      <c r="L1" s="23"/>
    </row>
    <row r="2" spans="1:13" ht="28.5" customHeight="1" x14ac:dyDescent="0.25">
      <c r="A2" s="609" t="str">
        <f>Vdesc</f>
        <v>Vote Description</v>
      </c>
      <c r="B2" s="22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3" ht="25.5" x14ac:dyDescent="0.25">
      <c r="A3" s="53" t="s">
        <v>573</v>
      </c>
      <c r="B3" s="135">
        <v>1</v>
      </c>
      <c r="C3" s="203" t="str">
        <f>Head5</f>
        <v>Audited Outcome</v>
      </c>
      <c r="D3" s="203" t="str">
        <f>Head5</f>
        <v>Audited Outcome</v>
      </c>
      <c r="E3" s="204" t="str">
        <f>Head5</f>
        <v>Audited Outcome</v>
      </c>
      <c r="F3" s="141" t="str">
        <f>Head6</f>
        <v>Original Budget</v>
      </c>
      <c r="G3" s="203" t="str">
        <f>Head7</f>
        <v>Adjusted Budget</v>
      </c>
      <c r="H3" s="204" t="str">
        <f>Head8</f>
        <v>Full Year Forecast</v>
      </c>
      <c r="I3" s="202" t="str">
        <f>Head5b</f>
        <v>Pre-audit outcome</v>
      </c>
      <c r="J3" s="141" t="str">
        <f>Head9</f>
        <v>Budget Year 2019/20</v>
      </c>
      <c r="K3" s="203" t="str">
        <f>Head10</f>
        <v>Budget Year +1 2020/21</v>
      </c>
      <c r="L3" s="204" t="str">
        <f>Head11</f>
        <v>Budget Year +2 2021/22</v>
      </c>
    </row>
    <row r="4" spans="1:13" hidden="1" x14ac:dyDescent="0.25">
      <c r="A4" s="54" t="s">
        <v>447</v>
      </c>
      <c r="B4" s="136"/>
      <c r="C4" s="149"/>
      <c r="D4" s="149"/>
      <c r="E4" s="150"/>
      <c r="F4" s="151"/>
      <c r="G4" s="149"/>
      <c r="H4" s="152"/>
      <c r="I4" s="150"/>
      <c r="J4" s="151"/>
      <c r="K4" s="149"/>
      <c r="L4" s="152"/>
    </row>
    <row r="5" spans="1:13" ht="11.25" hidden="1" customHeight="1" x14ac:dyDescent="0.25">
      <c r="A5" s="54" t="s">
        <v>910</v>
      </c>
      <c r="B5" s="55">
        <v>2</v>
      </c>
      <c r="C5" s="153"/>
      <c r="D5" s="153"/>
      <c r="E5" s="154"/>
      <c r="F5" s="155"/>
      <c r="G5" s="153"/>
      <c r="H5" s="156"/>
      <c r="I5" s="154"/>
      <c r="J5" s="155"/>
      <c r="K5" s="153"/>
      <c r="L5" s="156"/>
    </row>
    <row r="6" spans="1:13" ht="11.25" hidden="1" customHeight="1" x14ac:dyDescent="0.25">
      <c r="A6" s="63" t="str">
        <f>A5A!A6</f>
        <v>Vote 1 - COUNCIL</v>
      </c>
      <c r="B6" s="55"/>
      <c r="C6" s="65">
        <f>A5A!C6</f>
        <v>0</v>
      </c>
      <c r="D6" s="65">
        <f>A5A!D6</f>
        <v>0</v>
      </c>
      <c r="E6" s="66">
        <f>A5A!E6</f>
        <v>0</v>
      </c>
      <c r="F6" s="67">
        <f>A5A!F6</f>
        <v>0</v>
      </c>
      <c r="G6" s="65">
        <f>A5A!G6</f>
        <v>0</v>
      </c>
      <c r="H6" s="66">
        <f>A5A!H6</f>
        <v>0</v>
      </c>
      <c r="I6" s="64">
        <f>A5A!I6</f>
        <v>0</v>
      </c>
      <c r="J6" s="67">
        <f>A5A!J6</f>
        <v>0</v>
      </c>
      <c r="K6" s="65">
        <f>A5A!K6</f>
        <v>0</v>
      </c>
      <c r="L6" s="66">
        <f>A5A!L6</f>
        <v>0</v>
      </c>
      <c r="M6" s="157"/>
    </row>
    <row r="7" spans="1:13" ht="11.25" hidden="1" customHeight="1" x14ac:dyDescent="0.25">
      <c r="A7" s="63" t="str">
        <f>A5A!A17</f>
        <v>Vote 2 - OFFICE OF THE MUNICIPAL MANAGER</v>
      </c>
      <c r="B7" s="55"/>
      <c r="C7" s="65">
        <f>A5A!C17</f>
        <v>0</v>
      </c>
      <c r="D7" s="65">
        <f>A5A!D17</f>
        <v>0</v>
      </c>
      <c r="E7" s="66">
        <f>A5A!E17</f>
        <v>0</v>
      </c>
      <c r="F7" s="67">
        <f>A5A!F17</f>
        <v>0</v>
      </c>
      <c r="G7" s="65">
        <f>A5A!G17</f>
        <v>0</v>
      </c>
      <c r="H7" s="66">
        <f>A5A!H17</f>
        <v>0</v>
      </c>
      <c r="I7" s="64">
        <f>A5A!I17</f>
        <v>0</v>
      </c>
      <c r="J7" s="67">
        <f>A5A!J17</f>
        <v>0</v>
      </c>
      <c r="K7" s="65">
        <f>A5A!K17</f>
        <v>0</v>
      </c>
      <c r="L7" s="66">
        <f>A5A!L17</f>
        <v>0</v>
      </c>
      <c r="M7" s="159"/>
    </row>
    <row r="8" spans="1:13" ht="11.25" hidden="1" customHeight="1" x14ac:dyDescent="0.25">
      <c r="A8" s="63" t="str">
        <f>A5A!A28</f>
        <v>Vote 3 - FINANCIAL SERVICES</v>
      </c>
      <c r="B8" s="55"/>
      <c r="C8" s="65">
        <f>A5A!C28</f>
        <v>0</v>
      </c>
      <c r="D8" s="65">
        <f>A5A!D28</f>
        <v>0</v>
      </c>
      <c r="E8" s="66">
        <f>A5A!E28</f>
        <v>0</v>
      </c>
      <c r="F8" s="67">
        <f>A5A!F28</f>
        <v>0</v>
      </c>
      <c r="G8" s="65">
        <f>A5A!G28</f>
        <v>0</v>
      </c>
      <c r="H8" s="66">
        <f>A5A!H28</f>
        <v>0</v>
      </c>
      <c r="I8" s="64">
        <f>A5A!I28</f>
        <v>0</v>
      </c>
      <c r="J8" s="67">
        <f>A5A!J28</f>
        <v>0</v>
      </c>
      <c r="K8" s="65">
        <f>A5A!K28</f>
        <v>0</v>
      </c>
      <c r="L8" s="66">
        <f>A5A!L28</f>
        <v>0</v>
      </c>
      <c r="M8" s="158"/>
    </row>
    <row r="9" spans="1:13" ht="11.25" hidden="1" customHeight="1" x14ac:dyDescent="0.25">
      <c r="A9" s="63" t="str">
        <f>A5A!A39</f>
        <v>Vote 4 - CORPORATE SERVICES</v>
      </c>
      <c r="B9" s="55"/>
      <c r="C9" s="65">
        <f>A5A!C39</f>
        <v>0</v>
      </c>
      <c r="D9" s="65">
        <f>A5A!D39</f>
        <v>0</v>
      </c>
      <c r="E9" s="66">
        <f>A5A!E39</f>
        <v>0</v>
      </c>
      <c r="F9" s="160">
        <f>A5A!F39</f>
        <v>0</v>
      </c>
      <c r="G9" s="65">
        <f>A5A!G39</f>
        <v>0</v>
      </c>
      <c r="H9" s="66">
        <f>A5A!H39</f>
        <v>0</v>
      </c>
      <c r="I9" s="64">
        <f>A5A!I39</f>
        <v>0</v>
      </c>
      <c r="J9" s="67">
        <f>A5A!J39</f>
        <v>0</v>
      </c>
      <c r="K9" s="65">
        <f>A5A!K39</f>
        <v>0</v>
      </c>
      <c r="L9" s="161">
        <f>A5A!L39</f>
        <v>0</v>
      </c>
      <c r="M9" s="158"/>
    </row>
    <row r="10" spans="1:13" ht="11.25" hidden="1" customHeight="1" x14ac:dyDescent="0.25">
      <c r="A10" s="63" t="str">
        <f>A5A!A50</f>
        <v>Vote 5 - INFRASTRUCTURE SERVICES</v>
      </c>
      <c r="B10" s="55"/>
      <c r="C10" s="65">
        <f>A5A!C50</f>
        <v>0</v>
      </c>
      <c r="D10" s="65">
        <f>A5A!D50</f>
        <v>0</v>
      </c>
      <c r="E10" s="66">
        <f>A5A!E50</f>
        <v>0</v>
      </c>
      <c r="F10" s="67">
        <f>A5A!F50</f>
        <v>0</v>
      </c>
      <c r="G10" s="65">
        <f>A5A!G50</f>
        <v>0</v>
      </c>
      <c r="H10" s="66">
        <f>A5A!H50</f>
        <v>0</v>
      </c>
      <c r="I10" s="64">
        <f>A5A!I50</f>
        <v>0</v>
      </c>
      <c r="J10" s="67">
        <f>A5A!J50</f>
        <v>0</v>
      </c>
      <c r="K10" s="65">
        <f>A5A!K50</f>
        <v>0</v>
      </c>
      <c r="L10" s="66">
        <f>A5A!L50</f>
        <v>0</v>
      </c>
      <c r="M10" s="158"/>
    </row>
    <row r="11" spans="1:13" ht="11.25" hidden="1" customHeight="1" x14ac:dyDescent="0.25">
      <c r="A11" s="63" t="str">
        <f>A5A!A61</f>
        <v>Vote 6 - COMMUNITY SERVICES</v>
      </c>
      <c r="B11" s="55"/>
      <c r="C11" s="65">
        <f>A5A!C61</f>
        <v>0</v>
      </c>
      <c r="D11" s="65">
        <f>A5A!D61</f>
        <v>0</v>
      </c>
      <c r="E11" s="66">
        <f>A5A!E61</f>
        <v>0</v>
      </c>
      <c r="F11" s="67">
        <f>A5A!F61</f>
        <v>0</v>
      </c>
      <c r="G11" s="65">
        <f>A5A!G61</f>
        <v>0</v>
      </c>
      <c r="H11" s="66">
        <f>A5A!H61</f>
        <v>0</v>
      </c>
      <c r="I11" s="64">
        <f>A5A!I61</f>
        <v>0</v>
      </c>
      <c r="J11" s="67">
        <f>A5A!J61</f>
        <v>0</v>
      </c>
      <c r="K11" s="65">
        <f>A5A!K61</f>
        <v>0</v>
      </c>
      <c r="L11" s="66">
        <f>A5A!L61</f>
        <v>0</v>
      </c>
      <c r="M11" s="158"/>
    </row>
    <row r="12" spans="1:13" ht="11.25" hidden="1" customHeight="1" x14ac:dyDescent="0.25">
      <c r="A12" s="63" t="str">
        <f>A5A!A73</f>
        <v>Vote 7 - [NAME OF VOTE 7]</v>
      </c>
      <c r="B12" s="55"/>
      <c r="C12" s="65">
        <f>A5A!C73</f>
        <v>0</v>
      </c>
      <c r="D12" s="65">
        <f>A5A!D73</f>
        <v>0</v>
      </c>
      <c r="E12" s="66">
        <f>A5A!E73</f>
        <v>0</v>
      </c>
      <c r="F12" s="67">
        <f>A5A!F73</f>
        <v>0</v>
      </c>
      <c r="G12" s="65">
        <f>A5A!G73</f>
        <v>0</v>
      </c>
      <c r="H12" s="66">
        <f>A5A!H73</f>
        <v>0</v>
      </c>
      <c r="I12" s="64">
        <f>A5A!I73</f>
        <v>0</v>
      </c>
      <c r="J12" s="67">
        <f>A5A!J73</f>
        <v>0</v>
      </c>
      <c r="K12" s="65">
        <f>A5A!K73</f>
        <v>0</v>
      </c>
      <c r="L12" s="66">
        <f>A5A!L73</f>
        <v>0</v>
      </c>
      <c r="M12" s="158"/>
    </row>
    <row r="13" spans="1:13" ht="11.25" hidden="1" customHeight="1" x14ac:dyDescent="0.25">
      <c r="A13" s="63" t="str">
        <f>A5A!A84</f>
        <v>Vote 8 - [NAME OF VOTE 8]</v>
      </c>
      <c r="B13" s="55"/>
      <c r="C13" s="65">
        <f>A5A!C84</f>
        <v>0</v>
      </c>
      <c r="D13" s="65">
        <f>A5A!D84</f>
        <v>0</v>
      </c>
      <c r="E13" s="64">
        <f>A5A!E84</f>
        <v>0</v>
      </c>
      <c r="F13" s="67">
        <f>A5A!F84</f>
        <v>0</v>
      </c>
      <c r="G13" s="65">
        <f>A5A!G84</f>
        <v>0</v>
      </c>
      <c r="H13" s="66">
        <f>A5A!H84</f>
        <v>0</v>
      </c>
      <c r="I13" s="64">
        <f>A5A!I84</f>
        <v>0</v>
      </c>
      <c r="J13" s="67">
        <f>A5A!J84</f>
        <v>0</v>
      </c>
      <c r="K13" s="65">
        <f>A5A!K84</f>
        <v>0</v>
      </c>
      <c r="L13" s="66">
        <f>A5A!L84</f>
        <v>0</v>
      </c>
      <c r="M13" s="158"/>
    </row>
    <row r="14" spans="1:13" ht="11.25" hidden="1" customHeight="1" x14ac:dyDescent="0.25">
      <c r="A14" s="63" t="str">
        <f>A5A!A95</f>
        <v>Vote 9 - [NAME OF VOTE 9]</v>
      </c>
      <c r="B14" s="55"/>
      <c r="C14" s="65">
        <f>A5A!C95</f>
        <v>0</v>
      </c>
      <c r="D14" s="65">
        <f>A5A!D95</f>
        <v>0</v>
      </c>
      <c r="E14" s="64">
        <f>A5A!E95</f>
        <v>0</v>
      </c>
      <c r="F14" s="67">
        <f>A5A!F95</f>
        <v>0</v>
      </c>
      <c r="G14" s="65">
        <f>A5A!G95</f>
        <v>0</v>
      </c>
      <c r="H14" s="66">
        <f>A5A!H95</f>
        <v>0</v>
      </c>
      <c r="I14" s="64">
        <f>A5A!I95</f>
        <v>0</v>
      </c>
      <c r="J14" s="67">
        <f>A5A!J95</f>
        <v>0</v>
      </c>
      <c r="K14" s="65">
        <f>A5A!K95</f>
        <v>0</v>
      </c>
      <c r="L14" s="66">
        <f>A5A!L95</f>
        <v>0</v>
      </c>
      <c r="M14" s="158"/>
    </row>
    <row r="15" spans="1:13" ht="11.25" hidden="1" customHeight="1" x14ac:dyDescent="0.25">
      <c r="A15" s="63" t="str">
        <f>A5A!A106</f>
        <v>Vote 10 - [NAME OF VOTE 10]</v>
      </c>
      <c r="B15" s="55"/>
      <c r="C15" s="65">
        <f>A5A!C106</f>
        <v>0</v>
      </c>
      <c r="D15" s="65">
        <f>A5A!D106</f>
        <v>0</v>
      </c>
      <c r="E15" s="64">
        <f>A5A!E106</f>
        <v>0</v>
      </c>
      <c r="F15" s="67">
        <f>A5A!F106</f>
        <v>0</v>
      </c>
      <c r="G15" s="65">
        <f>A5A!G106</f>
        <v>0</v>
      </c>
      <c r="H15" s="66">
        <f>A5A!H106</f>
        <v>0</v>
      </c>
      <c r="I15" s="64">
        <f>A5A!I106</f>
        <v>0</v>
      </c>
      <c r="J15" s="67">
        <f>A5A!J106</f>
        <v>0</v>
      </c>
      <c r="K15" s="65">
        <f>A5A!K106</f>
        <v>0</v>
      </c>
      <c r="L15" s="66">
        <f>A5A!L106</f>
        <v>0</v>
      </c>
      <c r="M15" s="158"/>
    </row>
    <row r="16" spans="1:13" ht="11.25" hidden="1" customHeight="1" x14ac:dyDescent="0.25">
      <c r="A16" s="63" t="str">
        <f>A5A!A117</f>
        <v>Vote 11 - [NAME OF VOTE 11]</v>
      </c>
      <c r="B16" s="55"/>
      <c r="C16" s="65">
        <f>A5A!C117</f>
        <v>0</v>
      </c>
      <c r="D16" s="65">
        <f>A5A!D117</f>
        <v>0</v>
      </c>
      <c r="E16" s="64">
        <f>A5A!E117</f>
        <v>0</v>
      </c>
      <c r="F16" s="67">
        <f>A5A!F117</f>
        <v>0</v>
      </c>
      <c r="G16" s="65">
        <f>A5A!G117</f>
        <v>0</v>
      </c>
      <c r="H16" s="66">
        <f>A5A!H117</f>
        <v>0</v>
      </c>
      <c r="I16" s="64">
        <f>A5A!I117</f>
        <v>0</v>
      </c>
      <c r="J16" s="67">
        <f>A5A!J117</f>
        <v>0</v>
      </c>
      <c r="K16" s="65">
        <f>A5A!K117</f>
        <v>0</v>
      </c>
      <c r="L16" s="66">
        <f>A5A!L117</f>
        <v>0</v>
      </c>
    </row>
    <row r="17" spans="1:13" ht="11.25" hidden="1" customHeight="1" x14ac:dyDescent="0.25">
      <c r="A17" s="63" t="str">
        <f>A5A!A128</f>
        <v>Vote 12 - [NAME OF VOTE 12]</v>
      </c>
      <c r="B17" s="55"/>
      <c r="C17" s="65">
        <f>A5A!C128</f>
        <v>0</v>
      </c>
      <c r="D17" s="65">
        <f>A5A!D128</f>
        <v>0</v>
      </c>
      <c r="E17" s="64">
        <f>A5A!E128</f>
        <v>0</v>
      </c>
      <c r="F17" s="67">
        <f>A5A!F128</f>
        <v>0</v>
      </c>
      <c r="G17" s="65">
        <f>A5A!G128</f>
        <v>0</v>
      </c>
      <c r="H17" s="66">
        <f>A5A!H128</f>
        <v>0</v>
      </c>
      <c r="I17" s="64">
        <f>A5A!I128</f>
        <v>0</v>
      </c>
      <c r="J17" s="67">
        <f>A5A!J128</f>
        <v>0</v>
      </c>
      <c r="K17" s="65">
        <f>A5A!K128</f>
        <v>0</v>
      </c>
      <c r="L17" s="66">
        <f>A5A!L128</f>
        <v>0</v>
      </c>
      <c r="M17" s="158"/>
    </row>
    <row r="18" spans="1:13" ht="11.25" hidden="1" customHeight="1" x14ac:dyDescent="0.25">
      <c r="A18" s="63" t="str">
        <f>A5A!A139</f>
        <v>Vote 13 - [NAME OF VOTE 13]</v>
      </c>
      <c r="B18" s="55"/>
      <c r="C18" s="65">
        <f>A5A!C139</f>
        <v>0</v>
      </c>
      <c r="D18" s="65">
        <f>A5A!D139</f>
        <v>0</v>
      </c>
      <c r="E18" s="64">
        <f>A5A!E139</f>
        <v>0</v>
      </c>
      <c r="F18" s="67">
        <f>A5A!F139</f>
        <v>0</v>
      </c>
      <c r="G18" s="65">
        <f>A5A!G139</f>
        <v>0</v>
      </c>
      <c r="H18" s="66">
        <f>A5A!H139</f>
        <v>0</v>
      </c>
      <c r="I18" s="64">
        <f>A5A!I139</f>
        <v>0</v>
      </c>
      <c r="J18" s="67">
        <f>A5A!J139</f>
        <v>0</v>
      </c>
      <c r="K18" s="65">
        <f>A5A!K139</f>
        <v>0</v>
      </c>
      <c r="L18" s="66">
        <f>A5A!L139</f>
        <v>0</v>
      </c>
      <c r="M18" s="158"/>
    </row>
    <row r="19" spans="1:13" ht="11.25" hidden="1" customHeight="1" x14ac:dyDescent="0.25">
      <c r="A19" s="63" t="str">
        <f>A5A!A150</f>
        <v>Vote 14 - [NAME OF VOTE 14]</v>
      </c>
      <c r="B19" s="55"/>
      <c r="C19" s="65">
        <f>A5A!C150</f>
        <v>0</v>
      </c>
      <c r="D19" s="65">
        <f>A5A!D150</f>
        <v>0</v>
      </c>
      <c r="E19" s="64">
        <f>A5A!E150</f>
        <v>0</v>
      </c>
      <c r="F19" s="67">
        <f>A5A!F150</f>
        <v>0</v>
      </c>
      <c r="G19" s="65">
        <f>A5A!G150</f>
        <v>0</v>
      </c>
      <c r="H19" s="66">
        <f>A5A!H150</f>
        <v>0</v>
      </c>
      <c r="I19" s="64">
        <f>A5A!I150</f>
        <v>0</v>
      </c>
      <c r="J19" s="67">
        <f>A5A!J150</f>
        <v>0</v>
      </c>
      <c r="K19" s="65">
        <f>A5A!K150</f>
        <v>0</v>
      </c>
      <c r="L19" s="66">
        <f>A5A!L150</f>
        <v>0</v>
      </c>
      <c r="M19" s="158"/>
    </row>
    <row r="20" spans="1:13" ht="11.25" hidden="1" customHeight="1" x14ac:dyDescent="0.25">
      <c r="A20" s="63" t="str">
        <f>A5A!A161</f>
        <v>Vote 15 - [NAME OF VOTE 15]</v>
      </c>
      <c r="B20" s="55"/>
      <c r="C20" s="65">
        <f>A5A!C161</f>
        <v>0</v>
      </c>
      <c r="D20" s="65">
        <f>A5A!D161</f>
        <v>0</v>
      </c>
      <c r="E20" s="64">
        <f>A5A!E161</f>
        <v>0</v>
      </c>
      <c r="F20" s="67">
        <f>A5A!F161</f>
        <v>0</v>
      </c>
      <c r="G20" s="65">
        <f>A5A!G161</f>
        <v>0</v>
      </c>
      <c r="H20" s="66">
        <f>A5A!H161</f>
        <v>0</v>
      </c>
      <c r="I20" s="64">
        <f>A5A!I161</f>
        <v>0</v>
      </c>
      <c r="J20" s="67">
        <f>A5A!J161</f>
        <v>0</v>
      </c>
      <c r="K20" s="65">
        <f>A5A!K161</f>
        <v>0</v>
      </c>
      <c r="L20" s="66">
        <f>A5A!L161</f>
        <v>0</v>
      </c>
      <c r="M20" s="158"/>
    </row>
    <row r="21" spans="1:13" hidden="1" x14ac:dyDescent="0.25">
      <c r="A21" s="70" t="s">
        <v>169</v>
      </c>
      <c r="B21" s="55">
        <v>7</v>
      </c>
      <c r="C21" s="71">
        <f>SUM(C6:C20)</f>
        <v>0</v>
      </c>
      <c r="D21" s="71">
        <f t="shared" ref="D21:L21" si="0">SUM(D6:D20)</f>
        <v>0</v>
      </c>
      <c r="E21" s="80">
        <f t="shared" si="0"/>
        <v>0</v>
      </c>
      <c r="F21" s="83">
        <f t="shared" si="0"/>
        <v>0</v>
      </c>
      <c r="G21" s="81">
        <f t="shared" si="0"/>
        <v>0</v>
      </c>
      <c r="H21" s="82">
        <f>SUM(H6:H20)</f>
        <v>0</v>
      </c>
      <c r="I21" s="80">
        <f t="shared" si="0"/>
        <v>0</v>
      </c>
      <c r="J21" s="83">
        <f t="shared" si="0"/>
        <v>0</v>
      </c>
      <c r="K21" s="81">
        <f t="shared" si="0"/>
        <v>0</v>
      </c>
      <c r="L21" s="82">
        <f t="shared" si="0"/>
        <v>0</v>
      </c>
    </row>
    <row r="22" spans="1:13" ht="4.9000000000000004" customHeight="1" x14ac:dyDescent="0.25">
      <c r="A22" s="74"/>
      <c r="B22" s="55"/>
      <c r="C22" s="76"/>
      <c r="D22" s="114"/>
      <c r="E22" s="75"/>
      <c r="F22" s="78"/>
      <c r="G22" s="76"/>
      <c r="H22" s="77"/>
      <c r="I22" s="75"/>
      <c r="J22" s="78"/>
      <c r="K22" s="76"/>
      <c r="L22" s="77"/>
    </row>
    <row r="23" spans="1:13" ht="11.25" customHeight="1" x14ac:dyDescent="0.25">
      <c r="A23" s="54" t="s">
        <v>911</v>
      </c>
      <c r="B23" s="55">
        <v>2</v>
      </c>
      <c r="C23" s="162"/>
      <c r="D23" s="162"/>
      <c r="E23" s="66"/>
      <c r="F23" s="67"/>
      <c r="G23" s="65"/>
      <c r="H23" s="66"/>
      <c r="I23" s="64"/>
      <c r="J23" s="67"/>
      <c r="K23" s="65"/>
      <c r="L23" s="66"/>
    </row>
    <row r="24" spans="1:13" ht="11.25" customHeight="1" x14ac:dyDescent="0.25">
      <c r="A24" s="63" t="str">
        <f>A6</f>
        <v>Vote 1 - COUNCIL</v>
      </c>
      <c r="B24" s="55"/>
      <c r="C24" s="162">
        <f>A5A!C176</f>
        <v>0</v>
      </c>
      <c r="D24" s="162">
        <f>A5A!D176</f>
        <v>0</v>
      </c>
      <c r="E24" s="66">
        <f>A5A!E176</f>
        <v>0</v>
      </c>
      <c r="F24" s="67">
        <f>A5A!F176</f>
        <v>0</v>
      </c>
      <c r="G24" s="65">
        <f>A5A!G176</f>
        <v>0</v>
      </c>
      <c r="H24" s="66">
        <f>A5A!H176</f>
        <v>0</v>
      </c>
      <c r="I24" s="64">
        <f>A5A!I176</f>
        <v>0</v>
      </c>
      <c r="J24" s="67">
        <f>A5A!J176</f>
        <v>0</v>
      </c>
      <c r="K24" s="65">
        <f>A5A!K176</f>
        <v>0</v>
      </c>
      <c r="L24" s="66">
        <f>A5A!L176</f>
        <v>0</v>
      </c>
    </row>
    <row r="25" spans="1:13" ht="11.25" customHeight="1" x14ac:dyDescent="0.25">
      <c r="A25" s="63" t="str">
        <f t="shared" ref="A25:A37" si="1">A7</f>
        <v>Vote 2 - OFFICE OF THE MUNICIPAL MANAGER</v>
      </c>
      <c r="B25" s="55"/>
      <c r="C25" s="162">
        <f>A5A!C187</f>
        <v>0</v>
      </c>
      <c r="D25" s="162">
        <f>A5A!D187</f>
        <v>95754.71</v>
      </c>
      <c r="E25" s="66">
        <f>A5A!E187</f>
        <v>360510</v>
      </c>
      <c r="F25" s="67">
        <f>A5A!F187</f>
        <v>49600</v>
      </c>
      <c r="G25" s="65">
        <f>A5A!G187</f>
        <v>32600</v>
      </c>
      <c r="H25" s="66">
        <f>A5A!H187</f>
        <v>32600</v>
      </c>
      <c r="I25" s="64">
        <f>A5A!I187</f>
        <v>32600</v>
      </c>
      <c r="J25" s="67">
        <f>A5A!J187</f>
        <v>0</v>
      </c>
      <c r="K25" s="65">
        <f>A5A!K187</f>
        <v>0</v>
      </c>
      <c r="L25" s="66">
        <f>A5A!L187</f>
        <v>0</v>
      </c>
    </row>
    <row r="26" spans="1:13" ht="11.25" customHeight="1" x14ac:dyDescent="0.25">
      <c r="A26" s="63" t="str">
        <f t="shared" si="1"/>
        <v>Vote 3 - FINANCIAL SERVICES</v>
      </c>
      <c r="B26" s="55"/>
      <c r="C26" s="162">
        <f>A5A!C198</f>
        <v>0</v>
      </c>
      <c r="D26" s="162">
        <f>A5A!D198</f>
        <v>323887</v>
      </c>
      <c r="E26" s="66">
        <f>A5A!E198</f>
        <v>1004683</v>
      </c>
      <c r="F26" s="67">
        <f>A5A!F198</f>
        <v>0</v>
      </c>
      <c r="G26" s="65">
        <f>A5A!G198</f>
        <v>6431400</v>
      </c>
      <c r="H26" s="66">
        <f>A5A!H198</f>
        <v>6431400</v>
      </c>
      <c r="I26" s="64">
        <f>A5A!I198</f>
        <v>6431400</v>
      </c>
      <c r="J26" s="67">
        <f>A5A!J198</f>
        <v>0</v>
      </c>
      <c r="K26" s="65">
        <f>A5A!K198</f>
        <v>0</v>
      </c>
      <c r="L26" s="66">
        <f>A5A!L198</f>
        <v>0</v>
      </c>
    </row>
    <row r="27" spans="1:13" ht="11.25" customHeight="1" x14ac:dyDescent="0.25">
      <c r="A27" s="63" t="str">
        <f t="shared" si="1"/>
        <v>Vote 4 - CORPORATE SERVICES</v>
      </c>
      <c r="B27" s="55"/>
      <c r="C27" s="162">
        <f>A5A!C209</f>
        <v>0</v>
      </c>
      <c r="D27" s="162">
        <f>A5A!D209</f>
        <v>238342</v>
      </c>
      <c r="E27" s="66">
        <f>A5A!E209</f>
        <v>12328</v>
      </c>
      <c r="F27" s="67">
        <f>A5A!F209</f>
        <v>0</v>
      </c>
      <c r="G27" s="65">
        <f>A5A!G209</f>
        <v>0</v>
      </c>
      <c r="H27" s="66">
        <f>A5A!H209</f>
        <v>0</v>
      </c>
      <c r="I27" s="64">
        <f>A5A!I209</f>
        <v>0</v>
      </c>
      <c r="J27" s="67">
        <f>A5A!J209</f>
        <v>0</v>
      </c>
      <c r="K27" s="65">
        <f>A5A!K209</f>
        <v>0</v>
      </c>
      <c r="L27" s="66">
        <f>A5A!L209</f>
        <v>0</v>
      </c>
    </row>
    <row r="28" spans="1:13" ht="11.25" customHeight="1" x14ac:dyDescent="0.25">
      <c r="A28" s="63" t="str">
        <f t="shared" si="1"/>
        <v>Vote 5 - INFRASTRUCTURE SERVICES</v>
      </c>
      <c r="B28" s="55"/>
      <c r="C28" s="162">
        <f>A5A!C220</f>
        <v>0</v>
      </c>
      <c r="D28" s="162">
        <f>A5A!D220</f>
        <v>60155317</v>
      </c>
      <c r="E28" s="66">
        <f>A5A!E220</f>
        <v>45447719</v>
      </c>
      <c r="F28" s="67">
        <f>A5A!F220</f>
        <v>38883897</v>
      </c>
      <c r="G28" s="65">
        <f>A5A!G220</f>
        <v>48633133</v>
      </c>
      <c r="H28" s="66">
        <f>A5A!H220</f>
        <v>48633133</v>
      </c>
      <c r="I28" s="64">
        <f>A5A!I220</f>
        <v>48633133</v>
      </c>
      <c r="J28" s="67">
        <f>A5A!J220</f>
        <v>29550973</v>
      </c>
      <c r="K28" s="65">
        <f>A5A!K220</f>
        <v>33550141</v>
      </c>
      <c r="L28" s="66">
        <f>A5A!L220</f>
        <v>0</v>
      </c>
    </row>
    <row r="29" spans="1:13" ht="11.25" customHeight="1" x14ac:dyDescent="0.25">
      <c r="A29" s="63" t="str">
        <f t="shared" si="1"/>
        <v>Vote 6 - COMMUNITY SERVICES</v>
      </c>
      <c r="B29" s="55"/>
      <c r="C29" s="162">
        <f>A5A!C231</f>
        <v>0</v>
      </c>
      <c r="D29" s="162">
        <f>A5A!D231</f>
        <v>1636482</v>
      </c>
      <c r="E29" s="66">
        <f>A5A!E231</f>
        <v>6633787</v>
      </c>
      <c r="F29" s="67">
        <f>A5A!F231</f>
        <v>5950103</v>
      </c>
      <c r="G29" s="65">
        <f>A5A!G231</f>
        <v>5584756</v>
      </c>
      <c r="H29" s="66">
        <f>A5A!H231</f>
        <v>5584756</v>
      </c>
      <c r="I29" s="64">
        <f>A5A!I231</f>
        <v>5584756</v>
      </c>
      <c r="J29" s="67">
        <f>A5A!J231</f>
        <v>2896465.1</v>
      </c>
      <c r="K29" s="65">
        <f>A5A!K231</f>
        <v>16422359</v>
      </c>
      <c r="L29" s="66">
        <f>A5A!L231</f>
        <v>0</v>
      </c>
    </row>
    <row r="30" spans="1:13" ht="11.25" customHeight="1" x14ac:dyDescent="0.25">
      <c r="A30" s="63" t="str">
        <f t="shared" si="1"/>
        <v>Vote 7 - [NAME OF VOTE 7]</v>
      </c>
      <c r="B30" s="55"/>
      <c r="C30" s="162">
        <f>A5A!C243</f>
        <v>0</v>
      </c>
      <c r="D30" s="162">
        <f>A5A!D243</f>
        <v>0</v>
      </c>
      <c r="E30" s="66">
        <f>A5A!E243</f>
        <v>0</v>
      </c>
      <c r="F30" s="67">
        <f>A5A!F243</f>
        <v>0</v>
      </c>
      <c r="G30" s="65">
        <f>A5A!G243</f>
        <v>0</v>
      </c>
      <c r="H30" s="66">
        <f>A5A!H243</f>
        <v>0</v>
      </c>
      <c r="I30" s="64">
        <f>A5A!I243</f>
        <v>0</v>
      </c>
      <c r="J30" s="67">
        <f>A5A!J243</f>
        <v>0</v>
      </c>
      <c r="K30" s="65">
        <f>A5A!K243</f>
        <v>0</v>
      </c>
      <c r="L30" s="66">
        <f>A5A!L243</f>
        <v>0</v>
      </c>
    </row>
    <row r="31" spans="1:13" ht="11.25" customHeight="1" x14ac:dyDescent="0.25">
      <c r="A31" s="63" t="str">
        <f t="shared" si="1"/>
        <v>Vote 8 - [NAME OF VOTE 8]</v>
      </c>
      <c r="B31" s="55"/>
      <c r="C31" s="162">
        <f>A5A!C254</f>
        <v>0</v>
      </c>
      <c r="D31" s="162">
        <f>A5A!D254</f>
        <v>0</v>
      </c>
      <c r="E31" s="66">
        <f>A5A!E254</f>
        <v>0</v>
      </c>
      <c r="F31" s="67">
        <f>A5A!F254</f>
        <v>0</v>
      </c>
      <c r="G31" s="65">
        <f>A5A!G254</f>
        <v>0</v>
      </c>
      <c r="H31" s="66">
        <f>A5A!H254</f>
        <v>0</v>
      </c>
      <c r="I31" s="64">
        <f>A5A!I254</f>
        <v>0</v>
      </c>
      <c r="J31" s="67">
        <f>A5A!J254</f>
        <v>0</v>
      </c>
      <c r="K31" s="65">
        <f>A5A!K254</f>
        <v>0</v>
      </c>
      <c r="L31" s="66">
        <f>A5A!L254</f>
        <v>0</v>
      </c>
    </row>
    <row r="32" spans="1:13" ht="11.25" customHeight="1" x14ac:dyDescent="0.25">
      <c r="A32" s="63" t="str">
        <f t="shared" si="1"/>
        <v>Vote 9 - [NAME OF VOTE 9]</v>
      </c>
      <c r="B32" s="55"/>
      <c r="C32" s="162">
        <f>A5A!C265</f>
        <v>0</v>
      </c>
      <c r="D32" s="162">
        <f>A5A!D265</f>
        <v>0</v>
      </c>
      <c r="E32" s="66">
        <f>A5A!E265</f>
        <v>0</v>
      </c>
      <c r="F32" s="67">
        <f>A5A!F265</f>
        <v>0</v>
      </c>
      <c r="G32" s="65">
        <f>A5A!G265</f>
        <v>0</v>
      </c>
      <c r="H32" s="66">
        <f>A5A!H265</f>
        <v>0</v>
      </c>
      <c r="I32" s="64">
        <f>A5A!I265</f>
        <v>0</v>
      </c>
      <c r="J32" s="67">
        <f>A5A!J265</f>
        <v>0</v>
      </c>
      <c r="K32" s="65">
        <f>A5A!K265</f>
        <v>0</v>
      </c>
      <c r="L32" s="66">
        <f>A5A!L265</f>
        <v>0</v>
      </c>
    </row>
    <row r="33" spans="1:18" ht="11.25" customHeight="1" x14ac:dyDescent="0.25">
      <c r="A33" s="63" t="str">
        <f t="shared" si="1"/>
        <v>Vote 10 - [NAME OF VOTE 10]</v>
      </c>
      <c r="B33" s="55"/>
      <c r="C33" s="162">
        <f>A5A!C276</f>
        <v>0</v>
      </c>
      <c r="D33" s="162">
        <f>A5A!D276</f>
        <v>0</v>
      </c>
      <c r="E33" s="66">
        <f>A5A!E276</f>
        <v>0</v>
      </c>
      <c r="F33" s="67">
        <f>A5A!F276</f>
        <v>0</v>
      </c>
      <c r="G33" s="65">
        <f>A5A!G276</f>
        <v>0</v>
      </c>
      <c r="H33" s="66">
        <f>A5A!H276</f>
        <v>0</v>
      </c>
      <c r="I33" s="64">
        <f>A5A!I276</f>
        <v>0</v>
      </c>
      <c r="J33" s="67">
        <f>A5A!J276</f>
        <v>0</v>
      </c>
      <c r="K33" s="65">
        <f>A5A!K276</f>
        <v>0</v>
      </c>
      <c r="L33" s="66">
        <f>A5A!L276</f>
        <v>0</v>
      </c>
    </row>
    <row r="34" spans="1:18" ht="11.25" customHeight="1" x14ac:dyDescent="0.25">
      <c r="A34" s="63" t="str">
        <f t="shared" si="1"/>
        <v>Vote 11 - [NAME OF VOTE 11]</v>
      </c>
      <c r="B34" s="55"/>
      <c r="C34" s="162">
        <f>A5A!C287</f>
        <v>0</v>
      </c>
      <c r="D34" s="162">
        <f>A5A!D287</f>
        <v>0</v>
      </c>
      <c r="E34" s="66">
        <f>A5A!E287</f>
        <v>0</v>
      </c>
      <c r="F34" s="67">
        <f>A5A!F287</f>
        <v>0</v>
      </c>
      <c r="G34" s="65">
        <f>A5A!G287</f>
        <v>0</v>
      </c>
      <c r="H34" s="66">
        <f>A5A!H287</f>
        <v>0</v>
      </c>
      <c r="I34" s="64">
        <f>A5A!I287</f>
        <v>0</v>
      </c>
      <c r="J34" s="67">
        <f>A5A!J287</f>
        <v>0</v>
      </c>
      <c r="K34" s="65">
        <f>A5A!K287</f>
        <v>0</v>
      </c>
      <c r="L34" s="66">
        <f>A5A!L287</f>
        <v>0</v>
      </c>
    </row>
    <row r="35" spans="1:18" ht="11.25" customHeight="1" x14ac:dyDescent="0.25">
      <c r="A35" s="63" t="str">
        <f t="shared" si="1"/>
        <v>Vote 12 - [NAME OF VOTE 12]</v>
      </c>
      <c r="B35" s="55"/>
      <c r="C35" s="162">
        <f>A5A!C298</f>
        <v>0</v>
      </c>
      <c r="D35" s="162">
        <f>A5A!D298</f>
        <v>0</v>
      </c>
      <c r="E35" s="66">
        <f>A5A!E298</f>
        <v>0</v>
      </c>
      <c r="F35" s="67">
        <f>A5A!F298</f>
        <v>0</v>
      </c>
      <c r="G35" s="65">
        <f>A5A!G298</f>
        <v>0</v>
      </c>
      <c r="H35" s="66">
        <f>A5A!H298</f>
        <v>0</v>
      </c>
      <c r="I35" s="64">
        <f>A5A!I298</f>
        <v>0</v>
      </c>
      <c r="J35" s="67">
        <f>A5A!J298</f>
        <v>0</v>
      </c>
      <c r="K35" s="65">
        <f>A5A!K298</f>
        <v>0</v>
      </c>
      <c r="L35" s="66">
        <f>A5A!L298</f>
        <v>0</v>
      </c>
    </row>
    <row r="36" spans="1:18" ht="11.25" customHeight="1" x14ac:dyDescent="0.25">
      <c r="A36" s="63" t="str">
        <f t="shared" si="1"/>
        <v>Vote 13 - [NAME OF VOTE 13]</v>
      </c>
      <c r="B36" s="55"/>
      <c r="C36" s="162">
        <f>A5A!C309</f>
        <v>0</v>
      </c>
      <c r="D36" s="162">
        <f>A5A!D309</f>
        <v>0</v>
      </c>
      <c r="E36" s="66">
        <f>A5A!E309</f>
        <v>0</v>
      </c>
      <c r="F36" s="67">
        <f>A5A!F309</f>
        <v>0</v>
      </c>
      <c r="G36" s="65">
        <f>A5A!G309</f>
        <v>0</v>
      </c>
      <c r="H36" s="66">
        <f>A5A!H309</f>
        <v>0</v>
      </c>
      <c r="I36" s="64">
        <f>A5A!I309</f>
        <v>0</v>
      </c>
      <c r="J36" s="67">
        <f>A5A!J309</f>
        <v>0</v>
      </c>
      <c r="K36" s="65">
        <f>A5A!K309</f>
        <v>0</v>
      </c>
      <c r="L36" s="66">
        <f>A5A!L309</f>
        <v>0</v>
      </c>
    </row>
    <row r="37" spans="1:18" ht="11.25" customHeight="1" x14ac:dyDescent="0.25">
      <c r="A37" s="63" t="str">
        <f t="shared" si="1"/>
        <v>Vote 14 - [NAME OF VOTE 14]</v>
      </c>
      <c r="B37" s="55"/>
      <c r="C37" s="162">
        <f>A5A!C320</f>
        <v>0</v>
      </c>
      <c r="D37" s="162">
        <f>A5A!D320</f>
        <v>0</v>
      </c>
      <c r="E37" s="66">
        <f>A5A!E320</f>
        <v>0</v>
      </c>
      <c r="F37" s="67">
        <f>A5A!F320</f>
        <v>0</v>
      </c>
      <c r="G37" s="65">
        <f>A5A!G320</f>
        <v>0</v>
      </c>
      <c r="H37" s="66">
        <f>A5A!H320</f>
        <v>0</v>
      </c>
      <c r="I37" s="64">
        <f>A5A!I320</f>
        <v>0</v>
      </c>
      <c r="J37" s="67">
        <f>A5A!J320</f>
        <v>0</v>
      </c>
      <c r="K37" s="65">
        <f>A5A!K320</f>
        <v>0</v>
      </c>
      <c r="L37" s="66">
        <f>A5A!L320</f>
        <v>0</v>
      </c>
    </row>
    <row r="38" spans="1:18" ht="11.25" customHeight="1" x14ac:dyDescent="0.25">
      <c r="A38" s="63" t="str">
        <f>A20</f>
        <v>Vote 15 - [NAME OF VOTE 15]</v>
      </c>
      <c r="B38" s="55"/>
      <c r="C38" s="162">
        <f>A5A!C331</f>
        <v>0</v>
      </c>
      <c r="D38" s="162">
        <f>A5A!D331</f>
        <v>0</v>
      </c>
      <c r="E38" s="66">
        <f>A5A!E331</f>
        <v>0</v>
      </c>
      <c r="F38" s="67">
        <f>A5A!F331</f>
        <v>0</v>
      </c>
      <c r="G38" s="65">
        <f>A5A!G331</f>
        <v>0</v>
      </c>
      <c r="H38" s="66">
        <f>A5A!H331</f>
        <v>0</v>
      </c>
      <c r="I38" s="64">
        <f>A5A!I331</f>
        <v>0</v>
      </c>
      <c r="J38" s="67">
        <f>A5A!J331</f>
        <v>0</v>
      </c>
      <c r="K38" s="65">
        <f>A5A!K331</f>
        <v>0</v>
      </c>
      <c r="L38" s="66">
        <f>A5A!L331</f>
        <v>0</v>
      </c>
    </row>
    <row r="39" spans="1:18" ht="11.25" customHeight="1" x14ac:dyDescent="0.25">
      <c r="A39" s="118" t="s">
        <v>1175</v>
      </c>
      <c r="B39" s="55"/>
      <c r="C39" s="778">
        <f>SUM(C24:C38)</f>
        <v>0</v>
      </c>
      <c r="D39" s="778">
        <f t="shared" ref="D39:L39" si="2">SUM(D24:D38)</f>
        <v>62449782.710000001</v>
      </c>
      <c r="E39" s="719">
        <f t="shared" si="2"/>
        <v>53459027</v>
      </c>
      <c r="F39" s="720">
        <f t="shared" si="2"/>
        <v>44883600</v>
      </c>
      <c r="G39" s="71">
        <f t="shared" si="2"/>
        <v>60681889</v>
      </c>
      <c r="H39" s="719">
        <f t="shared" si="2"/>
        <v>60681889</v>
      </c>
      <c r="I39" s="721">
        <f t="shared" si="2"/>
        <v>60681889</v>
      </c>
      <c r="J39" s="720">
        <f t="shared" si="2"/>
        <v>32447438.100000001</v>
      </c>
      <c r="K39" s="71">
        <f t="shared" si="2"/>
        <v>49972500</v>
      </c>
      <c r="L39" s="719">
        <f t="shared" si="2"/>
        <v>0</v>
      </c>
    </row>
    <row r="40" spans="1:18" x14ac:dyDescent="0.25">
      <c r="A40" s="92" t="s">
        <v>912</v>
      </c>
      <c r="B40" s="93"/>
      <c r="C40" s="163">
        <f>C39+C21</f>
        <v>0</v>
      </c>
      <c r="D40" s="163">
        <f t="shared" ref="D40:L40" si="3">D39+D21</f>
        <v>62449782.710000001</v>
      </c>
      <c r="E40" s="164">
        <f t="shared" si="3"/>
        <v>53459027</v>
      </c>
      <c r="F40" s="165">
        <f t="shared" si="3"/>
        <v>44883600</v>
      </c>
      <c r="G40" s="166">
        <f t="shared" si="3"/>
        <v>60681889</v>
      </c>
      <c r="H40" s="164">
        <f t="shared" si="3"/>
        <v>60681889</v>
      </c>
      <c r="I40" s="167">
        <f t="shared" si="3"/>
        <v>60681889</v>
      </c>
      <c r="J40" s="165">
        <f t="shared" si="3"/>
        <v>32447438.100000001</v>
      </c>
      <c r="K40" s="166">
        <f t="shared" si="3"/>
        <v>49972500</v>
      </c>
      <c r="L40" s="164">
        <f t="shared" si="3"/>
        <v>0</v>
      </c>
    </row>
    <row r="41" spans="1:18" ht="4.9000000000000004" customHeight="1" x14ac:dyDescent="0.25">
      <c r="A41" s="74"/>
      <c r="B41" s="55"/>
      <c r="C41" s="162"/>
      <c r="D41" s="162"/>
      <c r="E41" s="66"/>
      <c r="F41" s="67"/>
      <c r="G41" s="65"/>
      <c r="H41" s="66"/>
      <c r="I41" s="64"/>
      <c r="J41" s="67"/>
      <c r="K41" s="65"/>
      <c r="L41" s="66"/>
    </row>
    <row r="42" spans="1:18" ht="11.25" customHeight="1" x14ac:dyDescent="0.25">
      <c r="A42" s="54" t="s">
        <v>2487</v>
      </c>
      <c r="B42" s="55"/>
      <c r="C42" s="162"/>
      <c r="D42" s="162"/>
      <c r="E42" s="66"/>
      <c r="F42" s="67"/>
      <c r="G42" s="65"/>
      <c r="H42" s="66"/>
      <c r="I42" s="64"/>
      <c r="J42" s="718"/>
      <c r="K42" s="65"/>
      <c r="L42" s="729"/>
    </row>
    <row r="43" spans="1:18" ht="11.25" customHeight="1" x14ac:dyDescent="0.25">
      <c r="A43" s="728" t="s">
        <v>999</v>
      </c>
      <c r="B43" s="55"/>
      <c r="C43" s="86">
        <f>SUM(C44:C46)</f>
        <v>0</v>
      </c>
      <c r="D43" s="86">
        <f t="shared" ref="D43:L43" si="4">SUM(D44:D46)</f>
        <v>657983.71</v>
      </c>
      <c r="E43" s="823">
        <f t="shared" si="4"/>
        <v>1377521</v>
      </c>
      <c r="F43" s="89">
        <f t="shared" si="4"/>
        <v>49600</v>
      </c>
      <c r="G43" s="86">
        <f t="shared" si="4"/>
        <v>6450000</v>
      </c>
      <c r="H43" s="392">
        <f t="shared" si="4"/>
        <v>6450000</v>
      </c>
      <c r="I43" s="85">
        <f t="shared" si="4"/>
        <v>6450000</v>
      </c>
      <c r="J43" s="89">
        <f t="shared" si="4"/>
        <v>0</v>
      </c>
      <c r="K43" s="86">
        <f t="shared" si="4"/>
        <v>0</v>
      </c>
      <c r="L43" s="392">
        <f t="shared" si="4"/>
        <v>0</v>
      </c>
      <c r="Q43" s="111"/>
      <c r="R43" s="112"/>
    </row>
    <row r="44" spans="1:18" ht="11.25" customHeight="1" x14ac:dyDescent="0.25">
      <c r="A44" s="187" t="s">
        <v>120</v>
      </c>
      <c r="B44" s="55"/>
      <c r="C44" s="1316"/>
      <c r="D44" s="1316">
        <v>95754.71</v>
      </c>
      <c r="E44" s="1325">
        <v>360510</v>
      </c>
      <c r="F44" s="1326"/>
      <c r="G44" s="1316">
        <v>0</v>
      </c>
      <c r="H44" s="1327">
        <v>0</v>
      </c>
      <c r="I44" s="1326">
        <v>0</v>
      </c>
      <c r="J44" s="1318"/>
      <c r="K44" s="1316"/>
      <c r="L44" s="1319"/>
      <c r="Q44" s="111"/>
      <c r="R44" s="112"/>
    </row>
    <row r="45" spans="1:18" ht="11.25" customHeight="1" x14ac:dyDescent="0.25">
      <c r="A45" s="187" t="s">
        <v>2412</v>
      </c>
      <c r="B45" s="55"/>
      <c r="C45" s="1329"/>
      <c r="D45" s="1329">
        <f>323887+238342</f>
        <v>562229</v>
      </c>
      <c r="E45" s="1332">
        <f>1004683+12328</f>
        <v>1017011</v>
      </c>
      <c r="F45" s="1333">
        <v>8600</v>
      </c>
      <c r="G45" s="1329">
        <v>6440000</v>
      </c>
      <c r="H45" s="1334">
        <v>6440000</v>
      </c>
      <c r="I45" s="1333">
        <v>6440000</v>
      </c>
      <c r="J45" s="1335"/>
      <c r="K45" s="1329"/>
      <c r="L45" s="1330"/>
      <c r="Q45" s="111"/>
      <c r="R45" s="112"/>
    </row>
    <row r="46" spans="1:18" ht="11.25" customHeight="1" x14ac:dyDescent="0.25">
      <c r="A46" s="187" t="s">
        <v>2408</v>
      </c>
      <c r="B46" s="55"/>
      <c r="C46" s="1316"/>
      <c r="D46" s="1316"/>
      <c r="E46" s="1325"/>
      <c r="F46" s="1326">
        <v>41000</v>
      </c>
      <c r="G46" s="1316">
        <v>10000</v>
      </c>
      <c r="H46" s="1327">
        <v>10000</v>
      </c>
      <c r="I46" s="1326">
        <v>10000</v>
      </c>
      <c r="J46" s="1318"/>
      <c r="K46" s="1316"/>
      <c r="L46" s="1319"/>
      <c r="Q46" s="111"/>
      <c r="R46" s="112"/>
    </row>
    <row r="47" spans="1:18" ht="11.25" customHeight="1" x14ac:dyDescent="0.25">
      <c r="A47" s="728" t="s">
        <v>123</v>
      </c>
      <c r="B47" s="55"/>
      <c r="C47" s="86">
        <f>SUM(C48:C52)</f>
        <v>0</v>
      </c>
      <c r="D47" s="86">
        <f t="shared" ref="D47:L47" si="5">SUM(D48:D52)</f>
        <v>157672</v>
      </c>
      <c r="E47" s="87">
        <f t="shared" si="5"/>
        <v>1428957</v>
      </c>
      <c r="F47" s="88">
        <f t="shared" si="5"/>
        <v>2486103</v>
      </c>
      <c r="G47" s="86">
        <f t="shared" si="5"/>
        <v>5467206</v>
      </c>
      <c r="H47" s="85">
        <f t="shared" si="5"/>
        <v>5467206</v>
      </c>
      <c r="I47" s="88">
        <f t="shared" si="5"/>
        <v>5467206</v>
      </c>
      <c r="J47" s="89">
        <f t="shared" si="5"/>
        <v>0</v>
      </c>
      <c r="K47" s="86">
        <f t="shared" si="5"/>
        <v>10000000</v>
      </c>
      <c r="L47" s="392">
        <f t="shared" si="5"/>
        <v>0</v>
      </c>
      <c r="Q47" s="111"/>
      <c r="R47" s="112"/>
    </row>
    <row r="48" spans="1:18" ht="11.25" customHeight="1" x14ac:dyDescent="0.25">
      <c r="A48" s="187" t="s">
        <v>124</v>
      </c>
      <c r="B48" s="55"/>
      <c r="C48" s="1316"/>
      <c r="D48" s="1316"/>
      <c r="E48" s="1325"/>
      <c r="F48" s="1326"/>
      <c r="G48" s="1316">
        <v>300000</v>
      </c>
      <c r="H48" s="1327">
        <v>300000</v>
      </c>
      <c r="I48" s="1326">
        <v>300000</v>
      </c>
      <c r="J48" s="1318"/>
      <c r="K48" s="1316"/>
      <c r="L48" s="1319"/>
      <c r="Q48" s="111"/>
      <c r="R48" s="112"/>
    </row>
    <row r="49" spans="1:18" ht="11.25" customHeight="1" x14ac:dyDescent="0.25">
      <c r="A49" s="187" t="s">
        <v>125</v>
      </c>
      <c r="B49" s="55"/>
      <c r="C49" s="1316"/>
      <c r="D49" s="1316">
        <v>157672</v>
      </c>
      <c r="E49" s="1325">
        <v>1371961</v>
      </c>
      <c r="F49" s="1326">
        <v>2486103</v>
      </c>
      <c r="G49" s="1316">
        <v>4972206</v>
      </c>
      <c r="H49" s="1327">
        <v>4972206</v>
      </c>
      <c r="I49" s="1326">
        <v>4972206</v>
      </c>
      <c r="J49" s="1318">
        <f>A5A!J233</f>
        <v>0</v>
      </c>
      <c r="K49" s="1318">
        <f>A5A!K233</f>
        <v>10000000</v>
      </c>
      <c r="L49" s="1318">
        <f>A5A!L233</f>
        <v>0</v>
      </c>
      <c r="Q49" s="111"/>
      <c r="R49" s="112"/>
    </row>
    <row r="50" spans="1:18" ht="11.25" customHeight="1" x14ac:dyDescent="0.25">
      <c r="A50" s="187" t="s">
        <v>126</v>
      </c>
      <c r="B50" s="55"/>
      <c r="C50" s="1316"/>
      <c r="D50" s="1316"/>
      <c r="E50" s="1325">
        <v>56996</v>
      </c>
      <c r="F50" s="1326"/>
      <c r="G50" s="1316">
        <v>195000</v>
      </c>
      <c r="H50" s="1327">
        <v>195000</v>
      </c>
      <c r="I50" s="1326">
        <v>195000</v>
      </c>
      <c r="J50" s="1318"/>
      <c r="K50" s="1316"/>
      <c r="L50" s="1319"/>
      <c r="Q50" s="111"/>
      <c r="R50" s="112"/>
    </row>
    <row r="51" spans="1:18" ht="11.25" customHeight="1" x14ac:dyDescent="0.25">
      <c r="A51" s="187" t="s">
        <v>1513</v>
      </c>
      <c r="B51" s="55"/>
      <c r="C51" s="1316"/>
      <c r="D51" s="1316"/>
      <c r="E51" s="1325"/>
      <c r="F51" s="1326"/>
      <c r="G51" s="1316">
        <v>0</v>
      </c>
      <c r="H51" s="1327">
        <v>0</v>
      </c>
      <c r="I51" s="1326">
        <v>0</v>
      </c>
      <c r="J51" s="1318"/>
      <c r="K51" s="1316"/>
      <c r="L51" s="1319"/>
      <c r="Q51" s="111"/>
      <c r="R51" s="112"/>
    </row>
    <row r="52" spans="1:18" ht="11.25" customHeight="1" x14ac:dyDescent="0.25">
      <c r="A52" s="187" t="s">
        <v>1577</v>
      </c>
      <c r="B52" s="55"/>
      <c r="C52" s="1329"/>
      <c r="D52" s="1329"/>
      <c r="E52" s="1332"/>
      <c r="F52" s="1333"/>
      <c r="G52" s="1329">
        <v>0</v>
      </c>
      <c r="H52" s="1334">
        <v>0</v>
      </c>
      <c r="I52" s="1333">
        <v>0</v>
      </c>
      <c r="J52" s="1335"/>
      <c r="K52" s="1329"/>
      <c r="L52" s="1330"/>
      <c r="Q52" s="111"/>
      <c r="R52" s="112"/>
    </row>
    <row r="53" spans="1:18" ht="11.25" customHeight="1" x14ac:dyDescent="0.25">
      <c r="A53" s="728" t="s">
        <v>127</v>
      </c>
      <c r="B53" s="55"/>
      <c r="C53" s="86">
        <f>SUM(C54:C56)</f>
        <v>0</v>
      </c>
      <c r="D53" s="86">
        <f t="shared" ref="D53:L53" si="6">SUM(D54:D56)</f>
        <v>8261156</v>
      </c>
      <c r="E53" s="87">
        <f t="shared" si="6"/>
        <v>10285360</v>
      </c>
      <c r="F53" s="88">
        <f t="shared" si="6"/>
        <v>9168787</v>
      </c>
      <c r="G53" s="86">
        <f t="shared" si="6"/>
        <v>5426140</v>
      </c>
      <c r="H53" s="85">
        <f t="shared" si="6"/>
        <v>5426140</v>
      </c>
      <c r="I53" s="88">
        <f t="shared" si="6"/>
        <v>5426140</v>
      </c>
      <c r="J53" s="89">
        <f t="shared" si="6"/>
        <v>10300134</v>
      </c>
      <c r="K53" s="86">
        <f t="shared" si="6"/>
        <v>0</v>
      </c>
      <c r="L53" s="392">
        <f t="shared" si="6"/>
        <v>0</v>
      </c>
      <c r="Q53" s="111"/>
      <c r="R53" s="112"/>
    </row>
    <row r="54" spans="1:18" ht="11.25" customHeight="1" x14ac:dyDescent="0.25">
      <c r="A54" s="187" t="s">
        <v>128</v>
      </c>
      <c r="B54" s="55"/>
      <c r="C54" s="1316"/>
      <c r="D54" s="1316">
        <v>22408</v>
      </c>
      <c r="E54" s="1325">
        <v>268961</v>
      </c>
      <c r="F54" s="1326">
        <v>17600</v>
      </c>
      <c r="G54" s="1316">
        <v>31600</v>
      </c>
      <c r="H54" s="1327">
        <v>31600</v>
      </c>
      <c r="I54" s="1326">
        <v>31600</v>
      </c>
      <c r="J54" s="1318"/>
      <c r="K54" s="1316"/>
      <c r="L54" s="1319"/>
      <c r="Q54" s="111"/>
      <c r="R54" s="112"/>
    </row>
    <row r="55" spans="1:18" ht="11.25" customHeight="1" x14ac:dyDescent="0.25">
      <c r="A55" s="187" t="s">
        <v>129</v>
      </c>
      <c r="B55" s="55"/>
      <c r="C55" s="1316"/>
      <c r="D55" s="1316">
        <v>8238748</v>
      </c>
      <c r="E55" s="1325">
        <v>10016399</v>
      </c>
      <c r="F55" s="1326">
        <v>9151187</v>
      </c>
      <c r="G55" s="1316">
        <v>5394540</v>
      </c>
      <c r="H55" s="1327">
        <v>5394540</v>
      </c>
      <c r="I55" s="1326">
        <v>5394540</v>
      </c>
      <c r="J55" s="1318">
        <f>A5A!J223</f>
        <v>10300134</v>
      </c>
      <c r="K55" s="1318">
        <f>A5A!K223</f>
        <v>0</v>
      </c>
      <c r="L55" s="1318">
        <f>A5A!L223</f>
        <v>0</v>
      </c>
      <c r="Q55" s="111"/>
      <c r="R55" s="112"/>
    </row>
    <row r="56" spans="1:18" ht="11.25" customHeight="1" x14ac:dyDescent="0.25">
      <c r="A56" s="187" t="s">
        <v>130</v>
      </c>
      <c r="B56" s="55"/>
      <c r="C56" s="1316"/>
      <c r="D56" s="1316"/>
      <c r="E56" s="1325"/>
      <c r="F56" s="1326"/>
      <c r="G56" s="1316">
        <v>0</v>
      </c>
      <c r="H56" s="1327">
        <v>0</v>
      </c>
      <c r="I56" s="1326">
        <v>0</v>
      </c>
      <c r="J56" s="1318"/>
      <c r="K56" s="1316"/>
      <c r="L56" s="1319"/>
      <c r="Q56" s="111"/>
      <c r="R56" s="112"/>
    </row>
    <row r="57" spans="1:18" ht="11.25" customHeight="1" x14ac:dyDescent="0.25">
      <c r="A57" s="728" t="s">
        <v>131</v>
      </c>
      <c r="B57" s="55"/>
      <c r="C57" s="86">
        <f>SUM(C58:C61)</f>
        <v>0</v>
      </c>
      <c r="D57" s="86">
        <f t="shared" ref="D57:L57" si="7">SUM(D58:D61)</f>
        <v>53372971</v>
      </c>
      <c r="E57" s="87">
        <f t="shared" si="7"/>
        <v>40367189</v>
      </c>
      <c r="F57" s="88">
        <f t="shared" si="7"/>
        <v>33179110</v>
      </c>
      <c r="G57" s="86">
        <f t="shared" si="7"/>
        <v>43338543</v>
      </c>
      <c r="H57" s="85">
        <f t="shared" si="7"/>
        <v>43338543</v>
      </c>
      <c r="I57" s="88">
        <f t="shared" si="7"/>
        <v>43338543</v>
      </c>
      <c r="J57" s="89">
        <f t="shared" si="7"/>
        <v>22147304.100000001</v>
      </c>
      <c r="K57" s="86">
        <f t="shared" si="7"/>
        <v>39972500</v>
      </c>
      <c r="L57" s="392">
        <f t="shared" si="7"/>
        <v>0</v>
      </c>
      <c r="Q57" s="111"/>
      <c r="R57" s="112"/>
    </row>
    <row r="58" spans="1:18" ht="11.25" customHeight="1" x14ac:dyDescent="0.25">
      <c r="A58" s="187" t="s">
        <v>2409</v>
      </c>
      <c r="B58" s="55"/>
      <c r="C58" s="1316"/>
      <c r="D58" s="1316">
        <v>2772595</v>
      </c>
      <c r="E58" s="1325">
        <v>11085220</v>
      </c>
      <c r="F58" s="1326">
        <v>5102750</v>
      </c>
      <c r="G58" s="1316">
        <v>5032750</v>
      </c>
      <c r="H58" s="1327">
        <v>5032750</v>
      </c>
      <c r="I58" s="1326">
        <v>5032750</v>
      </c>
      <c r="J58" s="1318">
        <f>A5A!J225</f>
        <v>0</v>
      </c>
      <c r="K58" s="1318">
        <f>A5A!K225</f>
        <v>5500000</v>
      </c>
      <c r="L58" s="1318">
        <f>A5A!L225</f>
        <v>0</v>
      </c>
      <c r="Q58" s="111"/>
      <c r="R58" s="112"/>
    </row>
    <row r="59" spans="1:18" ht="11.25" customHeight="1" x14ac:dyDescent="0.25">
      <c r="A59" s="187" t="s">
        <v>2410</v>
      </c>
      <c r="B59" s="55"/>
      <c r="C59" s="1316"/>
      <c r="D59" s="1316">
        <v>2363741</v>
      </c>
      <c r="E59" s="1325">
        <v>14608261</v>
      </c>
      <c r="F59" s="1326">
        <v>24047849</v>
      </c>
      <c r="G59" s="1316">
        <v>37383732</v>
      </c>
      <c r="H59" s="1327">
        <v>37383732</v>
      </c>
      <c r="I59" s="1326">
        <v>37383732</v>
      </c>
      <c r="J59" s="1318">
        <f>A5A!J222</f>
        <v>19250839</v>
      </c>
      <c r="K59" s="1318">
        <f>A5A!K222</f>
        <v>28050141</v>
      </c>
      <c r="L59" s="1318">
        <f>A5A!L222</f>
        <v>0</v>
      </c>
      <c r="Q59" s="111"/>
      <c r="R59" s="112"/>
    </row>
    <row r="60" spans="1:18" ht="11.25" customHeight="1" x14ac:dyDescent="0.25">
      <c r="A60" s="187" t="s">
        <v>1001</v>
      </c>
      <c r="B60" s="55"/>
      <c r="C60" s="1329"/>
      <c r="D60" s="1329">
        <v>46757825</v>
      </c>
      <c r="E60" s="1332">
        <v>9468878</v>
      </c>
      <c r="F60" s="1333">
        <v>564511</v>
      </c>
      <c r="G60" s="1329">
        <v>804511</v>
      </c>
      <c r="H60" s="1334">
        <v>804511</v>
      </c>
      <c r="I60" s="1333">
        <v>804511</v>
      </c>
      <c r="J60" s="1335"/>
      <c r="K60" s="1329"/>
      <c r="L60" s="1330"/>
      <c r="Q60" s="111"/>
      <c r="R60" s="112"/>
    </row>
    <row r="61" spans="1:18" ht="11.25" customHeight="1" x14ac:dyDescent="0.25">
      <c r="A61" s="187" t="s">
        <v>1002</v>
      </c>
      <c r="B61" s="55"/>
      <c r="C61" s="1316"/>
      <c r="D61" s="1316">
        <v>1478810</v>
      </c>
      <c r="E61" s="1325">
        <v>5204830</v>
      </c>
      <c r="F61" s="1326">
        <v>3464000</v>
      </c>
      <c r="G61" s="1316">
        <v>117550</v>
      </c>
      <c r="H61" s="1327">
        <v>117550</v>
      </c>
      <c r="I61" s="1326">
        <v>117550</v>
      </c>
      <c r="J61" s="1318">
        <f>A5A!J241</f>
        <v>2896465.1</v>
      </c>
      <c r="K61" s="1318">
        <f>A5A!K241</f>
        <v>6422359</v>
      </c>
      <c r="L61" s="1318">
        <f>A5A!L241</f>
        <v>0</v>
      </c>
      <c r="Q61" s="111"/>
      <c r="R61" s="112"/>
    </row>
    <row r="62" spans="1:18" ht="11.25" customHeight="1" x14ac:dyDescent="0.25">
      <c r="A62" s="728" t="s">
        <v>246</v>
      </c>
      <c r="B62" s="55"/>
      <c r="C62" s="1340"/>
      <c r="D62" s="1340"/>
      <c r="E62" s="1341"/>
      <c r="F62" s="1342"/>
      <c r="G62" s="1340">
        <v>0</v>
      </c>
      <c r="H62" s="923">
        <v>0</v>
      </c>
      <c r="I62" s="1342">
        <v>0</v>
      </c>
      <c r="J62" s="1343"/>
      <c r="K62" s="1344"/>
      <c r="L62" s="1345"/>
      <c r="Q62" s="111"/>
      <c r="R62" s="112"/>
    </row>
    <row r="63" spans="1:18" x14ac:dyDescent="0.25">
      <c r="A63" s="168" t="s">
        <v>2488</v>
      </c>
      <c r="B63" s="93">
        <v>3</v>
      </c>
      <c r="C63" s="95">
        <f>C43+C47+C53+C57+C62</f>
        <v>0</v>
      </c>
      <c r="D63" s="95">
        <f t="shared" ref="D63:K63" si="8">D43+D47+D53+D57+D62</f>
        <v>62449782.710000001</v>
      </c>
      <c r="E63" s="96">
        <f t="shared" si="8"/>
        <v>53459027</v>
      </c>
      <c r="F63" s="97">
        <f t="shared" si="8"/>
        <v>44883600</v>
      </c>
      <c r="G63" s="95">
        <f t="shared" si="8"/>
        <v>60681889</v>
      </c>
      <c r="H63" s="96">
        <f t="shared" si="8"/>
        <v>60681889</v>
      </c>
      <c r="I63" s="94">
        <f t="shared" si="8"/>
        <v>60681889</v>
      </c>
      <c r="J63" s="97">
        <f t="shared" si="8"/>
        <v>32447438.100000001</v>
      </c>
      <c r="K63" s="95">
        <f t="shared" si="8"/>
        <v>49972500</v>
      </c>
      <c r="L63" s="96">
        <f>L43+L47+L53+L57+L62</f>
        <v>0</v>
      </c>
    </row>
    <row r="64" spans="1:18" ht="4.9000000000000004" customHeight="1" x14ac:dyDescent="0.25">
      <c r="A64" s="70"/>
      <c r="B64" s="55"/>
      <c r="C64" s="86"/>
      <c r="D64" s="86"/>
      <c r="E64" s="85"/>
      <c r="F64" s="88"/>
      <c r="G64" s="86"/>
      <c r="H64" s="87"/>
      <c r="I64" s="85"/>
      <c r="J64" s="88"/>
      <c r="K64" s="86"/>
      <c r="L64" s="87"/>
    </row>
    <row r="65" spans="1:13" ht="11.25" customHeight="1" x14ac:dyDescent="0.25">
      <c r="A65" s="54" t="s">
        <v>424</v>
      </c>
      <c r="B65" s="55"/>
      <c r="C65" s="76"/>
      <c r="D65" s="76"/>
      <c r="E65" s="75"/>
      <c r="F65" s="78"/>
      <c r="G65" s="76"/>
      <c r="H65" s="77"/>
      <c r="I65" s="75"/>
      <c r="J65" s="78"/>
      <c r="K65" s="76"/>
      <c r="L65" s="77"/>
    </row>
    <row r="66" spans="1:13" ht="11.25" customHeight="1" x14ac:dyDescent="0.25">
      <c r="A66" s="187" t="s">
        <v>1379</v>
      </c>
      <c r="B66" s="55"/>
      <c r="C66" s="1316"/>
      <c r="D66" s="1316">
        <v>62449782.710000001</v>
      </c>
      <c r="E66" s="1327">
        <v>53459027</v>
      </c>
      <c r="F66" s="1326">
        <v>33812250</v>
      </c>
      <c r="G66" s="1316">
        <v>50270139</v>
      </c>
      <c r="H66" s="1325">
        <v>50270139</v>
      </c>
      <c r="I66" s="1327">
        <v>50270139</v>
      </c>
      <c r="J66" s="1326">
        <f>J63</f>
        <v>32447438.100000001</v>
      </c>
      <c r="K66" s="1316">
        <f>K63</f>
        <v>49972500</v>
      </c>
      <c r="L66" s="1325"/>
    </row>
    <row r="67" spans="1:13" ht="11.25" customHeight="1" x14ac:dyDescent="0.25">
      <c r="A67" s="187" t="s">
        <v>472</v>
      </c>
      <c r="B67" s="55"/>
      <c r="C67" s="1329"/>
      <c r="D67" s="1316"/>
      <c r="E67" s="1327"/>
      <c r="F67" s="1326">
        <v>9750000</v>
      </c>
      <c r="G67" s="1316">
        <v>9750000</v>
      </c>
      <c r="H67" s="1325">
        <v>9750000</v>
      </c>
      <c r="I67" s="1327">
        <v>9750000</v>
      </c>
      <c r="J67" s="1326"/>
      <c r="K67" s="1316"/>
      <c r="L67" s="1325"/>
    </row>
    <row r="68" spans="1:13" ht="11.25" customHeight="1" x14ac:dyDescent="0.25">
      <c r="A68" s="187" t="s">
        <v>473</v>
      </c>
      <c r="B68" s="55"/>
      <c r="C68" s="1329"/>
      <c r="D68" s="1329"/>
      <c r="E68" s="1329"/>
      <c r="F68" s="1333"/>
      <c r="G68" s="1329">
        <v>0</v>
      </c>
      <c r="H68" s="1332">
        <v>0</v>
      </c>
      <c r="I68" s="1327">
        <v>0</v>
      </c>
      <c r="J68" s="1333"/>
      <c r="K68" s="1329"/>
      <c r="L68" s="1332"/>
    </row>
    <row r="69" spans="1:13" ht="11.25" customHeight="1" x14ac:dyDescent="0.25">
      <c r="A69" s="187" t="s">
        <v>913</v>
      </c>
      <c r="B69" s="55"/>
      <c r="C69" s="1329"/>
      <c r="D69" s="1329"/>
      <c r="E69" s="1334"/>
      <c r="F69" s="1333"/>
      <c r="G69" s="1329">
        <v>0</v>
      </c>
      <c r="H69" s="1332">
        <v>0</v>
      </c>
      <c r="I69" s="1326">
        <v>0</v>
      </c>
      <c r="J69" s="1333"/>
      <c r="K69" s="1329"/>
      <c r="L69" s="1332"/>
    </row>
    <row r="70" spans="1:13" ht="12.4" customHeight="1" x14ac:dyDescent="0.25">
      <c r="A70" s="189" t="s">
        <v>1190</v>
      </c>
      <c r="B70" s="55">
        <v>4</v>
      </c>
      <c r="C70" s="81">
        <f t="shared" ref="C70:L70" si="9">SUM(C66:C69)</f>
        <v>0</v>
      </c>
      <c r="D70" s="81">
        <f t="shared" si="9"/>
        <v>62449782.710000001</v>
      </c>
      <c r="E70" s="80">
        <f t="shared" si="9"/>
        <v>53459027</v>
      </c>
      <c r="F70" s="83">
        <f t="shared" si="9"/>
        <v>43562250</v>
      </c>
      <c r="G70" s="81">
        <f t="shared" si="9"/>
        <v>60020139</v>
      </c>
      <c r="H70" s="82">
        <f t="shared" si="9"/>
        <v>60020139</v>
      </c>
      <c r="I70" s="80">
        <f t="shared" si="9"/>
        <v>60020139</v>
      </c>
      <c r="J70" s="83">
        <f t="shared" si="9"/>
        <v>32447438.100000001</v>
      </c>
      <c r="K70" s="81">
        <f t="shared" si="9"/>
        <v>49972500</v>
      </c>
      <c r="L70" s="82">
        <f t="shared" si="9"/>
        <v>0</v>
      </c>
      <c r="M70" s="169"/>
    </row>
    <row r="71" spans="1:13" ht="1.9" customHeight="1" x14ac:dyDescent="0.25">
      <c r="A71" s="189"/>
      <c r="B71" s="55"/>
      <c r="C71" s="114"/>
      <c r="D71" s="76"/>
      <c r="E71" s="75"/>
      <c r="F71" s="78"/>
      <c r="G71" s="76"/>
      <c r="H71" s="77"/>
      <c r="I71" s="75"/>
      <c r="J71" s="78"/>
      <c r="K71" s="76"/>
      <c r="L71" s="77"/>
    </row>
    <row r="72" spans="1:13" ht="12.4" customHeight="1" x14ac:dyDescent="0.25">
      <c r="A72" s="189" t="s">
        <v>1132</v>
      </c>
      <c r="B72" s="55">
        <v>6</v>
      </c>
      <c r="C72" s="1316"/>
      <c r="D72" s="1316"/>
      <c r="E72" s="1327"/>
      <c r="F72" s="1326"/>
      <c r="G72" s="1316"/>
      <c r="H72" s="1325"/>
      <c r="I72" s="1327"/>
      <c r="J72" s="1326"/>
      <c r="K72" s="1316"/>
      <c r="L72" s="1325"/>
    </row>
    <row r="73" spans="1:13" ht="11.25" customHeight="1" x14ac:dyDescent="0.25">
      <c r="A73" s="189" t="s">
        <v>425</v>
      </c>
      <c r="B73" s="55"/>
      <c r="C73" s="1316"/>
      <c r="D73" s="1316"/>
      <c r="E73" s="1327"/>
      <c r="F73" s="1326">
        <v>1321350</v>
      </c>
      <c r="G73" s="1316">
        <v>661750</v>
      </c>
      <c r="H73" s="1325">
        <v>661750</v>
      </c>
      <c r="I73" s="1327">
        <v>661750</v>
      </c>
      <c r="J73" s="1326"/>
      <c r="K73" s="1316"/>
      <c r="L73" s="1325"/>
    </row>
    <row r="74" spans="1:13" x14ac:dyDescent="0.25">
      <c r="A74" s="92" t="s">
        <v>677</v>
      </c>
      <c r="B74" s="93">
        <v>7</v>
      </c>
      <c r="C74" s="95">
        <f>+C70+C72+C73</f>
        <v>0</v>
      </c>
      <c r="D74" s="95">
        <f t="shared" ref="D74:L74" si="10">+D70+D72+D73</f>
        <v>62449782.710000001</v>
      </c>
      <c r="E74" s="94">
        <f t="shared" si="10"/>
        <v>53459027</v>
      </c>
      <c r="F74" s="97">
        <f t="shared" si="10"/>
        <v>44883600</v>
      </c>
      <c r="G74" s="95">
        <f t="shared" si="10"/>
        <v>60681889</v>
      </c>
      <c r="H74" s="96">
        <f t="shared" si="10"/>
        <v>60681889</v>
      </c>
      <c r="I74" s="94">
        <f t="shared" si="10"/>
        <v>60681889</v>
      </c>
      <c r="J74" s="97">
        <f t="shared" si="10"/>
        <v>32447438.100000001</v>
      </c>
      <c r="K74" s="95">
        <f t="shared" si="10"/>
        <v>49972500</v>
      </c>
      <c r="L74" s="96">
        <f t="shared" si="10"/>
        <v>0</v>
      </c>
    </row>
    <row r="75" spans="1:13" s="464" customFormat="1" x14ac:dyDescent="0.25">
      <c r="A75" s="101" t="str">
        <f>head27a</f>
        <v>References</v>
      </c>
      <c r="B75" s="107"/>
      <c r="C75" s="717"/>
      <c r="D75" s="717"/>
      <c r="E75" s="717"/>
      <c r="F75" s="717"/>
      <c r="G75" s="717"/>
      <c r="H75" s="717"/>
      <c r="I75" s="717"/>
      <c r="J75" s="717"/>
      <c r="K75" s="717"/>
      <c r="L75" s="717"/>
    </row>
    <row r="76" spans="1:13" s="464" customFormat="1" ht="12" customHeight="1" x14ac:dyDescent="0.25">
      <c r="A76" s="132" t="s">
        <v>167</v>
      </c>
      <c r="B76" s="107"/>
      <c r="C76" s="716"/>
      <c r="D76" s="716"/>
      <c r="E76" s="717"/>
      <c r="F76" s="717"/>
      <c r="G76" s="717"/>
      <c r="H76" s="717"/>
      <c r="I76" s="717"/>
      <c r="J76" s="717"/>
      <c r="K76" s="717"/>
      <c r="L76" s="717"/>
    </row>
    <row r="77" spans="1:13" s="464" customFormat="1" ht="12" customHeight="1" x14ac:dyDescent="0.25">
      <c r="A77" s="1922" t="s">
        <v>914</v>
      </c>
      <c r="B77" s="1922"/>
      <c r="C77" s="1922"/>
      <c r="D77" s="1922"/>
      <c r="E77" s="1922"/>
      <c r="F77" s="1922"/>
      <c r="G77" s="1922"/>
      <c r="H77" s="1922"/>
      <c r="I77" s="1922"/>
      <c r="J77" s="1922"/>
      <c r="K77" s="1922"/>
      <c r="L77" s="1922"/>
    </row>
    <row r="78" spans="1:13" s="464" customFormat="1" ht="12" customHeight="1" x14ac:dyDescent="0.25">
      <c r="A78" s="1922" t="s">
        <v>2500</v>
      </c>
      <c r="B78" s="1922"/>
      <c r="C78" s="1922"/>
      <c r="D78" s="1922"/>
      <c r="E78" s="1922"/>
      <c r="F78" s="1922"/>
      <c r="G78" s="1922"/>
      <c r="H78" s="1922"/>
      <c r="I78" s="1922"/>
      <c r="J78" s="1922"/>
      <c r="K78" s="1922"/>
      <c r="L78" s="1922"/>
    </row>
    <row r="79" spans="1:13" s="464" customFormat="1" ht="12" customHeight="1" x14ac:dyDescent="0.25">
      <c r="A79" s="1923" t="s">
        <v>915</v>
      </c>
      <c r="B79" s="1923"/>
      <c r="C79" s="1923"/>
      <c r="D79" s="1923"/>
      <c r="E79" s="1923"/>
      <c r="F79" s="1923"/>
      <c r="G79" s="1923"/>
      <c r="H79" s="1923"/>
      <c r="I79" s="1923"/>
      <c r="J79" s="1923"/>
      <c r="K79" s="1923"/>
      <c r="L79" s="1923"/>
    </row>
    <row r="80" spans="1:13" s="464" customFormat="1" ht="12" customHeight="1" x14ac:dyDescent="0.25">
      <c r="A80" s="132"/>
      <c r="B80" s="727"/>
      <c r="C80" s="727"/>
      <c r="D80" s="727"/>
      <c r="E80" s="727"/>
      <c r="F80" s="727"/>
      <c r="G80" s="727"/>
      <c r="H80" s="727"/>
      <c r="I80" s="727"/>
      <c r="J80" s="727"/>
      <c r="K80" s="727"/>
      <c r="L80" s="727"/>
    </row>
    <row r="81" spans="1:12" s="464" customFormat="1" ht="12" customHeight="1" x14ac:dyDescent="0.25">
      <c r="A81" s="132" t="s">
        <v>916</v>
      </c>
      <c r="B81" s="727"/>
      <c r="C81" s="727"/>
      <c r="D81" s="727"/>
      <c r="E81" s="727"/>
      <c r="F81" s="727"/>
      <c r="G81" s="727"/>
      <c r="H81" s="727"/>
      <c r="I81" s="727"/>
      <c r="J81" s="727"/>
      <c r="K81" s="727"/>
      <c r="L81" s="727"/>
    </row>
    <row r="82" spans="1:12" s="464" customFormat="1" ht="12" customHeight="1" x14ac:dyDescent="0.25">
      <c r="A82" s="132" t="s">
        <v>168</v>
      </c>
      <c r="B82" s="107"/>
      <c r="C82" s="716"/>
      <c r="D82" s="716"/>
      <c r="E82" s="717"/>
      <c r="F82" s="717"/>
      <c r="G82" s="717"/>
      <c r="H82" s="717"/>
      <c r="I82" s="717"/>
      <c r="J82" s="717"/>
      <c r="K82" s="717"/>
      <c r="L82" s="717"/>
    </row>
    <row r="83" spans="1:12" s="464" customFormat="1" ht="12" customHeight="1" x14ac:dyDescent="0.25">
      <c r="A83" s="1921" t="s">
        <v>1289</v>
      </c>
      <c r="B83" s="1921"/>
      <c r="C83" s="1921"/>
      <c r="D83" s="1921"/>
      <c r="E83" s="1921"/>
      <c r="F83" s="1921"/>
      <c r="G83" s="1921"/>
      <c r="H83" s="1921"/>
      <c r="I83" s="1921"/>
      <c r="J83" s="1921"/>
      <c r="K83" s="1921"/>
      <c r="L83" s="1921"/>
    </row>
    <row r="84" spans="1:12" s="464" customFormat="1" ht="11.25" customHeight="1" x14ac:dyDescent="0.25"/>
    <row r="85" spans="1:12" ht="11.25" customHeight="1" x14ac:dyDescent="0.25">
      <c r="A85" s="133" t="s">
        <v>249</v>
      </c>
      <c r="B85" s="107"/>
      <c r="C85" s="172">
        <f>IF((C63-C74)=0,0,"Unbalanced")</f>
        <v>0</v>
      </c>
      <c r="D85" s="172">
        <f t="shared" ref="D85:L85" si="11">IF((D63-D74)=0,0,"Unbalanced")</f>
        <v>0</v>
      </c>
      <c r="E85" s="172">
        <f t="shared" si="11"/>
        <v>0</v>
      </c>
      <c r="F85" s="172">
        <f t="shared" si="11"/>
        <v>0</v>
      </c>
      <c r="G85" s="172">
        <f t="shared" si="11"/>
        <v>0</v>
      </c>
      <c r="H85" s="172">
        <f t="shared" si="11"/>
        <v>0</v>
      </c>
      <c r="I85" s="172">
        <f t="shared" si="11"/>
        <v>0</v>
      </c>
      <c r="J85" s="172">
        <f t="shared" si="11"/>
        <v>0</v>
      </c>
      <c r="K85" s="172">
        <f t="shared" si="11"/>
        <v>0</v>
      </c>
      <c r="L85" s="172">
        <f t="shared" si="11"/>
        <v>0</v>
      </c>
    </row>
    <row r="86" spans="1:12" ht="11.25" customHeight="1" x14ac:dyDescent="0.25">
      <c r="A86" s="133"/>
      <c r="C86" s="172"/>
      <c r="D86" s="172"/>
      <c r="E86" s="173"/>
      <c r="F86" s="173"/>
      <c r="G86" s="173"/>
      <c r="H86" s="173"/>
      <c r="I86" s="173"/>
      <c r="J86" s="173"/>
      <c r="K86" s="173"/>
      <c r="L86" s="173"/>
    </row>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row r="93" spans="1:12" ht="11.25" customHeight="1" x14ac:dyDescent="0.25"/>
    <row r="94" spans="1:12" ht="11.25" customHeight="1" x14ac:dyDescent="0.25"/>
    <row r="95" spans="1:12" ht="11.25" customHeight="1" x14ac:dyDescent="0.25"/>
    <row r="96" spans="1:12"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mergeCells count="6">
    <mergeCell ref="J2:L2"/>
    <mergeCell ref="F2:I2"/>
    <mergeCell ref="A83:L83"/>
    <mergeCell ref="A78:L78"/>
    <mergeCell ref="A77:L77"/>
    <mergeCell ref="A79:L79"/>
  </mergeCells>
  <phoneticPr fontId="3" type="noConversion"/>
  <conditionalFormatting sqref="C85:L85">
    <cfRule type="cellIs" dxfId="3" priority="1" stopIfTrue="1" operator="notEqual">
      <formula>0</formula>
    </cfRule>
    <cfRule type="cellIs" dxfId="2" priority="2" stopIfTrue="1" operator="notEqual">
      <formula>0</formula>
    </cfRule>
  </conditionalFormatting>
  <printOptions horizontalCentered="1"/>
  <pageMargins left="0" right="0" top="0.78740157480314965" bottom="0.59055118110236227" header="0.51181102362204722" footer="0.43307086614173229"/>
  <pageSetup paperSize="9" scale="73"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X343"/>
  <sheetViews>
    <sheetView showGridLines="0" showZeros="0" topLeftCell="A349" zoomScaleNormal="100" workbookViewId="0">
      <selection activeCell="E349" sqref="E349"/>
    </sheetView>
  </sheetViews>
  <sheetFormatPr defaultRowHeight="12.75" x14ac:dyDescent="0.25"/>
  <cols>
    <col min="1" max="1" width="30.7109375" style="25" customWidth="1"/>
    <col min="2" max="2" width="3" style="102" customWidth="1"/>
    <col min="3" max="8" width="9.28515625" style="25" customWidth="1"/>
    <col min="9" max="9" width="9.140625" style="25" customWidth="1"/>
    <col min="10" max="12" width="9.28515625" style="25" customWidth="1"/>
    <col min="13" max="13" width="3.42578125" style="25" customWidth="1"/>
    <col min="14" max="14" width="10.140625" style="25" customWidth="1"/>
    <col min="15" max="15" width="9.7109375" style="25" customWidth="1"/>
    <col min="16" max="16" width="9.42578125" style="25" customWidth="1"/>
    <col min="17" max="17" width="10" style="25" customWidth="1"/>
    <col min="18" max="18" width="10.140625" style="25" customWidth="1"/>
    <col min="19" max="19" width="9.7109375" style="25" customWidth="1"/>
    <col min="20" max="20" width="9.42578125" style="25" customWidth="1"/>
    <col min="21" max="21" width="10" style="25" customWidth="1"/>
    <col min="22" max="22" width="9.42578125" style="25" customWidth="1"/>
    <col min="23" max="24" width="9.7109375" style="25" customWidth="1"/>
    <col min="25" max="16384" width="9.140625" style="25"/>
  </cols>
  <sheetData>
    <row r="1" spans="1:24" s="52" customFormat="1" x14ac:dyDescent="0.2">
      <c r="A1" s="23" t="str">
        <f>muni&amp;" - "&amp;Approve5</f>
        <v>EC101 Dr Beyers Naude - Table A5 Budgeted Capital Expenditure by vote, functional classification and funding</v>
      </c>
      <c r="B1" s="23"/>
      <c r="C1" s="23"/>
      <c r="D1" s="23"/>
      <c r="E1" s="23"/>
      <c r="F1" s="23"/>
      <c r="G1" s="23"/>
      <c r="H1" s="23"/>
      <c r="I1" s="23"/>
      <c r="J1" s="23"/>
      <c r="K1" s="23"/>
      <c r="L1" s="23"/>
    </row>
    <row r="2" spans="1:24" ht="28.5" customHeight="1" x14ac:dyDescent="0.25">
      <c r="A2" s="609" t="str">
        <f>Vdesc</f>
        <v>Vote Description</v>
      </c>
      <c r="B2" s="22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c r="N2" s="1924" t="str">
        <f>"Multi-year appropriation for "&amp;Head9&amp;
"
 in the "&amp;Head2A&amp;" Annual Budget"</f>
        <v>Multi-year appropriation for Budget Year 2019/20
 in the 2018/19 Annual Budget</v>
      </c>
      <c r="O2" s="1905"/>
      <c r="P2" s="1905"/>
      <c r="Q2" s="1906"/>
      <c r="R2" s="1924" t="str">
        <f>"Multi-year appropriation for "&amp;RIGHT(Head10,7)&amp;
"
 in the "&amp;Head2A&amp;" Annual Budget"</f>
        <v>Multi-year appropriation for 2020/21
 in the 2018/19 Annual Budget</v>
      </c>
      <c r="S2" s="1905"/>
      <c r="T2" s="1905"/>
      <c r="U2" s="1906"/>
      <c r="V2" s="1904" t="s">
        <v>1979</v>
      </c>
      <c r="W2" s="1905"/>
      <c r="X2" s="1906"/>
    </row>
    <row r="3" spans="1:24" ht="38.25" x14ac:dyDescent="0.25">
      <c r="A3" s="53" t="s">
        <v>573</v>
      </c>
      <c r="B3" s="135">
        <v>1</v>
      </c>
      <c r="C3" s="203" t="str">
        <f>Head5</f>
        <v>Audited Outcome</v>
      </c>
      <c r="D3" s="203" t="str">
        <f>Head5</f>
        <v>Audited Outcome</v>
      </c>
      <c r="E3" s="204" t="str">
        <f>Head5</f>
        <v>Audited Outcome</v>
      </c>
      <c r="F3" s="141" t="str">
        <f>Head6</f>
        <v>Original Budget</v>
      </c>
      <c r="G3" s="203" t="str">
        <f>Head7</f>
        <v>Adjusted Budget</v>
      </c>
      <c r="H3" s="204" t="str">
        <f>Head8</f>
        <v>Full Year Forecast</v>
      </c>
      <c r="I3" s="202" t="str">
        <f>Head5b</f>
        <v>Pre-audit outcome</v>
      </c>
      <c r="J3" s="141" t="str">
        <f>Head9</f>
        <v>Budget Year 2019/20</v>
      </c>
      <c r="K3" s="203" t="str">
        <f>Head10</f>
        <v>Budget Year +1 2020/21</v>
      </c>
      <c r="L3" s="204" t="str">
        <f>Head11</f>
        <v>Budget Year +2 2021/22</v>
      </c>
      <c r="N3" s="141" t="str">
        <f>"Appropriation for "&amp;RIGHT(Head9,7)</f>
        <v>Appropriation for 2019/20</v>
      </c>
      <c r="O3" s="203" t="str">
        <f>"Adjustments in "&amp;Head2A</f>
        <v>Adjustments in 2018/19</v>
      </c>
      <c r="P3" s="204" t="str">
        <f>"Downward adjustments for "&amp;RIGHT(Head9,7)</f>
        <v>Downward adjustments for 2019/20</v>
      </c>
      <c r="Q3" s="202" t="s">
        <v>1980</v>
      </c>
      <c r="R3" s="141" t="str">
        <f>"Appropriation for "&amp;RIGHT(Head9,7)</f>
        <v>Appropriation for 2019/20</v>
      </c>
      <c r="S3" s="203" t="str">
        <f>"Adjustments in "&amp;Head2A</f>
        <v>Adjustments in 2018/19</v>
      </c>
      <c r="T3" s="204" t="str">
        <f>"Downward adjustments for "&amp;RIGHT(Head9,7)</f>
        <v>Downward adjustments for 2019/20</v>
      </c>
      <c r="U3" s="1085" t="s">
        <v>1980</v>
      </c>
      <c r="V3" s="202" t="str">
        <f>Head9</f>
        <v>Budget Year 2019/20</v>
      </c>
      <c r="W3" s="203" t="str">
        <f>Head10</f>
        <v>Budget Year +1 2020/21</v>
      </c>
      <c r="X3" s="204" t="str">
        <f>Head11</f>
        <v>Budget Year +2 2021/22</v>
      </c>
    </row>
    <row r="4" spans="1:24" x14ac:dyDescent="0.25">
      <c r="A4" s="54" t="s">
        <v>1590</v>
      </c>
      <c r="B4" s="136"/>
      <c r="C4" s="149"/>
      <c r="D4" s="149"/>
      <c r="E4" s="150"/>
      <c r="F4" s="151"/>
      <c r="G4" s="149"/>
      <c r="H4" s="152"/>
      <c r="I4" s="150"/>
      <c r="J4" s="174"/>
      <c r="K4" s="149"/>
      <c r="L4" s="541"/>
      <c r="N4" s="151"/>
      <c r="O4" s="149"/>
      <c r="P4" s="152"/>
      <c r="Q4" s="150"/>
      <c r="R4" s="151"/>
      <c r="S4" s="149"/>
      <c r="T4" s="150"/>
      <c r="U4" s="221"/>
      <c r="V4" s="150"/>
      <c r="W4" s="149"/>
      <c r="X4" s="541"/>
    </row>
    <row r="5" spans="1:24" ht="11.25" customHeight="1" x14ac:dyDescent="0.25">
      <c r="A5" s="54" t="s">
        <v>331</v>
      </c>
      <c r="B5" s="55">
        <v>2</v>
      </c>
      <c r="C5" s="153"/>
      <c r="D5" s="153"/>
      <c r="E5" s="154"/>
      <c r="F5" s="155"/>
      <c r="G5" s="153"/>
      <c r="H5" s="156"/>
      <c r="I5" s="154"/>
      <c r="J5" s="212"/>
      <c r="K5" s="153"/>
      <c r="L5" s="622"/>
      <c r="N5" s="155"/>
      <c r="O5" s="153"/>
      <c r="P5" s="156"/>
      <c r="Q5" s="154"/>
      <c r="R5" s="155"/>
      <c r="S5" s="153"/>
      <c r="T5" s="154"/>
      <c r="U5" s="588"/>
      <c r="V5" s="154"/>
      <c r="W5" s="153"/>
      <c r="X5" s="622"/>
    </row>
    <row r="6" spans="1:24" ht="15" customHeight="1" x14ac:dyDescent="0.25">
      <c r="A6" s="189" t="str">
        <f>'Org structure'!A2</f>
        <v>Vote 1 - COUNCIL</v>
      </c>
      <c r="B6" s="369"/>
      <c r="C6" s="592">
        <f>SUM(C7:C16)</f>
        <v>0</v>
      </c>
      <c r="D6" s="592">
        <f t="shared" ref="D6:L6" si="0">SUM(D7:D16)</f>
        <v>0</v>
      </c>
      <c r="E6" s="595">
        <f t="shared" si="0"/>
        <v>0</v>
      </c>
      <c r="F6" s="594">
        <f t="shared" si="0"/>
        <v>0</v>
      </c>
      <c r="G6" s="592">
        <f t="shared" si="0"/>
        <v>0</v>
      </c>
      <c r="H6" s="595">
        <f t="shared" si="0"/>
        <v>0</v>
      </c>
      <c r="I6" s="593">
        <f>SUM(I7:I16)</f>
        <v>0</v>
      </c>
      <c r="J6" s="610">
        <f t="shared" si="0"/>
        <v>0</v>
      </c>
      <c r="K6" s="592">
        <f t="shared" si="0"/>
        <v>0</v>
      </c>
      <c r="L6" s="1209">
        <f t="shared" si="0"/>
        <v>0</v>
      </c>
      <c r="M6" s="705"/>
      <c r="N6" s="594">
        <f t="shared" ref="N6:U6" si="1">SUM(N7:N16)</f>
        <v>0</v>
      </c>
      <c r="O6" s="592">
        <f t="shared" si="1"/>
        <v>0</v>
      </c>
      <c r="P6" s="595">
        <f t="shared" si="1"/>
        <v>0</v>
      </c>
      <c r="Q6" s="595">
        <f t="shared" si="1"/>
        <v>0</v>
      </c>
      <c r="R6" s="594">
        <f t="shared" si="1"/>
        <v>0</v>
      </c>
      <c r="S6" s="592">
        <f t="shared" si="1"/>
        <v>0</v>
      </c>
      <c r="T6" s="1207">
        <f t="shared" si="1"/>
        <v>0</v>
      </c>
      <c r="U6" s="1205">
        <f t="shared" si="1"/>
        <v>0</v>
      </c>
      <c r="V6" s="593">
        <f>SUM(V7:V16)</f>
        <v>0</v>
      </c>
      <c r="W6" s="592">
        <f>SUM(W7:W16)</f>
        <v>0</v>
      </c>
      <c r="X6" s="1209">
        <f>SUM(X7:X16)</f>
        <v>0</v>
      </c>
    </row>
    <row r="7" spans="1:24" ht="11.25" customHeight="1" x14ac:dyDescent="0.25">
      <c r="A7" s="63" t="str">
        <f>'Org structure'!E3</f>
        <v>1.1 - Council General Expenses</v>
      </c>
      <c r="B7" s="55"/>
      <c r="C7" s="920"/>
      <c r="D7" s="920"/>
      <c r="E7" s="1325"/>
      <c r="F7" s="1323"/>
      <c r="G7" s="920"/>
      <c r="H7" s="1322"/>
      <c r="I7" s="921"/>
      <c r="J7" s="610">
        <f>Q7+V7</f>
        <v>0</v>
      </c>
      <c r="K7" s="592">
        <f>U7+W7</f>
        <v>0</v>
      </c>
      <c r="L7" s="1209">
        <f>X7</f>
        <v>0</v>
      </c>
      <c r="M7" s="704"/>
      <c r="N7" s="1323"/>
      <c r="O7" s="920"/>
      <c r="P7" s="1322"/>
      <c r="Q7" s="594">
        <f>SUM(N7:P7)</f>
        <v>0</v>
      </c>
      <c r="R7" s="1323"/>
      <c r="S7" s="920"/>
      <c r="T7" s="921"/>
      <c r="U7" s="1205">
        <f>SUM(R7:T7)</f>
        <v>0</v>
      </c>
      <c r="V7" s="921"/>
      <c r="W7" s="920"/>
      <c r="X7" s="922"/>
    </row>
    <row r="8" spans="1:24" ht="11.25" customHeight="1" x14ac:dyDescent="0.25">
      <c r="A8" s="63">
        <f>'Org structure'!E4</f>
        <v>0</v>
      </c>
      <c r="B8" s="55"/>
      <c r="C8" s="920"/>
      <c r="D8" s="920"/>
      <c r="E8" s="1322"/>
      <c r="F8" s="1323"/>
      <c r="G8" s="920"/>
      <c r="H8" s="1322"/>
      <c r="I8" s="921"/>
      <c r="J8" s="610">
        <f>Q8+V8</f>
        <v>0</v>
      </c>
      <c r="K8" s="592">
        <f>U8+W8</f>
        <v>0</v>
      </c>
      <c r="L8" s="1209">
        <f t="shared" ref="L8:L16" si="2">X8</f>
        <v>0</v>
      </c>
      <c r="M8" s="704"/>
      <c r="N8" s="1323"/>
      <c r="O8" s="920"/>
      <c r="P8" s="1322"/>
      <c r="Q8" s="594">
        <f t="shared" ref="Q8:Q16" si="3">SUM(N8:P8)</f>
        <v>0</v>
      </c>
      <c r="R8" s="1323"/>
      <c r="S8" s="920"/>
      <c r="T8" s="921"/>
      <c r="U8" s="1205">
        <f t="shared" ref="U8:U72" si="4">SUM(R8:T8)</f>
        <v>0</v>
      </c>
      <c r="V8" s="921"/>
      <c r="W8" s="920"/>
      <c r="X8" s="922"/>
    </row>
    <row r="9" spans="1:24" ht="11.25" customHeight="1" x14ac:dyDescent="0.25">
      <c r="A9" s="63">
        <f>'Org structure'!E5</f>
        <v>0</v>
      </c>
      <c r="B9" s="55"/>
      <c r="C9" s="920"/>
      <c r="D9" s="920"/>
      <c r="E9" s="1322"/>
      <c r="F9" s="1323"/>
      <c r="G9" s="920"/>
      <c r="H9" s="1322"/>
      <c r="I9" s="921"/>
      <c r="J9" s="610">
        <f t="shared" ref="J9:J16" si="5">Q9+V9</f>
        <v>0</v>
      </c>
      <c r="K9" s="592">
        <f t="shared" ref="K9:K16" si="6">U9+W9</f>
        <v>0</v>
      </c>
      <c r="L9" s="1209">
        <f t="shared" si="2"/>
        <v>0</v>
      </c>
      <c r="M9" s="704"/>
      <c r="N9" s="1323"/>
      <c r="O9" s="920"/>
      <c r="P9" s="1322"/>
      <c r="Q9" s="594">
        <f t="shared" si="3"/>
        <v>0</v>
      </c>
      <c r="R9" s="1323"/>
      <c r="S9" s="920"/>
      <c r="T9" s="921"/>
      <c r="U9" s="1205">
        <f t="shared" si="4"/>
        <v>0</v>
      </c>
      <c r="V9" s="921"/>
      <c r="W9" s="920"/>
      <c r="X9" s="922"/>
    </row>
    <row r="10" spans="1:24" ht="11.25" customHeight="1" x14ac:dyDescent="0.25">
      <c r="A10" s="63">
        <f>'Org structure'!E6</f>
        <v>0</v>
      </c>
      <c r="B10" s="55"/>
      <c r="C10" s="920"/>
      <c r="D10" s="920"/>
      <c r="E10" s="1322"/>
      <c r="F10" s="1323"/>
      <c r="G10" s="920"/>
      <c r="H10" s="1322"/>
      <c r="I10" s="921"/>
      <c r="J10" s="610">
        <f t="shared" si="5"/>
        <v>0</v>
      </c>
      <c r="K10" s="592">
        <f t="shared" si="6"/>
        <v>0</v>
      </c>
      <c r="L10" s="1209">
        <f t="shared" si="2"/>
        <v>0</v>
      </c>
      <c r="M10" s="704"/>
      <c r="N10" s="1323"/>
      <c r="O10" s="920"/>
      <c r="P10" s="1322"/>
      <c r="Q10" s="594">
        <f t="shared" si="3"/>
        <v>0</v>
      </c>
      <c r="R10" s="1323"/>
      <c r="S10" s="920"/>
      <c r="T10" s="921"/>
      <c r="U10" s="1205">
        <f t="shared" si="4"/>
        <v>0</v>
      </c>
      <c r="V10" s="921"/>
      <c r="W10" s="920"/>
      <c r="X10" s="922"/>
    </row>
    <row r="11" spans="1:24" ht="11.25" customHeight="1" x14ac:dyDescent="0.25">
      <c r="A11" s="63">
        <f>'Org structure'!E7</f>
        <v>0</v>
      </c>
      <c r="B11" s="55"/>
      <c r="C11" s="920"/>
      <c r="D11" s="920"/>
      <c r="E11" s="1322"/>
      <c r="F11" s="1323"/>
      <c r="G11" s="920"/>
      <c r="H11" s="1322"/>
      <c r="I11" s="921"/>
      <c r="J11" s="610">
        <f t="shared" si="5"/>
        <v>0</v>
      </c>
      <c r="K11" s="592">
        <f t="shared" si="6"/>
        <v>0</v>
      </c>
      <c r="L11" s="1209">
        <f>X11</f>
        <v>0</v>
      </c>
      <c r="M11" s="704"/>
      <c r="N11" s="1323"/>
      <c r="O11" s="920"/>
      <c r="P11" s="1322"/>
      <c r="Q11" s="594">
        <f t="shared" si="3"/>
        <v>0</v>
      </c>
      <c r="R11" s="1323"/>
      <c r="S11" s="920"/>
      <c r="T11" s="921"/>
      <c r="U11" s="1205">
        <f t="shared" si="4"/>
        <v>0</v>
      </c>
      <c r="V11" s="921"/>
      <c r="W11" s="920"/>
      <c r="X11" s="922"/>
    </row>
    <row r="12" spans="1:24" ht="11.25" customHeight="1" x14ac:dyDescent="0.25">
      <c r="A12" s="63">
        <f>'Org structure'!E8</f>
        <v>0</v>
      </c>
      <c r="B12" s="55"/>
      <c r="C12" s="920"/>
      <c r="D12" s="920"/>
      <c r="E12" s="1322"/>
      <c r="F12" s="1323"/>
      <c r="G12" s="920"/>
      <c r="H12" s="1322"/>
      <c r="I12" s="921"/>
      <c r="J12" s="610">
        <f t="shared" si="5"/>
        <v>0</v>
      </c>
      <c r="K12" s="592">
        <f t="shared" si="6"/>
        <v>0</v>
      </c>
      <c r="L12" s="1209">
        <f t="shared" si="2"/>
        <v>0</v>
      </c>
      <c r="M12" s="704"/>
      <c r="N12" s="1323"/>
      <c r="O12" s="920"/>
      <c r="P12" s="1322"/>
      <c r="Q12" s="594">
        <f t="shared" si="3"/>
        <v>0</v>
      </c>
      <c r="R12" s="1323"/>
      <c r="S12" s="920"/>
      <c r="T12" s="921"/>
      <c r="U12" s="1205">
        <f t="shared" si="4"/>
        <v>0</v>
      </c>
      <c r="V12" s="921"/>
      <c r="W12" s="920"/>
      <c r="X12" s="922"/>
    </row>
    <row r="13" spans="1:24" ht="11.25" customHeight="1" x14ac:dyDescent="0.25">
      <c r="A13" s="63">
        <f>'Org structure'!E9</f>
        <v>0</v>
      </c>
      <c r="B13" s="55"/>
      <c r="C13" s="920"/>
      <c r="D13" s="920"/>
      <c r="E13" s="1322"/>
      <c r="F13" s="1323"/>
      <c r="G13" s="920"/>
      <c r="H13" s="1322"/>
      <c r="I13" s="921"/>
      <c r="J13" s="610">
        <f t="shared" si="5"/>
        <v>0</v>
      </c>
      <c r="K13" s="592">
        <f t="shared" si="6"/>
        <v>0</v>
      </c>
      <c r="L13" s="1209">
        <f t="shared" si="2"/>
        <v>0</v>
      </c>
      <c r="M13" s="704"/>
      <c r="N13" s="1323"/>
      <c r="O13" s="920"/>
      <c r="P13" s="1322"/>
      <c r="Q13" s="594">
        <f t="shared" si="3"/>
        <v>0</v>
      </c>
      <c r="R13" s="1323"/>
      <c r="S13" s="920"/>
      <c r="T13" s="921"/>
      <c r="U13" s="1205">
        <f t="shared" si="4"/>
        <v>0</v>
      </c>
      <c r="V13" s="921"/>
      <c r="W13" s="920"/>
      <c r="X13" s="922"/>
    </row>
    <row r="14" spans="1:24" ht="11.25" customHeight="1" x14ac:dyDescent="0.25">
      <c r="A14" s="63">
        <f>'Org structure'!E10</f>
        <v>0</v>
      </c>
      <c r="B14" s="55"/>
      <c r="C14" s="920"/>
      <c r="D14" s="920"/>
      <c r="E14" s="1322"/>
      <c r="F14" s="1323"/>
      <c r="G14" s="920"/>
      <c r="H14" s="1322"/>
      <c r="I14" s="921"/>
      <c r="J14" s="610">
        <f t="shared" si="5"/>
        <v>0</v>
      </c>
      <c r="K14" s="592">
        <f t="shared" si="6"/>
        <v>0</v>
      </c>
      <c r="L14" s="1209">
        <f t="shared" si="2"/>
        <v>0</v>
      </c>
      <c r="M14" s="704"/>
      <c r="N14" s="1323"/>
      <c r="O14" s="920"/>
      <c r="P14" s="1322"/>
      <c r="Q14" s="594">
        <f t="shared" si="3"/>
        <v>0</v>
      </c>
      <c r="R14" s="1323"/>
      <c r="S14" s="920"/>
      <c r="T14" s="921"/>
      <c r="U14" s="1205">
        <f t="shared" si="4"/>
        <v>0</v>
      </c>
      <c r="V14" s="921"/>
      <c r="W14" s="920"/>
      <c r="X14" s="922"/>
    </row>
    <row r="15" spans="1:24" ht="11.25" customHeight="1" x14ac:dyDescent="0.25">
      <c r="A15" s="63">
        <f>'Org structure'!E11</f>
        <v>0</v>
      </c>
      <c r="B15" s="55"/>
      <c r="C15" s="920"/>
      <c r="D15" s="920"/>
      <c r="E15" s="1322"/>
      <c r="F15" s="1323"/>
      <c r="G15" s="920"/>
      <c r="H15" s="1322"/>
      <c r="I15" s="921"/>
      <c r="J15" s="610">
        <f t="shared" si="5"/>
        <v>0</v>
      </c>
      <c r="K15" s="592">
        <f t="shared" si="6"/>
        <v>0</v>
      </c>
      <c r="L15" s="1209">
        <f t="shared" si="2"/>
        <v>0</v>
      </c>
      <c r="M15" s="704"/>
      <c r="N15" s="1323"/>
      <c r="O15" s="920"/>
      <c r="P15" s="1322"/>
      <c r="Q15" s="594">
        <f t="shared" si="3"/>
        <v>0</v>
      </c>
      <c r="R15" s="1323"/>
      <c r="S15" s="920"/>
      <c r="T15" s="921"/>
      <c r="U15" s="1205">
        <f t="shared" si="4"/>
        <v>0</v>
      </c>
      <c r="V15" s="921"/>
      <c r="W15" s="920"/>
      <c r="X15" s="922"/>
    </row>
    <row r="16" spans="1:24" ht="11.25" customHeight="1" x14ac:dyDescent="0.25">
      <c r="A16" s="63">
        <f>'Org structure'!E12</f>
        <v>0</v>
      </c>
      <c r="B16" s="55"/>
      <c r="C16" s="920"/>
      <c r="D16" s="920"/>
      <c r="E16" s="1322"/>
      <c r="F16" s="1323"/>
      <c r="G16" s="920"/>
      <c r="H16" s="1322"/>
      <c r="I16" s="921"/>
      <c r="J16" s="610">
        <f t="shared" si="5"/>
        <v>0</v>
      </c>
      <c r="K16" s="592">
        <f t="shared" si="6"/>
        <v>0</v>
      </c>
      <c r="L16" s="1209">
        <f t="shared" si="2"/>
        <v>0</v>
      </c>
      <c r="M16" s="158"/>
      <c r="N16" s="1323"/>
      <c r="O16" s="920"/>
      <c r="P16" s="1322"/>
      <c r="Q16" s="594">
        <f t="shared" si="3"/>
        <v>0</v>
      </c>
      <c r="R16" s="1323"/>
      <c r="S16" s="920"/>
      <c r="T16" s="921"/>
      <c r="U16" s="1205">
        <f t="shared" si="4"/>
        <v>0</v>
      </c>
      <c r="V16" s="921"/>
      <c r="W16" s="920"/>
      <c r="X16" s="922"/>
    </row>
    <row r="17" spans="1:24" ht="15" customHeight="1" x14ac:dyDescent="0.25">
      <c r="A17" s="189" t="str">
        <f>'Org structure'!A3</f>
        <v>Vote 2 - OFFICE OF THE MUNICIPAL MANAGER</v>
      </c>
      <c r="B17" s="369"/>
      <c r="C17" s="592">
        <f>SUM(C18:C27)</f>
        <v>0</v>
      </c>
      <c r="D17" s="592">
        <f t="shared" ref="D17:L17" si="7">SUM(D18:D27)</f>
        <v>0</v>
      </c>
      <c r="E17" s="595">
        <f t="shared" si="7"/>
        <v>0</v>
      </c>
      <c r="F17" s="594">
        <f t="shared" si="7"/>
        <v>0</v>
      </c>
      <c r="G17" s="592">
        <f t="shared" si="7"/>
        <v>0</v>
      </c>
      <c r="H17" s="595">
        <f t="shared" si="7"/>
        <v>0</v>
      </c>
      <c r="I17" s="593">
        <f>SUM(I18:I27)</f>
        <v>0</v>
      </c>
      <c r="J17" s="610">
        <f t="shared" si="7"/>
        <v>0</v>
      </c>
      <c r="K17" s="592">
        <f t="shared" si="7"/>
        <v>0</v>
      </c>
      <c r="L17" s="1209">
        <f t="shared" si="7"/>
        <v>0</v>
      </c>
      <c r="M17" s="706"/>
      <c r="N17" s="594">
        <f t="shared" ref="N17:X17" si="8">SUM(N18:N27)</f>
        <v>0</v>
      </c>
      <c r="O17" s="592">
        <f t="shared" si="8"/>
        <v>0</v>
      </c>
      <c r="P17" s="595">
        <f t="shared" si="8"/>
        <v>0</v>
      </c>
      <c r="Q17" s="594">
        <f t="shared" si="8"/>
        <v>0</v>
      </c>
      <c r="R17" s="594">
        <f t="shared" si="8"/>
        <v>0</v>
      </c>
      <c r="S17" s="592">
        <f t="shared" si="8"/>
        <v>0</v>
      </c>
      <c r="T17" s="1207">
        <f t="shared" si="8"/>
        <v>0</v>
      </c>
      <c r="U17" s="1205">
        <f t="shared" si="8"/>
        <v>0</v>
      </c>
      <c r="V17" s="1208">
        <f t="shared" si="8"/>
        <v>0</v>
      </c>
      <c r="W17" s="592">
        <f t="shared" si="8"/>
        <v>0</v>
      </c>
      <c r="X17" s="1209">
        <f t="shared" si="8"/>
        <v>0</v>
      </c>
    </row>
    <row r="18" spans="1:24" ht="11.25" customHeight="1" x14ac:dyDescent="0.25">
      <c r="A18" s="63" t="str">
        <f>'Org structure'!E14</f>
        <v>2.1 - Internal Audit</v>
      </c>
      <c r="B18" s="55"/>
      <c r="C18" s="920"/>
      <c r="D18" s="920"/>
      <c r="E18" s="1322"/>
      <c r="F18" s="1323"/>
      <c r="G18" s="920"/>
      <c r="H18" s="1322"/>
      <c r="I18" s="921"/>
      <c r="J18" s="610">
        <f t="shared" ref="J18:J27" si="9">Q18+V18</f>
        <v>0</v>
      </c>
      <c r="K18" s="592">
        <f t="shared" ref="K18:K27" si="10">U18+W18</f>
        <v>0</v>
      </c>
      <c r="L18" s="1209">
        <f t="shared" ref="L18:L27" si="11">X18</f>
        <v>0</v>
      </c>
      <c r="M18" s="704"/>
      <c r="N18" s="1323"/>
      <c r="O18" s="920"/>
      <c r="P18" s="1322"/>
      <c r="Q18" s="594">
        <f t="shared" ref="Q18:Q27" si="12">SUM(N18:P18)</f>
        <v>0</v>
      </c>
      <c r="R18" s="1323"/>
      <c r="S18" s="920"/>
      <c r="T18" s="921"/>
      <c r="U18" s="1205">
        <f t="shared" si="4"/>
        <v>0</v>
      </c>
      <c r="V18" s="921"/>
      <c r="W18" s="920"/>
      <c r="X18" s="922"/>
    </row>
    <row r="19" spans="1:24" ht="11.25" customHeight="1" x14ac:dyDescent="0.25">
      <c r="A19" s="63" t="str">
        <f>'Org structure'!E15</f>
        <v>2.2 - Risk Management</v>
      </c>
      <c r="B19" s="55"/>
      <c r="C19" s="920"/>
      <c r="D19" s="920"/>
      <c r="E19" s="1322"/>
      <c r="F19" s="1323"/>
      <c r="G19" s="920"/>
      <c r="H19" s="1322"/>
      <c r="I19" s="921"/>
      <c r="J19" s="610">
        <f>Q19+V19</f>
        <v>0</v>
      </c>
      <c r="K19" s="592">
        <f>U19+W19</f>
        <v>0</v>
      </c>
      <c r="L19" s="1209">
        <f t="shared" si="11"/>
        <v>0</v>
      </c>
      <c r="M19" s="704"/>
      <c r="N19" s="1323"/>
      <c r="O19" s="920"/>
      <c r="P19" s="1322"/>
      <c r="Q19" s="594">
        <f t="shared" si="12"/>
        <v>0</v>
      </c>
      <c r="R19" s="1323"/>
      <c r="S19" s="920"/>
      <c r="T19" s="921"/>
      <c r="U19" s="1205">
        <f t="shared" si="4"/>
        <v>0</v>
      </c>
      <c r="V19" s="921"/>
      <c r="W19" s="920"/>
      <c r="X19" s="922"/>
    </row>
    <row r="20" spans="1:24" ht="11.25" customHeight="1" x14ac:dyDescent="0.25">
      <c r="A20" s="63" t="str">
        <f>'Org structure'!E16</f>
        <v>2.3 - Institutional Performance Management</v>
      </c>
      <c r="B20" s="55"/>
      <c r="C20" s="920"/>
      <c r="D20" s="920"/>
      <c r="E20" s="1322"/>
      <c r="F20" s="1323"/>
      <c r="G20" s="920"/>
      <c r="H20" s="1322"/>
      <c r="I20" s="921"/>
      <c r="J20" s="610">
        <f t="shared" si="9"/>
        <v>0</v>
      </c>
      <c r="K20" s="592">
        <f t="shared" si="10"/>
        <v>0</v>
      </c>
      <c r="L20" s="1209">
        <f t="shared" si="11"/>
        <v>0</v>
      </c>
      <c r="M20" s="704"/>
      <c r="N20" s="1323"/>
      <c r="O20" s="920"/>
      <c r="P20" s="1322"/>
      <c r="Q20" s="594">
        <f t="shared" si="12"/>
        <v>0</v>
      </c>
      <c r="R20" s="1323"/>
      <c r="S20" s="920"/>
      <c r="T20" s="921"/>
      <c r="U20" s="1205">
        <f t="shared" si="4"/>
        <v>0</v>
      </c>
      <c r="V20" s="921"/>
      <c r="W20" s="920"/>
      <c r="X20" s="922"/>
    </row>
    <row r="21" spans="1:24" ht="11.25" customHeight="1" x14ac:dyDescent="0.25">
      <c r="A21" s="63" t="str">
        <f>'Org structure'!E17</f>
        <v>2.4 - IDP</v>
      </c>
      <c r="B21" s="55"/>
      <c r="C21" s="920"/>
      <c r="D21" s="920"/>
      <c r="E21" s="1322"/>
      <c r="F21" s="1323"/>
      <c r="G21" s="920"/>
      <c r="H21" s="1322"/>
      <c r="I21" s="921"/>
      <c r="J21" s="610">
        <f t="shared" si="9"/>
        <v>0</v>
      </c>
      <c r="K21" s="592">
        <f>U21+W21</f>
        <v>0</v>
      </c>
      <c r="L21" s="1209">
        <f t="shared" si="11"/>
        <v>0</v>
      </c>
      <c r="M21" s="704"/>
      <c r="N21" s="1323"/>
      <c r="O21" s="920"/>
      <c r="P21" s="1322"/>
      <c r="Q21" s="594">
        <f t="shared" si="12"/>
        <v>0</v>
      </c>
      <c r="R21" s="1323"/>
      <c r="S21" s="920"/>
      <c r="T21" s="921"/>
      <c r="U21" s="1205">
        <f t="shared" si="4"/>
        <v>0</v>
      </c>
      <c r="V21" s="921"/>
      <c r="W21" s="920"/>
      <c r="X21" s="922"/>
    </row>
    <row r="22" spans="1:24" ht="11.25" customHeight="1" x14ac:dyDescent="0.25">
      <c r="A22" s="63" t="str">
        <f>'Org structure'!E18</f>
        <v>2.5 - Economic Dev &amp; Tourism</v>
      </c>
      <c r="B22" s="55"/>
      <c r="C22" s="920"/>
      <c r="D22" s="920"/>
      <c r="E22" s="1322"/>
      <c r="F22" s="1323"/>
      <c r="G22" s="920"/>
      <c r="H22" s="1322"/>
      <c r="I22" s="921"/>
      <c r="J22" s="610">
        <f t="shared" si="9"/>
        <v>0</v>
      </c>
      <c r="K22" s="592">
        <f t="shared" si="10"/>
        <v>0</v>
      </c>
      <c r="L22" s="1209">
        <f t="shared" si="11"/>
        <v>0</v>
      </c>
      <c r="M22" s="704"/>
      <c r="N22" s="1323"/>
      <c r="O22" s="920"/>
      <c r="P22" s="1322"/>
      <c r="Q22" s="594">
        <f t="shared" si="12"/>
        <v>0</v>
      </c>
      <c r="R22" s="1323"/>
      <c r="S22" s="920"/>
      <c r="T22" s="921"/>
      <c r="U22" s="1205">
        <f t="shared" si="4"/>
        <v>0</v>
      </c>
      <c r="V22" s="921"/>
      <c r="W22" s="920"/>
      <c r="X22" s="922"/>
    </row>
    <row r="23" spans="1:24" ht="11.25" customHeight="1" x14ac:dyDescent="0.25">
      <c r="A23" s="63" t="str">
        <f>'Org structure'!E19</f>
        <v>2.6 - Communication &amp; IGR</v>
      </c>
      <c r="B23" s="55"/>
      <c r="C23" s="920"/>
      <c r="D23" s="920"/>
      <c r="E23" s="1322"/>
      <c r="F23" s="1323"/>
      <c r="G23" s="920"/>
      <c r="H23" s="1322"/>
      <c r="I23" s="921"/>
      <c r="J23" s="610">
        <f t="shared" si="9"/>
        <v>0</v>
      </c>
      <c r="K23" s="592">
        <f t="shared" si="10"/>
        <v>0</v>
      </c>
      <c r="L23" s="1209">
        <f t="shared" si="11"/>
        <v>0</v>
      </c>
      <c r="M23" s="704"/>
      <c r="N23" s="1323"/>
      <c r="O23" s="920"/>
      <c r="P23" s="1322"/>
      <c r="Q23" s="594">
        <f t="shared" si="12"/>
        <v>0</v>
      </c>
      <c r="R23" s="1323"/>
      <c r="S23" s="920"/>
      <c r="T23" s="921"/>
      <c r="U23" s="1205">
        <f t="shared" si="4"/>
        <v>0</v>
      </c>
      <c r="V23" s="921"/>
      <c r="W23" s="920"/>
      <c r="X23" s="922"/>
    </row>
    <row r="24" spans="1:24" ht="11.25" customHeight="1" x14ac:dyDescent="0.25">
      <c r="A24" s="63" t="str">
        <f>'Org structure'!E20</f>
        <v>2.7 - Executive support</v>
      </c>
      <c r="B24" s="55"/>
      <c r="C24" s="920"/>
      <c r="D24" s="920"/>
      <c r="E24" s="1322"/>
      <c r="F24" s="1323"/>
      <c r="G24" s="920"/>
      <c r="H24" s="1322"/>
      <c r="I24" s="921"/>
      <c r="J24" s="610">
        <f t="shared" si="9"/>
        <v>0</v>
      </c>
      <c r="K24" s="592">
        <f t="shared" si="10"/>
        <v>0</v>
      </c>
      <c r="L24" s="1209">
        <f t="shared" si="11"/>
        <v>0</v>
      </c>
      <c r="M24" s="704"/>
      <c r="N24" s="1323"/>
      <c r="O24" s="920"/>
      <c r="P24" s="1322"/>
      <c r="Q24" s="594">
        <f t="shared" si="12"/>
        <v>0</v>
      </c>
      <c r="R24" s="1323"/>
      <c r="S24" s="920"/>
      <c r="T24" s="921"/>
      <c r="U24" s="1205">
        <f t="shared" si="4"/>
        <v>0</v>
      </c>
      <c r="V24" s="921"/>
      <c r="W24" s="920"/>
      <c r="X24" s="922"/>
    </row>
    <row r="25" spans="1:24" ht="11.25" customHeight="1" x14ac:dyDescent="0.25">
      <c r="A25" s="63" t="str">
        <f>'Org structure'!E21</f>
        <v>2.8 - [Name of sub-vote]</v>
      </c>
      <c r="B25" s="55"/>
      <c r="C25" s="920"/>
      <c r="D25" s="920"/>
      <c r="E25" s="1322"/>
      <c r="F25" s="1323"/>
      <c r="G25" s="920"/>
      <c r="H25" s="1322"/>
      <c r="I25" s="921"/>
      <c r="J25" s="610">
        <f t="shared" si="9"/>
        <v>0</v>
      </c>
      <c r="K25" s="592">
        <f t="shared" si="10"/>
        <v>0</v>
      </c>
      <c r="L25" s="1209">
        <f t="shared" si="11"/>
        <v>0</v>
      </c>
      <c r="M25" s="704"/>
      <c r="N25" s="1323"/>
      <c r="O25" s="920"/>
      <c r="P25" s="1322"/>
      <c r="Q25" s="594">
        <f t="shared" si="12"/>
        <v>0</v>
      </c>
      <c r="R25" s="1323"/>
      <c r="S25" s="920"/>
      <c r="T25" s="921"/>
      <c r="U25" s="1205">
        <f t="shared" si="4"/>
        <v>0</v>
      </c>
      <c r="V25" s="921"/>
      <c r="W25" s="920"/>
      <c r="X25" s="922"/>
    </row>
    <row r="26" spans="1:24" ht="11.25" customHeight="1" x14ac:dyDescent="0.25">
      <c r="A26" s="63">
        <f>'Org structure'!E22</f>
        <v>0</v>
      </c>
      <c r="B26" s="55"/>
      <c r="C26" s="920"/>
      <c r="D26" s="920"/>
      <c r="E26" s="1322"/>
      <c r="F26" s="1323"/>
      <c r="G26" s="920"/>
      <c r="H26" s="1322"/>
      <c r="I26" s="921"/>
      <c r="J26" s="610">
        <f t="shared" si="9"/>
        <v>0</v>
      </c>
      <c r="K26" s="592">
        <f t="shared" si="10"/>
        <v>0</v>
      </c>
      <c r="L26" s="1209">
        <f t="shared" si="11"/>
        <v>0</v>
      </c>
      <c r="M26" s="704"/>
      <c r="N26" s="1323"/>
      <c r="O26" s="920"/>
      <c r="P26" s="1322"/>
      <c r="Q26" s="594">
        <f t="shared" si="12"/>
        <v>0</v>
      </c>
      <c r="R26" s="1323"/>
      <c r="S26" s="920"/>
      <c r="T26" s="921"/>
      <c r="U26" s="1205">
        <f t="shared" si="4"/>
        <v>0</v>
      </c>
      <c r="V26" s="921"/>
      <c r="W26" s="920"/>
      <c r="X26" s="922"/>
    </row>
    <row r="27" spans="1:24" ht="11.25" customHeight="1" x14ac:dyDescent="0.25">
      <c r="A27" s="63">
        <f>'Org structure'!E23</f>
        <v>0</v>
      </c>
      <c r="B27" s="55"/>
      <c r="C27" s="920"/>
      <c r="D27" s="920"/>
      <c r="E27" s="1322"/>
      <c r="F27" s="1323"/>
      <c r="G27" s="920"/>
      <c r="H27" s="1322"/>
      <c r="I27" s="921"/>
      <c r="J27" s="610">
        <f t="shared" si="9"/>
        <v>0</v>
      </c>
      <c r="K27" s="592">
        <f t="shared" si="10"/>
        <v>0</v>
      </c>
      <c r="L27" s="1209">
        <f t="shared" si="11"/>
        <v>0</v>
      </c>
      <c r="M27" s="704"/>
      <c r="N27" s="1323"/>
      <c r="O27" s="920"/>
      <c r="P27" s="1322"/>
      <c r="Q27" s="594">
        <f t="shared" si="12"/>
        <v>0</v>
      </c>
      <c r="R27" s="1323"/>
      <c r="S27" s="920"/>
      <c r="T27" s="921"/>
      <c r="U27" s="1205">
        <f t="shared" si="4"/>
        <v>0</v>
      </c>
      <c r="V27" s="921"/>
      <c r="W27" s="920"/>
      <c r="X27" s="922"/>
    </row>
    <row r="28" spans="1:24" ht="15" customHeight="1" x14ac:dyDescent="0.25">
      <c r="A28" s="189" t="str">
        <f>'Org structure'!A4</f>
        <v>Vote 3 - FINANCIAL SERVICES</v>
      </c>
      <c r="B28" s="369"/>
      <c r="C28" s="592">
        <f>SUM(C29:C38)</f>
        <v>0</v>
      </c>
      <c r="D28" s="592">
        <f t="shared" ref="D28:L28" si="13">SUM(D29:D38)</f>
        <v>0</v>
      </c>
      <c r="E28" s="595">
        <f t="shared" si="13"/>
        <v>0</v>
      </c>
      <c r="F28" s="594">
        <f t="shared" si="13"/>
        <v>0</v>
      </c>
      <c r="G28" s="592">
        <f t="shared" si="13"/>
        <v>0</v>
      </c>
      <c r="H28" s="595">
        <f t="shared" si="13"/>
        <v>0</v>
      </c>
      <c r="I28" s="593">
        <f>SUM(I29:I38)</f>
        <v>0</v>
      </c>
      <c r="J28" s="610">
        <f t="shared" si="13"/>
        <v>0</v>
      </c>
      <c r="K28" s="592">
        <f t="shared" si="13"/>
        <v>0</v>
      </c>
      <c r="L28" s="1209">
        <f t="shared" si="13"/>
        <v>0</v>
      </c>
      <c r="M28" s="704"/>
      <c r="N28" s="594">
        <f t="shared" ref="N28:X28" si="14">SUM(N29:N38)</f>
        <v>0</v>
      </c>
      <c r="O28" s="592">
        <f t="shared" si="14"/>
        <v>0</v>
      </c>
      <c r="P28" s="595">
        <f t="shared" si="14"/>
        <v>0</v>
      </c>
      <c r="Q28" s="594">
        <f t="shared" si="14"/>
        <v>0</v>
      </c>
      <c r="R28" s="594">
        <f t="shared" si="14"/>
        <v>0</v>
      </c>
      <c r="S28" s="592">
        <f t="shared" si="14"/>
        <v>0</v>
      </c>
      <c r="T28" s="1207">
        <f t="shared" si="14"/>
        <v>0</v>
      </c>
      <c r="U28" s="1205">
        <f t="shared" si="14"/>
        <v>0</v>
      </c>
      <c r="V28" s="1208">
        <f t="shared" si="14"/>
        <v>0</v>
      </c>
      <c r="W28" s="592">
        <f t="shared" si="14"/>
        <v>0</v>
      </c>
      <c r="X28" s="1209">
        <f t="shared" si="14"/>
        <v>0</v>
      </c>
    </row>
    <row r="29" spans="1:24" ht="11.25" customHeight="1" x14ac:dyDescent="0.25">
      <c r="A29" s="63" t="str">
        <f>'Org structure'!E25</f>
        <v>3.1 - Executive support</v>
      </c>
      <c r="B29" s="55"/>
      <c r="C29" s="920"/>
      <c r="D29" s="920"/>
      <c r="E29" s="1322"/>
      <c r="F29" s="1323"/>
      <c r="G29" s="920"/>
      <c r="H29" s="1322"/>
      <c r="I29" s="921"/>
      <c r="J29" s="610">
        <f t="shared" ref="J29:J38" si="15">Q29+V29</f>
        <v>0</v>
      </c>
      <c r="K29" s="592">
        <f t="shared" ref="K29:K38" si="16">U29+W29</f>
        <v>0</v>
      </c>
      <c r="L29" s="1209">
        <f t="shared" ref="L29:L38" si="17">X29</f>
        <v>0</v>
      </c>
      <c r="M29" s="704"/>
      <c r="N29" s="1323"/>
      <c r="O29" s="920"/>
      <c r="P29" s="1322"/>
      <c r="Q29" s="594">
        <f t="shared" ref="Q29:Q38" si="18">SUM(N29:P29)</f>
        <v>0</v>
      </c>
      <c r="R29" s="1323"/>
      <c r="S29" s="920"/>
      <c r="T29" s="921"/>
      <c r="U29" s="1205">
        <f t="shared" si="4"/>
        <v>0</v>
      </c>
      <c r="V29" s="921"/>
      <c r="W29" s="920"/>
      <c r="X29" s="922"/>
    </row>
    <row r="30" spans="1:24" ht="11.25" customHeight="1" x14ac:dyDescent="0.25">
      <c r="A30" s="63" t="str">
        <f>'Org structure'!E26</f>
        <v>3.2 - Budget &amp; Financial Reporting</v>
      </c>
      <c r="B30" s="55"/>
      <c r="C30" s="920"/>
      <c r="D30" s="920"/>
      <c r="E30" s="1322"/>
      <c r="F30" s="1323"/>
      <c r="G30" s="920"/>
      <c r="H30" s="1322"/>
      <c r="I30" s="921"/>
      <c r="J30" s="610">
        <f t="shared" si="15"/>
        <v>0</v>
      </c>
      <c r="K30" s="592">
        <f t="shared" si="16"/>
        <v>0</v>
      </c>
      <c r="L30" s="1209">
        <f t="shared" si="17"/>
        <v>0</v>
      </c>
      <c r="M30" s="704"/>
      <c r="N30" s="1323"/>
      <c r="O30" s="920"/>
      <c r="P30" s="1322"/>
      <c r="Q30" s="594">
        <f t="shared" si="18"/>
        <v>0</v>
      </c>
      <c r="R30" s="1323"/>
      <c r="S30" s="920"/>
      <c r="T30" s="921"/>
      <c r="U30" s="1205">
        <f t="shared" si="4"/>
        <v>0</v>
      </c>
      <c r="V30" s="921"/>
      <c r="W30" s="920"/>
      <c r="X30" s="922"/>
    </row>
    <row r="31" spans="1:24" ht="11.25" customHeight="1" x14ac:dyDescent="0.25">
      <c r="A31" s="63" t="str">
        <f>'Org structure'!E27</f>
        <v>3.3 - Asset &amp; Fleet Management</v>
      </c>
      <c r="B31" s="55"/>
      <c r="C31" s="920"/>
      <c r="D31" s="920"/>
      <c r="E31" s="1322"/>
      <c r="F31" s="1323"/>
      <c r="G31" s="920"/>
      <c r="H31" s="1322"/>
      <c r="I31" s="921"/>
      <c r="J31" s="610">
        <f t="shared" si="15"/>
        <v>0</v>
      </c>
      <c r="K31" s="592">
        <f t="shared" si="16"/>
        <v>0</v>
      </c>
      <c r="L31" s="1209">
        <f t="shared" si="17"/>
        <v>0</v>
      </c>
      <c r="M31" s="704"/>
      <c r="N31" s="1323"/>
      <c r="O31" s="920"/>
      <c r="P31" s="1322"/>
      <c r="Q31" s="594">
        <f t="shared" si="18"/>
        <v>0</v>
      </c>
      <c r="R31" s="1323"/>
      <c r="S31" s="920"/>
      <c r="T31" s="921"/>
      <c r="U31" s="1205">
        <f>SUM(R31:T31)</f>
        <v>0</v>
      </c>
      <c r="V31" s="921"/>
      <c r="W31" s="920"/>
      <c r="X31" s="922"/>
    </row>
    <row r="32" spans="1:24" ht="11.25" customHeight="1" x14ac:dyDescent="0.25">
      <c r="A32" s="63" t="str">
        <f>'Org structure'!E28</f>
        <v>3.4 - Financial Management Information systems</v>
      </c>
      <c r="B32" s="55"/>
      <c r="C32" s="920"/>
      <c r="D32" s="920"/>
      <c r="E32" s="1322"/>
      <c r="F32" s="1323"/>
      <c r="G32" s="920"/>
      <c r="H32" s="1322"/>
      <c r="I32" s="921"/>
      <c r="J32" s="610">
        <f t="shared" si="15"/>
        <v>0</v>
      </c>
      <c r="K32" s="592">
        <f>U32+W32</f>
        <v>0</v>
      </c>
      <c r="L32" s="1209">
        <f t="shared" si="17"/>
        <v>0</v>
      </c>
      <c r="M32" s="704"/>
      <c r="N32" s="1323"/>
      <c r="O32" s="920"/>
      <c r="P32" s="1322"/>
      <c r="Q32" s="594">
        <f t="shared" si="18"/>
        <v>0</v>
      </c>
      <c r="R32" s="1323"/>
      <c r="S32" s="920"/>
      <c r="T32" s="921"/>
      <c r="U32" s="1205">
        <f t="shared" si="4"/>
        <v>0</v>
      </c>
      <c r="V32" s="921"/>
      <c r="W32" s="920"/>
      <c r="X32" s="922"/>
    </row>
    <row r="33" spans="1:24" ht="11.25" customHeight="1" x14ac:dyDescent="0.25">
      <c r="A33" s="63" t="str">
        <f>'Org structure'!E29</f>
        <v>3.5 - Cashier Receipting &amp; Debtors</v>
      </c>
      <c r="B33" s="55"/>
      <c r="C33" s="920"/>
      <c r="D33" s="920"/>
      <c r="E33" s="1322"/>
      <c r="F33" s="1323"/>
      <c r="G33" s="920"/>
      <c r="H33" s="1322"/>
      <c r="I33" s="921"/>
      <c r="J33" s="610">
        <f>Q33+V33</f>
        <v>0</v>
      </c>
      <c r="K33" s="592">
        <f t="shared" si="16"/>
        <v>0</v>
      </c>
      <c r="L33" s="1209">
        <f t="shared" si="17"/>
        <v>0</v>
      </c>
      <c r="M33" s="704"/>
      <c r="N33" s="1323"/>
      <c r="O33" s="920"/>
      <c r="P33" s="1322"/>
      <c r="Q33" s="594">
        <f t="shared" si="18"/>
        <v>0</v>
      </c>
      <c r="R33" s="1323"/>
      <c r="S33" s="920"/>
      <c r="T33" s="921"/>
      <c r="U33" s="1205">
        <f t="shared" si="4"/>
        <v>0</v>
      </c>
      <c r="V33" s="921"/>
      <c r="W33" s="920"/>
      <c r="X33" s="922"/>
    </row>
    <row r="34" spans="1:24" ht="11.25" customHeight="1" x14ac:dyDescent="0.25">
      <c r="A34" s="63" t="str">
        <f>'Org structure'!E30</f>
        <v>3.6 - Credit control</v>
      </c>
      <c r="B34" s="55"/>
      <c r="C34" s="920"/>
      <c r="D34" s="920"/>
      <c r="E34" s="1322"/>
      <c r="F34" s="1323"/>
      <c r="G34" s="920"/>
      <c r="H34" s="1322"/>
      <c r="I34" s="921"/>
      <c r="J34" s="610">
        <f t="shared" si="15"/>
        <v>0</v>
      </c>
      <c r="K34" s="592">
        <f t="shared" si="16"/>
        <v>0</v>
      </c>
      <c r="L34" s="1209">
        <f t="shared" si="17"/>
        <v>0</v>
      </c>
      <c r="M34" s="704"/>
      <c r="N34" s="1323"/>
      <c r="O34" s="920"/>
      <c r="P34" s="1322"/>
      <c r="Q34" s="594">
        <f t="shared" si="18"/>
        <v>0</v>
      </c>
      <c r="R34" s="1323"/>
      <c r="S34" s="920"/>
      <c r="T34" s="921"/>
      <c r="U34" s="1205">
        <f t="shared" si="4"/>
        <v>0</v>
      </c>
      <c r="V34" s="921"/>
      <c r="W34" s="920"/>
      <c r="X34" s="922"/>
    </row>
    <row r="35" spans="1:24" ht="11.25" customHeight="1" x14ac:dyDescent="0.25">
      <c r="A35" s="63" t="str">
        <f>'Org structure'!E31</f>
        <v>3.7 - Expenditure</v>
      </c>
      <c r="B35" s="55"/>
      <c r="C35" s="920"/>
      <c r="D35" s="920"/>
      <c r="E35" s="1322"/>
      <c r="F35" s="1323"/>
      <c r="G35" s="920"/>
      <c r="H35" s="1322"/>
      <c r="I35" s="921"/>
      <c r="J35" s="610">
        <f t="shared" si="15"/>
        <v>0</v>
      </c>
      <c r="K35" s="592">
        <f t="shared" si="16"/>
        <v>0</v>
      </c>
      <c r="L35" s="1209">
        <f t="shared" si="17"/>
        <v>0</v>
      </c>
      <c r="M35" s="704"/>
      <c r="N35" s="1323"/>
      <c r="O35" s="920"/>
      <c r="P35" s="1322"/>
      <c r="Q35" s="594">
        <f t="shared" si="18"/>
        <v>0</v>
      </c>
      <c r="R35" s="1323"/>
      <c r="S35" s="920"/>
      <c r="T35" s="921"/>
      <c r="U35" s="1205">
        <f t="shared" si="4"/>
        <v>0</v>
      </c>
      <c r="V35" s="921"/>
      <c r="W35" s="920"/>
      <c r="X35" s="922"/>
    </row>
    <row r="36" spans="1:24" ht="11.25" customHeight="1" x14ac:dyDescent="0.25">
      <c r="A36" s="63" t="str">
        <f>'Org structure'!E32</f>
        <v>3.8 - Supply Chain</v>
      </c>
      <c r="B36" s="55"/>
      <c r="C36" s="920"/>
      <c r="D36" s="920"/>
      <c r="E36" s="1322"/>
      <c r="F36" s="1323"/>
      <c r="G36" s="920"/>
      <c r="H36" s="1322"/>
      <c r="I36" s="921"/>
      <c r="J36" s="610">
        <f t="shared" si="15"/>
        <v>0</v>
      </c>
      <c r="K36" s="592">
        <f t="shared" si="16"/>
        <v>0</v>
      </c>
      <c r="L36" s="1209">
        <f t="shared" si="17"/>
        <v>0</v>
      </c>
      <c r="M36" s="704"/>
      <c r="N36" s="1323"/>
      <c r="O36" s="920"/>
      <c r="P36" s="1322"/>
      <c r="Q36" s="594">
        <f t="shared" si="18"/>
        <v>0</v>
      </c>
      <c r="R36" s="1323"/>
      <c r="S36" s="920"/>
      <c r="T36" s="921"/>
      <c r="U36" s="1205">
        <f t="shared" si="4"/>
        <v>0</v>
      </c>
      <c r="V36" s="921"/>
      <c r="W36" s="920"/>
      <c r="X36" s="922"/>
    </row>
    <row r="37" spans="1:24" ht="11.25" customHeight="1" x14ac:dyDescent="0.25">
      <c r="A37" s="63" t="str">
        <f>'Org structure'!E33</f>
        <v xml:space="preserve">3.9 - </v>
      </c>
      <c r="B37" s="55"/>
      <c r="C37" s="920"/>
      <c r="D37" s="920"/>
      <c r="E37" s="1322"/>
      <c r="F37" s="1323"/>
      <c r="G37" s="920"/>
      <c r="H37" s="1322"/>
      <c r="I37" s="921"/>
      <c r="J37" s="610">
        <f t="shared" si="15"/>
        <v>0</v>
      </c>
      <c r="K37" s="592">
        <f t="shared" si="16"/>
        <v>0</v>
      </c>
      <c r="L37" s="1209">
        <f t="shared" si="17"/>
        <v>0</v>
      </c>
      <c r="M37" s="704"/>
      <c r="N37" s="1323"/>
      <c r="O37" s="920"/>
      <c r="P37" s="1322"/>
      <c r="Q37" s="594">
        <f t="shared" si="18"/>
        <v>0</v>
      </c>
      <c r="R37" s="1323"/>
      <c r="S37" s="920"/>
      <c r="T37" s="921"/>
      <c r="U37" s="1205">
        <f t="shared" si="4"/>
        <v>0</v>
      </c>
      <c r="V37" s="921"/>
      <c r="W37" s="920"/>
      <c r="X37" s="922"/>
    </row>
    <row r="38" spans="1:24" ht="11.25" customHeight="1" x14ac:dyDescent="0.25">
      <c r="A38" s="63" t="str">
        <f>'Org structure'!E34</f>
        <v xml:space="preserve">3.10 - </v>
      </c>
      <c r="B38" s="55"/>
      <c r="C38" s="920"/>
      <c r="D38" s="920"/>
      <c r="E38" s="1322"/>
      <c r="F38" s="1323"/>
      <c r="G38" s="920"/>
      <c r="H38" s="1322"/>
      <c r="I38" s="921"/>
      <c r="J38" s="610">
        <f t="shared" si="15"/>
        <v>0</v>
      </c>
      <c r="K38" s="592">
        <f t="shared" si="16"/>
        <v>0</v>
      </c>
      <c r="L38" s="1209">
        <f t="shared" si="17"/>
        <v>0</v>
      </c>
      <c r="M38" s="704"/>
      <c r="N38" s="1323"/>
      <c r="O38" s="920"/>
      <c r="P38" s="1322"/>
      <c r="Q38" s="594">
        <f t="shared" si="18"/>
        <v>0</v>
      </c>
      <c r="R38" s="1323"/>
      <c r="S38" s="920"/>
      <c r="T38" s="921"/>
      <c r="U38" s="1205">
        <f t="shared" si="4"/>
        <v>0</v>
      </c>
      <c r="V38" s="921"/>
      <c r="W38" s="920"/>
      <c r="X38" s="922"/>
    </row>
    <row r="39" spans="1:24" ht="15" customHeight="1" x14ac:dyDescent="0.25">
      <c r="A39" s="189" t="str">
        <f>'Org structure'!A5</f>
        <v>Vote 4 - CORPORATE SERVICES</v>
      </c>
      <c r="B39" s="369"/>
      <c r="C39" s="592">
        <f>SUM(C40:C49)</f>
        <v>0</v>
      </c>
      <c r="D39" s="592">
        <f t="shared" ref="D39:L39" si="19">SUM(D40:D49)</f>
        <v>0</v>
      </c>
      <c r="E39" s="595">
        <f t="shared" si="19"/>
        <v>0</v>
      </c>
      <c r="F39" s="611">
        <f t="shared" si="19"/>
        <v>0</v>
      </c>
      <c r="G39" s="592">
        <f t="shared" si="19"/>
        <v>0</v>
      </c>
      <c r="H39" s="595">
        <f t="shared" si="19"/>
        <v>0</v>
      </c>
      <c r="I39" s="593">
        <f>SUM(I40:I49)</f>
        <v>0</v>
      </c>
      <c r="J39" s="610">
        <f t="shared" si="19"/>
        <v>0</v>
      </c>
      <c r="K39" s="592">
        <f t="shared" si="19"/>
        <v>0</v>
      </c>
      <c r="L39" s="1209">
        <f t="shared" si="19"/>
        <v>0</v>
      </c>
      <c r="M39" s="704"/>
      <c r="N39" s="594">
        <f t="shared" ref="N39:X39" si="20">SUM(N40:N49)</f>
        <v>0</v>
      </c>
      <c r="O39" s="592">
        <f t="shared" si="20"/>
        <v>0</v>
      </c>
      <c r="P39" s="612">
        <f t="shared" si="20"/>
        <v>0</v>
      </c>
      <c r="Q39" s="594">
        <f t="shared" si="20"/>
        <v>0</v>
      </c>
      <c r="R39" s="594">
        <f t="shared" si="20"/>
        <v>0</v>
      </c>
      <c r="S39" s="592">
        <f t="shared" si="20"/>
        <v>0</v>
      </c>
      <c r="T39" s="1207">
        <f t="shared" si="20"/>
        <v>0</v>
      </c>
      <c r="U39" s="1205">
        <f t="shared" si="20"/>
        <v>0</v>
      </c>
      <c r="V39" s="1208">
        <f t="shared" si="20"/>
        <v>0</v>
      </c>
      <c r="W39" s="592">
        <f t="shared" si="20"/>
        <v>0</v>
      </c>
      <c r="X39" s="1209">
        <f t="shared" si="20"/>
        <v>0</v>
      </c>
    </row>
    <row r="40" spans="1:24" ht="11.25" customHeight="1" x14ac:dyDescent="0.25">
      <c r="A40" s="63" t="str">
        <f>'Org structure'!E36</f>
        <v>4.1 - Executive support; Secretariat; Registry &amp; Office Auxiliary</v>
      </c>
      <c r="B40" s="55"/>
      <c r="C40" s="920"/>
      <c r="D40" s="920"/>
      <c r="E40" s="1322"/>
      <c r="F40" s="1323"/>
      <c r="G40" s="920"/>
      <c r="H40" s="1322"/>
      <c r="I40" s="921"/>
      <c r="J40" s="610">
        <f t="shared" ref="J40:J49" si="21">Q40+V40</f>
        <v>0</v>
      </c>
      <c r="K40" s="592">
        <f t="shared" ref="K40:K49" si="22">U40+W40</f>
        <v>0</v>
      </c>
      <c r="L40" s="1209">
        <f t="shared" ref="L40:L49" si="23">X40</f>
        <v>0</v>
      </c>
      <c r="M40" s="704"/>
      <c r="N40" s="1323"/>
      <c r="O40" s="920"/>
      <c r="P40" s="1322"/>
      <c r="Q40" s="594">
        <f t="shared" ref="Q40:Q49" si="24">SUM(N40:P40)</f>
        <v>0</v>
      </c>
      <c r="R40" s="1323"/>
      <c r="S40" s="920"/>
      <c r="T40" s="921"/>
      <c r="U40" s="1205">
        <f t="shared" si="4"/>
        <v>0</v>
      </c>
      <c r="V40" s="921"/>
      <c r="W40" s="920"/>
      <c r="X40" s="922"/>
    </row>
    <row r="41" spans="1:24" ht="11.25" customHeight="1" x14ac:dyDescent="0.25">
      <c r="A41" s="63" t="str">
        <f>'Org structure'!E37</f>
        <v>4.2 - ICT</v>
      </c>
      <c r="B41" s="55"/>
      <c r="C41" s="920"/>
      <c r="D41" s="920"/>
      <c r="E41" s="1322"/>
      <c r="F41" s="1323"/>
      <c r="G41" s="920"/>
      <c r="H41" s="1322"/>
      <c r="I41" s="921"/>
      <c r="J41" s="610">
        <f t="shared" si="21"/>
        <v>0</v>
      </c>
      <c r="K41" s="592">
        <f t="shared" si="22"/>
        <v>0</v>
      </c>
      <c r="L41" s="1209">
        <f t="shared" si="23"/>
        <v>0</v>
      </c>
      <c r="M41" s="704"/>
      <c r="N41" s="1323"/>
      <c r="O41" s="920"/>
      <c r="P41" s="1322"/>
      <c r="Q41" s="594">
        <f t="shared" si="24"/>
        <v>0</v>
      </c>
      <c r="R41" s="1323"/>
      <c r="S41" s="920"/>
      <c r="T41" s="921"/>
      <c r="U41" s="1205">
        <f t="shared" si="4"/>
        <v>0</v>
      </c>
      <c r="V41" s="921"/>
      <c r="W41" s="920"/>
      <c r="X41" s="922"/>
    </row>
    <row r="42" spans="1:24" ht="11.25" customHeight="1" x14ac:dyDescent="0.25">
      <c r="A42" s="63" t="str">
        <f>'Org structure'!E38</f>
        <v>4.3 - Office of Political office bearers</v>
      </c>
      <c r="B42" s="55"/>
      <c r="C42" s="920"/>
      <c r="D42" s="920"/>
      <c r="E42" s="1322"/>
      <c r="F42" s="1323"/>
      <c r="G42" s="920"/>
      <c r="H42" s="1322"/>
      <c r="I42" s="921"/>
      <c r="J42" s="610">
        <f t="shared" si="21"/>
        <v>0</v>
      </c>
      <c r="K42" s="592">
        <f t="shared" si="22"/>
        <v>0</v>
      </c>
      <c r="L42" s="1209">
        <f t="shared" si="23"/>
        <v>0</v>
      </c>
      <c r="M42" s="704"/>
      <c r="N42" s="1323"/>
      <c r="O42" s="920"/>
      <c r="P42" s="1322"/>
      <c r="Q42" s="594">
        <f t="shared" si="24"/>
        <v>0</v>
      </c>
      <c r="R42" s="1323"/>
      <c r="S42" s="920"/>
      <c r="T42" s="921"/>
      <c r="U42" s="1205">
        <f t="shared" si="4"/>
        <v>0</v>
      </c>
      <c r="V42" s="921"/>
      <c r="W42" s="920"/>
      <c r="X42" s="922"/>
    </row>
    <row r="43" spans="1:24" ht="11.25" customHeight="1" x14ac:dyDescent="0.25">
      <c r="A43" s="63" t="str">
        <f>'Org structure'!E39</f>
        <v>4.4 - Property Management</v>
      </c>
      <c r="B43" s="55"/>
      <c r="C43" s="920"/>
      <c r="D43" s="920"/>
      <c r="E43" s="1322"/>
      <c r="F43" s="1323"/>
      <c r="G43" s="920"/>
      <c r="H43" s="1322"/>
      <c r="I43" s="921"/>
      <c r="J43" s="610">
        <f t="shared" si="21"/>
        <v>0</v>
      </c>
      <c r="K43" s="592">
        <f t="shared" si="22"/>
        <v>0</v>
      </c>
      <c r="L43" s="1209">
        <f t="shared" si="23"/>
        <v>0</v>
      </c>
      <c r="M43" s="704"/>
      <c r="N43" s="1323"/>
      <c r="O43" s="920"/>
      <c r="P43" s="1322"/>
      <c r="Q43" s="594">
        <f t="shared" si="24"/>
        <v>0</v>
      </c>
      <c r="R43" s="1323"/>
      <c r="S43" s="920"/>
      <c r="T43" s="921"/>
      <c r="U43" s="1205">
        <f t="shared" si="4"/>
        <v>0</v>
      </c>
      <c r="V43" s="921"/>
      <c r="W43" s="920"/>
      <c r="X43" s="922"/>
    </row>
    <row r="44" spans="1:24" ht="11.25" customHeight="1" x14ac:dyDescent="0.25">
      <c r="A44" s="63" t="str">
        <f>'Org structure'!E40</f>
        <v>4.5 - Labour relations &amp; Occupational health</v>
      </c>
      <c r="B44" s="55"/>
      <c r="C44" s="920"/>
      <c r="D44" s="920"/>
      <c r="E44" s="1322"/>
      <c r="F44" s="1323"/>
      <c r="G44" s="920"/>
      <c r="H44" s="1322"/>
      <c r="I44" s="921"/>
      <c r="J44" s="610">
        <f t="shared" si="21"/>
        <v>0</v>
      </c>
      <c r="K44" s="592">
        <f t="shared" si="22"/>
        <v>0</v>
      </c>
      <c r="L44" s="1209">
        <f t="shared" si="23"/>
        <v>0</v>
      </c>
      <c r="M44" s="704"/>
      <c r="N44" s="1323"/>
      <c r="O44" s="920"/>
      <c r="P44" s="1322"/>
      <c r="Q44" s="594">
        <f t="shared" si="24"/>
        <v>0</v>
      </c>
      <c r="R44" s="1323"/>
      <c r="S44" s="920"/>
      <c r="T44" s="921"/>
      <c r="U44" s="1205">
        <f t="shared" si="4"/>
        <v>0</v>
      </c>
      <c r="V44" s="921"/>
      <c r="W44" s="920"/>
      <c r="X44" s="922"/>
    </row>
    <row r="45" spans="1:24" ht="11.25" customHeight="1" x14ac:dyDescent="0.25">
      <c r="A45" s="63" t="str">
        <f>'Org structure'!E41</f>
        <v>4.6 - Training &amp; Development</v>
      </c>
      <c r="B45" s="55"/>
      <c r="C45" s="920"/>
      <c r="D45" s="920"/>
      <c r="E45" s="1322"/>
      <c r="F45" s="1323"/>
      <c r="G45" s="920"/>
      <c r="H45" s="1322"/>
      <c r="I45" s="921"/>
      <c r="J45" s="610">
        <f t="shared" si="21"/>
        <v>0</v>
      </c>
      <c r="K45" s="592">
        <f t="shared" si="22"/>
        <v>0</v>
      </c>
      <c r="L45" s="1209">
        <f t="shared" si="23"/>
        <v>0</v>
      </c>
      <c r="M45" s="704"/>
      <c r="N45" s="1323"/>
      <c r="O45" s="920"/>
      <c r="P45" s="1322"/>
      <c r="Q45" s="594">
        <f t="shared" si="24"/>
        <v>0</v>
      </c>
      <c r="R45" s="1323"/>
      <c r="S45" s="920"/>
      <c r="T45" s="921"/>
      <c r="U45" s="1205">
        <f t="shared" si="4"/>
        <v>0</v>
      </c>
      <c r="V45" s="921"/>
      <c r="W45" s="920"/>
      <c r="X45" s="922"/>
    </row>
    <row r="46" spans="1:24" ht="11.25" customHeight="1" x14ac:dyDescent="0.25">
      <c r="A46" s="63" t="str">
        <f>'Org structure'!E42</f>
        <v>4.7 - HR Administration</v>
      </c>
      <c r="B46" s="55"/>
      <c r="C46" s="920"/>
      <c r="D46" s="920"/>
      <c r="E46" s="1322"/>
      <c r="F46" s="1323"/>
      <c r="G46" s="920"/>
      <c r="H46" s="1322"/>
      <c r="I46" s="921"/>
      <c r="J46" s="610">
        <f t="shared" si="21"/>
        <v>0</v>
      </c>
      <c r="K46" s="592">
        <f t="shared" si="22"/>
        <v>0</v>
      </c>
      <c r="L46" s="1209">
        <f t="shared" si="23"/>
        <v>0</v>
      </c>
      <c r="M46" s="704"/>
      <c r="N46" s="1323"/>
      <c r="O46" s="920"/>
      <c r="P46" s="1322"/>
      <c r="Q46" s="594">
        <f t="shared" si="24"/>
        <v>0</v>
      </c>
      <c r="R46" s="1323"/>
      <c r="S46" s="920"/>
      <c r="T46" s="921"/>
      <c r="U46" s="1205">
        <f t="shared" si="4"/>
        <v>0</v>
      </c>
      <c r="V46" s="921"/>
      <c r="W46" s="920"/>
      <c r="X46" s="922"/>
    </row>
    <row r="47" spans="1:24" ht="11.25" customHeight="1" x14ac:dyDescent="0.25">
      <c r="A47" s="63" t="str">
        <f>'Org structure'!E43</f>
        <v>4.8 - Community facilities &amp; halls</v>
      </c>
      <c r="B47" s="55"/>
      <c r="C47" s="920"/>
      <c r="D47" s="920"/>
      <c r="E47" s="1322"/>
      <c r="F47" s="1323"/>
      <c r="G47" s="920"/>
      <c r="H47" s="1322"/>
      <c r="I47" s="921"/>
      <c r="J47" s="610">
        <f t="shared" si="21"/>
        <v>0</v>
      </c>
      <c r="K47" s="592">
        <f t="shared" si="22"/>
        <v>0</v>
      </c>
      <c r="L47" s="1209">
        <f t="shared" si="23"/>
        <v>0</v>
      </c>
      <c r="M47" s="704"/>
      <c r="N47" s="1323"/>
      <c r="O47" s="920"/>
      <c r="P47" s="1322"/>
      <c r="Q47" s="594">
        <f t="shared" si="24"/>
        <v>0</v>
      </c>
      <c r="R47" s="1323"/>
      <c r="S47" s="920"/>
      <c r="T47" s="921"/>
      <c r="U47" s="1205">
        <f t="shared" si="4"/>
        <v>0</v>
      </c>
      <c r="V47" s="921"/>
      <c r="W47" s="920"/>
      <c r="X47" s="922"/>
    </row>
    <row r="48" spans="1:24" ht="11.25" customHeight="1" x14ac:dyDescent="0.25">
      <c r="A48" s="63" t="str">
        <f>'Org structure'!E44</f>
        <v>4.9 - Museums &amp; art galleries</v>
      </c>
      <c r="B48" s="55"/>
      <c r="C48" s="920"/>
      <c r="D48" s="920"/>
      <c r="E48" s="1322"/>
      <c r="F48" s="1323"/>
      <c r="G48" s="920"/>
      <c r="H48" s="1322"/>
      <c r="I48" s="921"/>
      <c r="J48" s="610">
        <f t="shared" si="21"/>
        <v>0</v>
      </c>
      <c r="K48" s="592">
        <f t="shared" si="22"/>
        <v>0</v>
      </c>
      <c r="L48" s="1209">
        <f t="shared" si="23"/>
        <v>0</v>
      </c>
      <c r="M48" s="704"/>
      <c r="N48" s="1323"/>
      <c r="O48" s="920"/>
      <c r="P48" s="1322"/>
      <c r="Q48" s="594">
        <f t="shared" si="24"/>
        <v>0</v>
      </c>
      <c r="R48" s="1323"/>
      <c r="S48" s="920"/>
      <c r="T48" s="921"/>
      <c r="U48" s="1205">
        <f t="shared" si="4"/>
        <v>0</v>
      </c>
      <c r="V48" s="921"/>
      <c r="W48" s="920"/>
      <c r="X48" s="922"/>
    </row>
    <row r="49" spans="1:24" ht="11.25" customHeight="1" x14ac:dyDescent="0.25">
      <c r="A49" s="63" t="str">
        <f>'Org structure'!E45</f>
        <v>4.10 - Special Projects Unit</v>
      </c>
      <c r="B49" s="55"/>
      <c r="C49" s="920"/>
      <c r="D49" s="920"/>
      <c r="E49" s="1322"/>
      <c r="F49" s="1323"/>
      <c r="G49" s="920"/>
      <c r="H49" s="1322"/>
      <c r="I49" s="921"/>
      <c r="J49" s="610">
        <f t="shared" si="21"/>
        <v>0</v>
      </c>
      <c r="K49" s="592">
        <f t="shared" si="22"/>
        <v>0</v>
      </c>
      <c r="L49" s="1209">
        <f t="shared" si="23"/>
        <v>0</v>
      </c>
      <c r="M49" s="704"/>
      <c r="N49" s="1323"/>
      <c r="O49" s="920"/>
      <c r="P49" s="1322"/>
      <c r="Q49" s="594">
        <f t="shared" si="24"/>
        <v>0</v>
      </c>
      <c r="R49" s="1323"/>
      <c r="S49" s="920"/>
      <c r="T49" s="921"/>
      <c r="U49" s="1205">
        <f t="shared" si="4"/>
        <v>0</v>
      </c>
      <c r="V49" s="921"/>
      <c r="W49" s="920"/>
      <c r="X49" s="922"/>
    </row>
    <row r="50" spans="1:24" ht="15" customHeight="1" x14ac:dyDescent="0.25">
      <c r="A50" s="189" t="str">
        <f>'Org structure'!A6</f>
        <v>Vote 5 - INFRASTRUCTURE SERVICES</v>
      </c>
      <c r="B50" s="369"/>
      <c r="C50" s="592">
        <f>SUM(C51:C60)</f>
        <v>0</v>
      </c>
      <c r="D50" s="592">
        <f t="shared" ref="D50:L50" si="25">SUM(D51:D60)</f>
        <v>0</v>
      </c>
      <c r="E50" s="595">
        <f t="shared" si="25"/>
        <v>0</v>
      </c>
      <c r="F50" s="594">
        <f t="shared" si="25"/>
        <v>0</v>
      </c>
      <c r="G50" s="592">
        <f t="shared" si="25"/>
        <v>0</v>
      </c>
      <c r="H50" s="595">
        <f t="shared" si="25"/>
        <v>0</v>
      </c>
      <c r="I50" s="593">
        <f>SUM(I51:I60)</f>
        <v>0</v>
      </c>
      <c r="J50" s="610">
        <f t="shared" si="25"/>
        <v>0</v>
      </c>
      <c r="K50" s="592">
        <f t="shared" si="25"/>
        <v>0</v>
      </c>
      <c r="L50" s="1209">
        <f t="shared" si="25"/>
        <v>0</v>
      </c>
      <c r="M50" s="704"/>
      <c r="N50" s="594">
        <f t="shared" ref="N50:X50" si="26">SUM(N51:N60)</f>
        <v>0</v>
      </c>
      <c r="O50" s="592">
        <f t="shared" si="26"/>
        <v>0</v>
      </c>
      <c r="P50" s="595">
        <f t="shared" si="26"/>
        <v>0</v>
      </c>
      <c r="Q50" s="594">
        <f t="shared" si="26"/>
        <v>0</v>
      </c>
      <c r="R50" s="594">
        <f t="shared" si="26"/>
        <v>0</v>
      </c>
      <c r="S50" s="592">
        <f t="shared" si="26"/>
        <v>0</v>
      </c>
      <c r="T50" s="1207">
        <f t="shared" si="26"/>
        <v>0</v>
      </c>
      <c r="U50" s="1205">
        <f t="shared" si="26"/>
        <v>0</v>
      </c>
      <c r="V50" s="1208">
        <f t="shared" si="26"/>
        <v>0</v>
      </c>
      <c r="W50" s="592">
        <f t="shared" si="26"/>
        <v>0</v>
      </c>
      <c r="X50" s="1209">
        <f t="shared" si="26"/>
        <v>0</v>
      </c>
    </row>
    <row r="51" spans="1:24" ht="11.25" customHeight="1" x14ac:dyDescent="0.25">
      <c r="A51" s="63" t="str">
        <f>'Org structure'!E47</f>
        <v>5.1 - Executive support</v>
      </c>
      <c r="B51" s="55"/>
      <c r="C51" s="920"/>
      <c r="D51" s="920"/>
      <c r="E51" s="1322"/>
      <c r="F51" s="1323"/>
      <c r="G51" s="920"/>
      <c r="H51" s="1322"/>
      <c r="I51" s="921"/>
      <c r="J51" s="610">
        <f t="shared" ref="J51:J60" si="27">Q51+V51</f>
        <v>0</v>
      </c>
      <c r="K51" s="592">
        <f t="shared" ref="K51:K60" si="28">U51+W51</f>
        <v>0</v>
      </c>
      <c r="L51" s="1209">
        <f t="shared" ref="L51:L60" si="29">X51</f>
        <v>0</v>
      </c>
      <c r="M51" s="704"/>
      <c r="N51" s="1323"/>
      <c r="O51" s="920"/>
      <c r="P51" s="1322"/>
      <c r="Q51" s="594">
        <f t="shared" ref="Q51:Q60" si="30">SUM(N51:P51)</f>
        <v>0</v>
      </c>
      <c r="R51" s="1323"/>
      <c r="S51" s="920"/>
      <c r="T51" s="921"/>
      <c r="U51" s="1205">
        <f t="shared" si="4"/>
        <v>0</v>
      </c>
      <c r="V51" s="921"/>
      <c r="W51" s="920"/>
      <c r="X51" s="922"/>
    </row>
    <row r="52" spans="1:24" ht="11.25" customHeight="1" x14ac:dyDescent="0.25">
      <c r="A52" s="63" t="str">
        <f>'Org structure'!E48</f>
        <v xml:space="preserve">5.2 - Water services </v>
      </c>
      <c r="B52" s="55"/>
      <c r="C52" s="920"/>
      <c r="D52" s="920"/>
      <c r="E52" s="1322"/>
      <c r="F52" s="1323"/>
      <c r="G52" s="920"/>
      <c r="H52" s="1322"/>
      <c r="I52" s="921"/>
      <c r="J52" s="610">
        <f t="shared" si="27"/>
        <v>0</v>
      </c>
      <c r="K52" s="592">
        <f t="shared" si="28"/>
        <v>0</v>
      </c>
      <c r="L52" s="1209">
        <f t="shared" si="29"/>
        <v>0</v>
      </c>
      <c r="M52" s="704"/>
      <c r="N52" s="1323"/>
      <c r="O52" s="920"/>
      <c r="P52" s="1322"/>
      <c r="Q52" s="594">
        <f t="shared" si="30"/>
        <v>0</v>
      </c>
      <c r="R52" s="1323"/>
      <c r="S52" s="920"/>
      <c r="T52" s="921"/>
      <c r="U52" s="1205">
        <f t="shared" si="4"/>
        <v>0</v>
      </c>
      <c r="V52" s="921"/>
      <c r="W52" s="920"/>
      <c r="X52" s="922"/>
    </row>
    <row r="53" spans="1:24" ht="11.25" customHeight="1" x14ac:dyDescent="0.25">
      <c r="A53" s="63" t="str">
        <f>'Org structure'!E49</f>
        <v>5.3 - Public works</v>
      </c>
      <c r="B53" s="55"/>
      <c r="C53" s="920"/>
      <c r="D53" s="920"/>
      <c r="E53" s="1322"/>
      <c r="F53" s="1323"/>
      <c r="G53" s="920"/>
      <c r="H53" s="1322"/>
      <c r="I53" s="921"/>
      <c r="J53" s="610">
        <f t="shared" si="27"/>
        <v>0</v>
      </c>
      <c r="K53" s="592">
        <f t="shared" si="28"/>
        <v>0</v>
      </c>
      <c r="L53" s="1209">
        <f t="shared" si="29"/>
        <v>0</v>
      </c>
      <c r="M53" s="704"/>
      <c r="N53" s="1323"/>
      <c r="O53" s="920"/>
      <c r="P53" s="1322"/>
      <c r="Q53" s="594">
        <f t="shared" si="30"/>
        <v>0</v>
      </c>
      <c r="R53" s="1323"/>
      <c r="S53" s="920"/>
      <c r="T53" s="921"/>
      <c r="U53" s="1205">
        <f t="shared" si="4"/>
        <v>0</v>
      </c>
      <c r="V53" s="921"/>
      <c r="W53" s="920"/>
      <c r="X53" s="922"/>
    </row>
    <row r="54" spans="1:24" ht="11.25" customHeight="1" x14ac:dyDescent="0.25">
      <c r="A54" s="63" t="str">
        <f>'Org structure'!E50</f>
        <v>5.4 - Waste Water services</v>
      </c>
      <c r="B54" s="55"/>
      <c r="C54" s="920"/>
      <c r="D54" s="920"/>
      <c r="E54" s="1322"/>
      <c r="F54" s="1323"/>
      <c r="G54" s="920"/>
      <c r="H54" s="1322"/>
      <c r="I54" s="921"/>
      <c r="J54" s="610">
        <f t="shared" si="27"/>
        <v>0</v>
      </c>
      <c r="K54" s="592">
        <f t="shared" si="28"/>
        <v>0</v>
      </c>
      <c r="L54" s="1209">
        <f t="shared" si="29"/>
        <v>0</v>
      </c>
      <c r="M54" s="704"/>
      <c r="N54" s="1323"/>
      <c r="O54" s="920"/>
      <c r="P54" s="1322"/>
      <c r="Q54" s="594">
        <f t="shared" si="30"/>
        <v>0</v>
      </c>
      <c r="R54" s="1323"/>
      <c r="S54" s="920"/>
      <c r="T54" s="921"/>
      <c r="U54" s="1205">
        <f t="shared" si="4"/>
        <v>0</v>
      </c>
      <c r="V54" s="921"/>
      <c r="W54" s="920"/>
      <c r="X54" s="922"/>
    </row>
    <row r="55" spans="1:24" ht="11.25" customHeight="1" x14ac:dyDescent="0.25">
      <c r="A55" s="63" t="str">
        <f>'Org structure'!E51</f>
        <v>5.5 - Electrical Services</v>
      </c>
      <c r="B55" s="55"/>
      <c r="C55" s="920"/>
      <c r="D55" s="920"/>
      <c r="E55" s="1322"/>
      <c r="F55" s="1323"/>
      <c r="G55" s="920"/>
      <c r="H55" s="1322"/>
      <c r="I55" s="921"/>
      <c r="J55" s="610">
        <f t="shared" si="27"/>
        <v>0</v>
      </c>
      <c r="K55" s="592">
        <f t="shared" si="28"/>
        <v>0</v>
      </c>
      <c r="L55" s="1209">
        <f t="shared" si="29"/>
        <v>0</v>
      </c>
      <c r="M55" s="704"/>
      <c r="N55" s="1323"/>
      <c r="O55" s="920"/>
      <c r="P55" s="1322"/>
      <c r="Q55" s="594">
        <f t="shared" si="30"/>
        <v>0</v>
      </c>
      <c r="R55" s="1323"/>
      <c r="S55" s="920"/>
      <c r="T55" s="921"/>
      <c r="U55" s="1205">
        <f t="shared" si="4"/>
        <v>0</v>
      </c>
      <c r="V55" s="921"/>
      <c r="W55" s="920"/>
      <c r="X55" s="922"/>
    </row>
    <row r="56" spans="1:24" ht="11.25" customHeight="1" x14ac:dyDescent="0.25">
      <c r="A56" s="63" t="str">
        <f>'Org structure'!E52</f>
        <v>5.6 - Mechanical workshop</v>
      </c>
      <c r="B56" s="55"/>
      <c r="C56" s="920"/>
      <c r="D56" s="920"/>
      <c r="E56" s="1322"/>
      <c r="F56" s="1323"/>
      <c r="G56" s="920"/>
      <c r="H56" s="1322"/>
      <c r="I56" s="921"/>
      <c r="J56" s="610">
        <f t="shared" si="27"/>
        <v>0</v>
      </c>
      <c r="K56" s="592">
        <f t="shared" si="28"/>
        <v>0</v>
      </c>
      <c r="L56" s="1209">
        <f t="shared" si="29"/>
        <v>0</v>
      </c>
      <c r="M56" s="704"/>
      <c r="N56" s="1323"/>
      <c r="O56" s="920"/>
      <c r="P56" s="1322"/>
      <c r="Q56" s="594">
        <f t="shared" si="30"/>
        <v>0</v>
      </c>
      <c r="R56" s="1323"/>
      <c r="S56" s="920"/>
      <c r="T56" s="921"/>
      <c r="U56" s="1205">
        <f t="shared" si="4"/>
        <v>0</v>
      </c>
      <c r="V56" s="921"/>
      <c r="W56" s="920"/>
      <c r="X56" s="922"/>
    </row>
    <row r="57" spans="1:24" ht="11.25" customHeight="1" x14ac:dyDescent="0.25">
      <c r="A57" s="63" t="str">
        <f>'Org structure'!E53</f>
        <v>5.7 - PMU Capital projects &amp; GIS</v>
      </c>
      <c r="B57" s="55"/>
      <c r="C57" s="920"/>
      <c r="D57" s="920"/>
      <c r="E57" s="1322"/>
      <c r="F57" s="1323"/>
      <c r="G57" s="920"/>
      <c r="H57" s="1322"/>
      <c r="I57" s="921"/>
      <c r="J57" s="610">
        <f t="shared" si="27"/>
        <v>0</v>
      </c>
      <c r="K57" s="592">
        <f t="shared" si="28"/>
        <v>0</v>
      </c>
      <c r="L57" s="1209">
        <f t="shared" si="29"/>
        <v>0</v>
      </c>
      <c r="M57" s="704"/>
      <c r="N57" s="1323"/>
      <c r="O57" s="920"/>
      <c r="P57" s="1322"/>
      <c r="Q57" s="594">
        <f t="shared" si="30"/>
        <v>0</v>
      </c>
      <c r="R57" s="1323"/>
      <c r="S57" s="920"/>
      <c r="T57" s="921"/>
      <c r="U57" s="1205">
        <f t="shared" si="4"/>
        <v>0</v>
      </c>
      <c r="V57" s="921"/>
      <c r="W57" s="920"/>
      <c r="X57" s="922"/>
    </row>
    <row r="58" spans="1:24" ht="11.25" customHeight="1" x14ac:dyDescent="0.25">
      <c r="A58" s="63" t="str">
        <f>'Org structure'!E54</f>
        <v>5.8 - Town Planning</v>
      </c>
      <c r="B58" s="55"/>
      <c r="C58" s="920"/>
      <c r="D58" s="920"/>
      <c r="E58" s="1322"/>
      <c r="F58" s="1323"/>
      <c r="G58" s="920"/>
      <c r="H58" s="1322"/>
      <c r="I58" s="921"/>
      <c r="J58" s="610">
        <f t="shared" si="27"/>
        <v>0</v>
      </c>
      <c r="K58" s="592">
        <f t="shared" si="28"/>
        <v>0</v>
      </c>
      <c r="L58" s="1209">
        <f t="shared" si="29"/>
        <v>0</v>
      </c>
      <c r="M58" s="704"/>
      <c r="N58" s="1323"/>
      <c r="O58" s="920"/>
      <c r="P58" s="1322"/>
      <c r="Q58" s="594">
        <f t="shared" si="30"/>
        <v>0</v>
      </c>
      <c r="R58" s="1323"/>
      <c r="S58" s="920"/>
      <c r="T58" s="921"/>
      <c r="U58" s="1205">
        <f t="shared" si="4"/>
        <v>0</v>
      </c>
      <c r="V58" s="921"/>
      <c r="W58" s="920"/>
      <c r="X58" s="922"/>
    </row>
    <row r="59" spans="1:24" ht="11.25" customHeight="1" x14ac:dyDescent="0.25">
      <c r="A59" s="63" t="str">
        <f>'Org structure'!E55</f>
        <v>5.9 - Building Control</v>
      </c>
      <c r="B59" s="55"/>
      <c r="C59" s="920"/>
      <c r="D59" s="920"/>
      <c r="E59" s="1322"/>
      <c r="F59" s="1323"/>
      <c r="G59" s="920"/>
      <c r="H59" s="1322"/>
      <c r="I59" s="921"/>
      <c r="J59" s="610">
        <f t="shared" si="27"/>
        <v>0</v>
      </c>
      <c r="K59" s="592">
        <f t="shared" si="28"/>
        <v>0</v>
      </c>
      <c r="L59" s="1209">
        <f t="shared" si="29"/>
        <v>0</v>
      </c>
      <c r="M59" s="704"/>
      <c r="N59" s="1323"/>
      <c r="O59" s="920"/>
      <c r="P59" s="1322"/>
      <c r="Q59" s="594">
        <f t="shared" si="30"/>
        <v>0</v>
      </c>
      <c r="R59" s="1323"/>
      <c r="S59" s="920"/>
      <c r="T59" s="921"/>
      <c r="U59" s="1205">
        <f t="shared" si="4"/>
        <v>0</v>
      </c>
      <c r="V59" s="921"/>
      <c r="W59" s="920"/>
      <c r="X59" s="922"/>
    </row>
    <row r="60" spans="1:24" ht="11.25" customHeight="1" x14ac:dyDescent="0.25">
      <c r="A60" s="63" t="str">
        <f>'Org structure'!E56</f>
        <v>5.10 - Workshop Carpenter</v>
      </c>
      <c r="B60" s="55"/>
      <c r="C60" s="920"/>
      <c r="D60" s="920"/>
      <c r="E60" s="1322"/>
      <c r="F60" s="1323"/>
      <c r="G60" s="920"/>
      <c r="H60" s="1322"/>
      <c r="I60" s="921"/>
      <c r="J60" s="610">
        <f t="shared" si="27"/>
        <v>0</v>
      </c>
      <c r="K60" s="592">
        <f t="shared" si="28"/>
        <v>0</v>
      </c>
      <c r="L60" s="1209">
        <f t="shared" si="29"/>
        <v>0</v>
      </c>
      <c r="M60" s="704"/>
      <c r="N60" s="1323"/>
      <c r="O60" s="920"/>
      <c r="P60" s="1322"/>
      <c r="Q60" s="594">
        <f t="shared" si="30"/>
        <v>0</v>
      </c>
      <c r="R60" s="1323"/>
      <c r="S60" s="920"/>
      <c r="T60" s="921"/>
      <c r="U60" s="1205">
        <f t="shared" si="4"/>
        <v>0</v>
      </c>
      <c r="V60" s="921"/>
      <c r="W60" s="920"/>
      <c r="X60" s="922"/>
    </row>
    <row r="61" spans="1:24" ht="15" customHeight="1" x14ac:dyDescent="0.25">
      <c r="A61" s="189" t="str">
        <f>'Org structure'!A7</f>
        <v>Vote 6 - COMMUNITY SERVICES</v>
      </c>
      <c r="B61" s="369"/>
      <c r="C61" s="592">
        <f>SUM(C63:C72)</f>
        <v>0</v>
      </c>
      <c r="D61" s="592">
        <f t="shared" ref="D61:L61" si="31">SUM(D63:D72)</f>
        <v>0</v>
      </c>
      <c r="E61" s="595">
        <f t="shared" si="31"/>
        <v>0</v>
      </c>
      <c r="F61" s="594">
        <f t="shared" si="31"/>
        <v>0</v>
      </c>
      <c r="G61" s="592">
        <f t="shared" si="31"/>
        <v>0</v>
      </c>
      <c r="H61" s="595">
        <f t="shared" si="31"/>
        <v>0</v>
      </c>
      <c r="I61" s="593">
        <f>SUM(I63:I72)</f>
        <v>0</v>
      </c>
      <c r="J61" s="610">
        <f t="shared" si="31"/>
        <v>0</v>
      </c>
      <c r="K61" s="592">
        <f t="shared" si="31"/>
        <v>0</v>
      </c>
      <c r="L61" s="1209">
        <f t="shared" si="31"/>
        <v>0</v>
      </c>
      <c r="M61" s="704"/>
      <c r="N61" s="594">
        <f t="shared" ref="N61:X61" si="32">SUM(N63:N72)</f>
        <v>0</v>
      </c>
      <c r="O61" s="592">
        <f t="shared" si="32"/>
        <v>0</v>
      </c>
      <c r="P61" s="595">
        <f t="shared" si="32"/>
        <v>0</v>
      </c>
      <c r="Q61" s="594">
        <f t="shared" si="32"/>
        <v>0</v>
      </c>
      <c r="R61" s="594">
        <f t="shared" si="32"/>
        <v>0</v>
      </c>
      <c r="S61" s="592">
        <f t="shared" si="32"/>
        <v>0</v>
      </c>
      <c r="T61" s="1207">
        <f t="shared" si="32"/>
        <v>0</v>
      </c>
      <c r="U61" s="1205">
        <f t="shared" si="32"/>
        <v>0</v>
      </c>
      <c r="V61" s="1208">
        <f t="shared" si="32"/>
        <v>0</v>
      </c>
      <c r="W61" s="592">
        <f t="shared" si="32"/>
        <v>0</v>
      </c>
      <c r="X61" s="1209">
        <f t="shared" si="32"/>
        <v>0</v>
      </c>
    </row>
    <row r="62" spans="1:24" ht="15" customHeight="1" x14ac:dyDescent="0.25">
      <c r="A62" s="63" t="str">
        <f>'Org structure'!E58</f>
        <v>6.1 - Administrative support</v>
      </c>
      <c r="B62" s="369"/>
      <c r="C62" s="592"/>
      <c r="D62" s="592"/>
      <c r="E62" s="595"/>
      <c r="F62" s="594"/>
      <c r="G62" s="592"/>
      <c r="H62" s="595"/>
      <c r="I62" s="593"/>
      <c r="J62" s="610"/>
      <c r="K62" s="592"/>
      <c r="L62" s="1209"/>
      <c r="M62" s="704"/>
      <c r="N62" s="594"/>
      <c r="O62" s="592"/>
      <c r="P62" s="595"/>
      <c r="Q62" s="594"/>
      <c r="R62" s="594"/>
      <c r="S62" s="592"/>
      <c r="T62" s="593"/>
      <c r="U62" s="1205"/>
      <c r="V62" s="593"/>
      <c r="W62" s="592"/>
      <c r="X62" s="1209"/>
    </row>
    <row r="63" spans="1:24" ht="11.25" customHeight="1" x14ac:dyDescent="0.25">
      <c r="A63" s="63" t="str">
        <f>'Org structure'!E59</f>
        <v>6.2 - Parks, Cemetries &amp; public amenities</v>
      </c>
      <c r="B63" s="55"/>
      <c r="C63" s="920"/>
      <c r="D63" s="920"/>
      <c r="E63" s="1322"/>
      <c r="F63" s="1323"/>
      <c r="G63" s="920"/>
      <c r="H63" s="1322"/>
      <c r="I63" s="921"/>
      <c r="J63" s="610">
        <f t="shared" ref="J63:J72" si="33">Q63+V63</f>
        <v>0</v>
      </c>
      <c r="K63" s="592">
        <f t="shared" ref="K63:K72" si="34">U63+W63</f>
        <v>0</v>
      </c>
      <c r="L63" s="1209">
        <f t="shared" ref="L63:L72" si="35">X63</f>
        <v>0</v>
      </c>
      <c r="M63" s="704"/>
      <c r="N63" s="1323"/>
      <c r="O63" s="920"/>
      <c r="P63" s="1322"/>
      <c r="Q63" s="594">
        <f t="shared" ref="Q63:Q72" si="36">SUM(N63:P63)</f>
        <v>0</v>
      </c>
      <c r="R63" s="1323"/>
      <c r="S63" s="920"/>
      <c r="T63" s="921"/>
      <c r="U63" s="1205">
        <f t="shared" si="4"/>
        <v>0</v>
      </c>
      <c r="V63" s="921"/>
      <c r="W63" s="920"/>
      <c r="X63" s="922"/>
    </row>
    <row r="64" spans="1:24" ht="11.25" customHeight="1" x14ac:dyDescent="0.25">
      <c r="A64" s="63" t="str">
        <f>'Org structure'!E60</f>
        <v>6.3 - Library services</v>
      </c>
      <c r="B64" s="55"/>
      <c r="C64" s="920"/>
      <c r="D64" s="920"/>
      <c r="E64" s="1322"/>
      <c r="F64" s="1323"/>
      <c r="G64" s="920"/>
      <c r="H64" s="1322"/>
      <c r="I64" s="921"/>
      <c r="J64" s="610">
        <f t="shared" si="33"/>
        <v>0</v>
      </c>
      <c r="K64" s="592">
        <f t="shared" si="34"/>
        <v>0</v>
      </c>
      <c r="L64" s="1209">
        <f t="shared" si="35"/>
        <v>0</v>
      </c>
      <c r="M64" s="704"/>
      <c r="N64" s="1323"/>
      <c r="O64" s="920"/>
      <c r="P64" s="1322"/>
      <c r="Q64" s="594">
        <f t="shared" si="36"/>
        <v>0</v>
      </c>
      <c r="R64" s="1323"/>
      <c r="S64" s="920"/>
      <c r="T64" s="921"/>
      <c r="U64" s="1205">
        <f t="shared" si="4"/>
        <v>0</v>
      </c>
      <c r="V64" s="921"/>
      <c r="W64" s="920"/>
      <c r="X64" s="922"/>
    </row>
    <row r="65" spans="1:24" ht="11.25" customHeight="1" x14ac:dyDescent="0.25">
      <c r="A65" s="63" t="str">
        <f>'Org structure'!E61</f>
        <v>6.4 - Human Settlements</v>
      </c>
      <c r="B65" s="55"/>
      <c r="C65" s="920"/>
      <c r="D65" s="920"/>
      <c r="E65" s="1322"/>
      <c r="F65" s="1323"/>
      <c r="G65" s="920"/>
      <c r="H65" s="1322"/>
      <c r="I65" s="921"/>
      <c r="J65" s="610">
        <f t="shared" si="33"/>
        <v>0</v>
      </c>
      <c r="K65" s="592">
        <f t="shared" si="34"/>
        <v>0</v>
      </c>
      <c r="L65" s="1209">
        <f t="shared" si="35"/>
        <v>0</v>
      </c>
      <c r="M65" s="704"/>
      <c r="N65" s="1323"/>
      <c r="O65" s="920"/>
      <c r="P65" s="1322"/>
      <c r="Q65" s="594">
        <f t="shared" si="36"/>
        <v>0</v>
      </c>
      <c r="R65" s="1323"/>
      <c r="S65" s="920"/>
      <c r="T65" s="921"/>
      <c r="U65" s="1205">
        <f t="shared" si="4"/>
        <v>0</v>
      </c>
      <c r="V65" s="921"/>
      <c r="W65" s="920"/>
      <c r="X65" s="922"/>
    </row>
    <row r="66" spans="1:24" ht="11.25" customHeight="1" x14ac:dyDescent="0.25">
      <c r="A66" s="63" t="str">
        <f>'Org structure'!E62</f>
        <v>6.5 - Environmental management</v>
      </c>
      <c r="B66" s="55"/>
      <c r="C66" s="920"/>
      <c r="D66" s="920"/>
      <c r="E66" s="1322"/>
      <c r="F66" s="1323"/>
      <c r="G66" s="920"/>
      <c r="H66" s="1322"/>
      <c r="I66" s="921"/>
      <c r="J66" s="610">
        <f t="shared" si="33"/>
        <v>0</v>
      </c>
      <c r="K66" s="592">
        <f t="shared" si="34"/>
        <v>0</v>
      </c>
      <c r="L66" s="1209">
        <f t="shared" si="35"/>
        <v>0</v>
      </c>
      <c r="M66" s="704"/>
      <c r="N66" s="1323"/>
      <c r="O66" s="920"/>
      <c r="P66" s="1322"/>
      <c r="Q66" s="594">
        <f t="shared" si="36"/>
        <v>0</v>
      </c>
      <c r="R66" s="1323"/>
      <c r="S66" s="920"/>
      <c r="T66" s="921"/>
      <c r="U66" s="1205">
        <f t="shared" si="4"/>
        <v>0</v>
      </c>
      <c r="V66" s="921"/>
      <c r="W66" s="920"/>
      <c r="X66" s="922"/>
    </row>
    <row r="67" spans="1:24" ht="11.25" customHeight="1" x14ac:dyDescent="0.25">
      <c r="A67" s="63" t="str">
        <f>'Org structure'!E63</f>
        <v>6.6 - Traffic &amp; law enforcement services</v>
      </c>
      <c r="B67" s="55"/>
      <c r="C67" s="920"/>
      <c r="D67" s="920"/>
      <c r="E67" s="1322"/>
      <c r="F67" s="1323"/>
      <c r="G67" s="920"/>
      <c r="H67" s="1322"/>
      <c r="I67" s="921"/>
      <c r="J67" s="610">
        <f t="shared" si="33"/>
        <v>0</v>
      </c>
      <c r="K67" s="592">
        <f t="shared" si="34"/>
        <v>0</v>
      </c>
      <c r="L67" s="1209">
        <f t="shared" si="35"/>
        <v>0</v>
      </c>
      <c r="M67" s="704"/>
      <c r="N67" s="1323"/>
      <c r="O67" s="920"/>
      <c r="P67" s="1322"/>
      <c r="Q67" s="594">
        <f t="shared" si="36"/>
        <v>0</v>
      </c>
      <c r="R67" s="1323"/>
      <c r="S67" s="920"/>
      <c r="T67" s="921"/>
      <c r="U67" s="1205">
        <f t="shared" si="4"/>
        <v>0</v>
      </c>
      <c r="V67" s="921"/>
      <c r="W67" s="920"/>
      <c r="X67" s="922"/>
    </row>
    <row r="68" spans="1:24" ht="11.25" customHeight="1" x14ac:dyDescent="0.25">
      <c r="A68" s="63" t="str">
        <f>'Org structure'!E64</f>
        <v>6.7 - Driving license testing station; Motor vehicle registration &amp; Vehicle testing station</v>
      </c>
      <c r="B68" s="55"/>
      <c r="C68" s="920"/>
      <c r="D68" s="920"/>
      <c r="E68" s="1322"/>
      <c r="F68" s="1323"/>
      <c r="G68" s="920"/>
      <c r="H68" s="1322"/>
      <c r="I68" s="921"/>
      <c r="J68" s="610">
        <f t="shared" si="33"/>
        <v>0</v>
      </c>
      <c r="K68" s="592">
        <f t="shared" si="34"/>
        <v>0</v>
      </c>
      <c r="L68" s="1209">
        <f t="shared" si="35"/>
        <v>0</v>
      </c>
      <c r="M68" s="704"/>
      <c r="N68" s="1323"/>
      <c r="O68" s="920"/>
      <c r="P68" s="1322"/>
      <c r="Q68" s="594">
        <f t="shared" si="36"/>
        <v>0</v>
      </c>
      <c r="R68" s="1323"/>
      <c r="S68" s="920"/>
      <c r="T68" s="921"/>
      <c r="U68" s="1205">
        <f t="shared" si="4"/>
        <v>0</v>
      </c>
      <c r="V68" s="921"/>
      <c r="W68" s="920"/>
      <c r="X68" s="922"/>
    </row>
    <row r="69" spans="1:24" ht="11.25" customHeight="1" x14ac:dyDescent="0.25">
      <c r="A69" s="63" t="str">
        <f>'Org structure'!E65</f>
        <v>6.8 - Disaster management &amp; Fire services</v>
      </c>
      <c r="B69" s="55"/>
      <c r="C69" s="920"/>
      <c r="D69" s="920"/>
      <c r="E69" s="1322"/>
      <c r="F69" s="1323"/>
      <c r="G69" s="920"/>
      <c r="H69" s="1322"/>
      <c r="I69" s="921"/>
      <c r="J69" s="610">
        <f t="shared" si="33"/>
        <v>0</v>
      </c>
      <c r="K69" s="592">
        <f t="shared" si="34"/>
        <v>0</v>
      </c>
      <c r="L69" s="1209">
        <f t="shared" si="35"/>
        <v>0</v>
      </c>
      <c r="M69" s="704"/>
      <c r="N69" s="1323"/>
      <c r="O69" s="920"/>
      <c r="P69" s="1322"/>
      <c r="Q69" s="594">
        <f t="shared" si="36"/>
        <v>0</v>
      </c>
      <c r="R69" s="1323"/>
      <c r="S69" s="920"/>
      <c r="T69" s="921"/>
      <c r="U69" s="1205">
        <f t="shared" si="4"/>
        <v>0</v>
      </c>
      <c r="V69" s="921"/>
      <c r="W69" s="920"/>
      <c r="X69" s="922"/>
    </row>
    <row r="70" spans="1:24" ht="11.25" customHeight="1" x14ac:dyDescent="0.25">
      <c r="A70" s="63" t="str">
        <f>'Org structure'!E66</f>
        <v>6.9 - Area Cleansing</v>
      </c>
      <c r="B70" s="55"/>
      <c r="C70" s="920"/>
      <c r="D70" s="920"/>
      <c r="E70" s="1322"/>
      <c r="F70" s="1323"/>
      <c r="G70" s="920"/>
      <c r="H70" s="1322"/>
      <c r="I70" s="921"/>
      <c r="J70" s="610">
        <f t="shared" si="33"/>
        <v>0</v>
      </c>
      <c r="K70" s="592">
        <f t="shared" si="34"/>
        <v>0</v>
      </c>
      <c r="L70" s="1209">
        <f t="shared" si="35"/>
        <v>0</v>
      </c>
      <c r="M70" s="704"/>
      <c r="N70" s="1323"/>
      <c r="O70" s="920"/>
      <c r="P70" s="1322"/>
      <c r="Q70" s="594">
        <f t="shared" si="36"/>
        <v>0</v>
      </c>
      <c r="R70" s="1323"/>
      <c r="S70" s="920"/>
      <c r="T70" s="921"/>
      <c r="U70" s="1205">
        <f t="shared" si="4"/>
        <v>0</v>
      </c>
      <c r="V70" s="921"/>
      <c r="W70" s="920"/>
      <c r="X70" s="922"/>
    </row>
    <row r="71" spans="1:24" ht="11.25" customHeight="1" x14ac:dyDescent="0.25">
      <c r="A71" s="63" t="str">
        <f>'Org structure'!E67</f>
        <v>6.10 - Refuse removal, Skips &amp; illegal dumping</v>
      </c>
      <c r="B71" s="55"/>
      <c r="C71" s="920"/>
      <c r="D71" s="920"/>
      <c r="E71" s="1322"/>
      <c r="F71" s="1323"/>
      <c r="G71" s="920"/>
      <c r="H71" s="1322"/>
      <c r="I71" s="921"/>
      <c r="J71" s="610">
        <f t="shared" si="33"/>
        <v>0</v>
      </c>
      <c r="K71" s="592">
        <f t="shared" si="34"/>
        <v>0</v>
      </c>
      <c r="L71" s="1209">
        <f t="shared" si="35"/>
        <v>0</v>
      </c>
      <c r="M71" s="704"/>
      <c r="N71" s="1323"/>
      <c r="O71" s="920"/>
      <c r="P71" s="1322"/>
      <c r="Q71" s="594">
        <f t="shared" si="36"/>
        <v>0</v>
      </c>
      <c r="R71" s="1323"/>
      <c r="S71" s="920"/>
      <c r="T71" s="921"/>
      <c r="U71" s="1205">
        <f t="shared" si="4"/>
        <v>0</v>
      </c>
      <c r="V71" s="921"/>
      <c r="W71" s="920"/>
      <c r="X71" s="922"/>
    </row>
    <row r="72" spans="1:24" ht="11.25" customHeight="1" x14ac:dyDescent="0.25">
      <c r="A72" s="63" t="str">
        <f>'Org structure'!E68</f>
        <v>6.11 - Landfill sites &amp; transfer stations</v>
      </c>
      <c r="B72" s="55"/>
      <c r="C72" s="920"/>
      <c r="D72" s="920"/>
      <c r="E72" s="1322"/>
      <c r="F72" s="1323"/>
      <c r="G72" s="920"/>
      <c r="H72" s="1322"/>
      <c r="I72" s="921"/>
      <c r="J72" s="610">
        <f t="shared" si="33"/>
        <v>0</v>
      </c>
      <c r="K72" s="592">
        <f t="shared" si="34"/>
        <v>0</v>
      </c>
      <c r="L72" s="1209">
        <f t="shared" si="35"/>
        <v>0</v>
      </c>
      <c r="M72" s="704"/>
      <c r="N72" s="1323"/>
      <c r="O72" s="920"/>
      <c r="P72" s="1322"/>
      <c r="Q72" s="594">
        <f t="shared" si="36"/>
        <v>0</v>
      </c>
      <c r="R72" s="1323"/>
      <c r="S72" s="920"/>
      <c r="T72" s="921"/>
      <c r="U72" s="1205">
        <f t="shared" si="4"/>
        <v>0</v>
      </c>
      <c r="V72" s="921"/>
      <c r="W72" s="920"/>
      <c r="X72" s="922"/>
    </row>
    <row r="73" spans="1:24" ht="15" customHeight="1" x14ac:dyDescent="0.25">
      <c r="A73" s="189" t="str">
        <f>'Org structure'!A8</f>
        <v>Vote 7 - [NAME OF VOTE 7]</v>
      </c>
      <c r="B73" s="369"/>
      <c r="C73" s="592">
        <f t="shared" ref="C73:L73" si="37">SUM(C74:C83)</f>
        <v>0</v>
      </c>
      <c r="D73" s="592">
        <f t="shared" si="37"/>
        <v>0</v>
      </c>
      <c r="E73" s="595">
        <f t="shared" si="37"/>
        <v>0</v>
      </c>
      <c r="F73" s="594">
        <f t="shared" si="37"/>
        <v>0</v>
      </c>
      <c r="G73" s="592">
        <f t="shared" si="37"/>
        <v>0</v>
      </c>
      <c r="H73" s="595">
        <f t="shared" si="37"/>
        <v>0</v>
      </c>
      <c r="I73" s="593">
        <f t="shared" si="37"/>
        <v>0</v>
      </c>
      <c r="J73" s="610">
        <f t="shared" si="37"/>
        <v>0</v>
      </c>
      <c r="K73" s="592">
        <f t="shared" si="37"/>
        <v>0</v>
      </c>
      <c r="L73" s="1209">
        <f t="shared" si="37"/>
        <v>0</v>
      </c>
      <c r="M73" s="704"/>
      <c r="N73" s="594">
        <f t="shared" ref="N73:X73" si="38">SUM(N74:N83)</f>
        <v>0</v>
      </c>
      <c r="O73" s="592">
        <f t="shared" si="38"/>
        <v>0</v>
      </c>
      <c r="P73" s="595">
        <f t="shared" si="38"/>
        <v>0</v>
      </c>
      <c r="Q73" s="594">
        <f t="shared" si="38"/>
        <v>0</v>
      </c>
      <c r="R73" s="594">
        <f t="shared" si="38"/>
        <v>0</v>
      </c>
      <c r="S73" s="592">
        <f t="shared" si="38"/>
        <v>0</v>
      </c>
      <c r="T73" s="1207">
        <f t="shared" si="38"/>
        <v>0</v>
      </c>
      <c r="U73" s="1205">
        <f t="shared" si="38"/>
        <v>0</v>
      </c>
      <c r="V73" s="1208">
        <f t="shared" si="38"/>
        <v>0</v>
      </c>
      <c r="W73" s="592">
        <f t="shared" si="38"/>
        <v>0</v>
      </c>
      <c r="X73" s="1209">
        <f t="shared" si="38"/>
        <v>0</v>
      </c>
    </row>
    <row r="74" spans="1:24" ht="11.25" customHeight="1" x14ac:dyDescent="0.25">
      <c r="A74" s="63" t="str">
        <f>'Org structure'!E70</f>
        <v>7.1 - [Name of sub-vote]</v>
      </c>
      <c r="B74" s="55"/>
      <c r="C74" s="920"/>
      <c r="D74" s="920"/>
      <c r="E74" s="1322"/>
      <c r="F74" s="1323"/>
      <c r="G74" s="920"/>
      <c r="H74" s="1322"/>
      <c r="I74" s="921"/>
      <c r="J74" s="610">
        <f t="shared" ref="J74:J83" si="39">Q74+V74</f>
        <v>0</v>
      </c>
      <c r="K74" s="592">
        <f t="shared" ref="K74:K83" si="40">U74+W74</f>
        <v>0</v>
      </c>
      <c r="L74" s="1209">
        <f t="shared" ref="L74:L83" si="41">X74</f>
        <v>0</v>
      </c>
      <c r="M74" s="704"/>
      <c r="N74" s="1323"/>
      <c r="O74" s="920"/>
      <c r="P74" s="1322"/>
      <c r="Q74" s="594">
        <f t="shared" ref="Q74:Q83" si="42">SUM(N74:P74)</f>
        <v>0</v>
      </c>
      <c r="R74" s="1323"/>
      <c r="S74" s="920"/>
      <c r="T74" s="921"/>
      <c r="U74" s="1205">
        <f t="shared" ref="U74:U136" si="43">SUM(R74:T74)</f>
        <v>0</v>
      </c>
      <c r="V74" s="921"/>
      <c r="W74" s="920"/>
      <c r="X74" s="922"/>
    </row>
    <row r="75" spans="1:24" ht="11.25" customHeight="1" x14ac:dyDescent="0.25">
      <c r="A75" s="63">
        <f>'Org structure'!E71</f>
        <v>0</v>
      </c>
      <c r="B75" s="55"/>
      <c r="C75" s="920"/>
      <c r="D75" s="920"/>
      <c r="E75" s="1322"/>
      <c r="F75" s="1323"/>
      <c r="G75" s="920"/>
      <c r="H75" s="1322"/>
      <c r="I75" s="921"/>
      <c r="J75" s="610">
        <f t="shared" si="39"/>
        <v>0</v>
      </c>
      <c r="K75" s="592">
        <f t="shared" si="40"/>
        <v>0</v>
      </c>
      <c r="L75" s="1209">
        <f t="shared" si="41"/>
        <v>0</v>
      </c>
      <c r="M75" s="704"/>
      <c r="N75" s="1323"/>
      <c r="O75" s="920"/>
      <c r="P75" s="1322"/>
      <c r="Q75" s="594">
        <f t="shared" si="42"/>
        <v>0</v>
      </c>
      <c r="R75" s="1323"/>
      <c r="S75" s="920"/>
      <c r="T75" s="921"/>
      <c r="U75" s="1205">
        <f t="shared" si="43"/>
        <v>0</v>
      </c>
      <c r="V75" s="921"/>
      <c r="W75" s="920"/>
      <c r="X75" s="922"/>
    </row>
    <row r="76" spans="1:24" ht="11.25" customHeight="1" x14ac:dyDescent="0.25">
      <c r="A76" s="63">
        <f>'Org structure'!E72</f>
        <v>0</v>
      </c>
      <c r="B76" s="55"/>
      <c r="C76" s="920"/>
      <c r="D76" s="920"/>
      <c r="E76" s="1322"/>
      <c r="F76" s="1323"/>
      <c r="G76" s="920"/>
      <c r="H76" s="1322"/>
      <c r="I76" s="921"/>
      <c r="J76" s="610">
        <f t="shared" si="39"/>
        <v>0</v>
      </c>
      <c r="K76" s="592">
        <f t="shared" si="40"/>
        <v>0</v>
      </c>
      <c r="L76" s="1209">
        <f t="shared" si="41"/>
        <v>0</v>
      </c>
      <c r="M76" s="704"/>
      <c r="N76" s="1323"/>
      <c r="O76" s="920"/>
      <c r="P76" s="1322"/>
      <c r="Q76" s="594">
        <f t="shared" si="42"/>
        <v>0</v>
      </c>
      <c r="R76" s="1323"/>
      <c r="S76" s="920"/>
      <c r="T76" s="921"/>
      <c r="U76" s="1205">
        <f t="shared" si="43"/>
        <v>0</v>
      </c>
      <c r="V76" s="921"/>
      <c r="W76" s="920"/>
      <c r="X76" s="922"/>
    </row>
    <row r="77" spans="1:24" ht="11.25" customHeight="1" x14ac:dyDescent="0.25">
      <c r="A77" s="63">
        <f>'Org structure'!E73</f>
        <v>0</v>
      </c>
      <c r="B77" s="55"/>
      <c r="C77" s="920"/>
      <c r="D77" s="920"/>
      <c r="E77" s="1322"/>
      <c r="F77" s="1323"/>
      <c r="G77" s="920"/>
      <c r="H77" s="1322"/>
      <c r="I77" s="921"/>
      <c r="J77" s="610">
        <f t="shared" si="39"/>
        <v>0</v>
      </c>
      <c r="K77" s="592">
        <f t="shared" si="40"/>
        <v>0</v>
      </c>
      <c r="L77" s="1209">
        <f t="shared" si="41"/>
        <v>0</v>
      </c>
      <c r="M77" s="704"/>
      <c r="N77" s="1323"/>
      <c r="O77" s="920"/>
      <c r="P77" s="1322"/>
      <c r="Q77" s="594">
        <f t="shared" si="42"/>
        <v>0</v>
      </c>
      <c r="R77" s="1323"/>
      <c r="S77" s="920"/>
      <c r="T77" s="921"/>
      <c r="U77" s="1205">
        <f t="shared" si="43"/>
        <v>0</v>
      </c>
      <c r="V77" s="921"/>
      <c r="W77" s="920"/>
      <c r="X77" s="922"/>
    </row>
    <row r="78" spans="1:24" ht="11.25" customHeight="1" x14ac:dyDescent="0.25">
      <c r="A78" s="63">
        <f>'Org structure'!E74</f>
        <v>0</v>
      </c>
      <c r="B78" s="55"/>
      <c r="C78" s="920"/>
      <c r="D78" s="920"/>
      <c r="E78" s="1322"/>
      <c r="F78" s="1323"/>
      <c r="G78" s="920"/>
      <c r="H78" s="1322"/>
      <c r="I78" s="921"/>
      <c r="J78" s="610">
        <f t="shared" si="39"/>
        <v>0</v>
      </c>
      <c r="K78" s="592">
        <f t="shared" si="40"/>
        <v>0</v>
      </c>
      <c r="L78" s="1209">
        <f t="shared" si="41"/>
        <v>0</v>
      </c>
      <c r="M78" s="704"/>
      <c r="N78" s="1323"/>
      <c r="O78" s="920"/>
      <c r="P78" s="1322"/>
      <c r="Q78" s="594">
        <f t="shared" si="42"/>
        <v>0</v>
      </c>
      <c r="R78" s="1323"/>
      <c r="S78" s="920"/>
      <c r="T78" s="921"/>
      <c r="U78" s="1205">
        <f t="shared" si="43"/>
        <v>0</v>
      </c>
      <c r="V78" s="921"/>
      <c r="W78" s="920"/>
      <c r="X78" s="922"/>
    </row>
    <row r="79" spans="1:24" ht="11.25" customHeight="1" x14ac:dyDescent="0.25">
      <c r="A79" s="63">
        <f>'Org structure'!E75</f>
        <v>0</v>
      </c>
      <c r="B79" s="55"/>
      <c r="C79" s="920"/>
      <c r="D79" s="920"/>
      <c r="E79" s="1322"/>
      <c r="F79" s="1323"/>
      <c r="G79" s="920"/>
      <c r="H79" s="1322"/>
      <c r="I79" s="921"/>
      <c r="J79" s="610">
        <f t="shared" si="39"/>
        <v>0</v>
      </c>
      <c r="K79" s="592">
        <f t="shared" si="40"/>
        <v>0</v>
      </c>
      <c r="L79" s="1209">
        <f t="shared" si="41"/>
        <v>0</v>
      </c>
      <c r="M79" s="704"/>
      <c r="N79" s="1323"/>
      <c r="O79" s="920"/>
      <c r="P79" s="1322"/>
      <c r="Q79" s="594">
        <f t="shared" si="42"/>
        <v>0</v>
      </c>
      <c r="R79" s="1323"/>
      <c r="S79" s="920"/>
      <c r="T79" s="921"/>
      <c r="U79" s="1205">
        <f t="shared" si="43"/>
        <v>0</v>
      </c>
      <c r="V79" s="921"/>
      <c r="W79" s="920"/>
      <c r="X79" s="922"/>
    </row>
    <row r="80" spans="1:24" ht="11.25" customHeight="1" x14ac:dyDescent="0.25">
      <c r="A80" s="63">
        <f>'Org structure'!E76</f>
        <v>0</v>
      </c>
      <c r="B80" s="55"/>
      <c r="C80" s="920"/>
      <c r="D80" s="920"/>
      <c r="E80" s="1322"/>
      <c r="F80" s="1323"/>
      <c r="G80" s="920"/>
      <c r="H80" s="1322"/>
      <c r="I80" s="921"/>
      <c r="J80" s="610">
        <f t="shared" si="39"/>
        <v>0</v>
      </c>
      <c r="K80" s="592">
        <f t="shared" si="40"/>
        <v>0</v>
      </c>
      <c r="L80" s="1209">
        <f t="shared" si="41"/>
        <v>0</v>
      </c>
      <c r="M80" s="704"/>
      <c r="N80" s="1323"/>
      <c r="O80" s="920"/>
      <c r="P80" s="1322"/>
      <c r="Q80" s="594">
        <f t="shared" si="42"/>
        <v>0</v>
      </c>
      <c r="R80" s="1323"/>
      <c r="S80" s="920"/>
      <c r="T80" s="921"/>
      <c r="U80" s="1205">
        <f t="shared" si="43"/>
        <v>0</v>
      </c>
      <c r="V80" s="921"/>
      <c r="W80" s="920"/>
      <c r="X80" s="922"/>
    </row>
    <row r="81" spans="1:24" ht="11.25" customHeight="1" x14ac:dyDescent="0.25">
      <c r="A81" s="63">
        <f>'Org structure'!E77</f>
        <v>0</v>
      </c>
      <c r="B81" s="55"/>
      <c r="C81" s="920"/>
      <c r="D81" s="920"/>
      <c r="E81" s="1322"/>
      <c r="F81" s="1323"/>
      <c r="G81" s="920"/>
      <c r="H81" s="1322"/>
      <c r="I81" s="921"/>
      <c r="J81" s="610">
        <f t="shared" si="39"/>
        <v>0</v>
      </c>
      <c r="K81" s="592">
        <f t="shared" si="40"/>
        <v>0</v>
      </c>
      <c r="L81" s="1209">
        <f t="shared" si="41"/>
        <v>0</v>
      </c>
      <c r="M81" s="704"/>
      <c r="N81" s="1323"/>
      <c r="O81" s="920"/>
      <c r="P81" s="1322"/>
      <c r="Q81" s="594">
        <f t="shared" si="42"/>
        <v>0</v>
      </c>
      <c r="R81" s="1323"/>
      <c r="S81" s="920"/>
      <c r="T81" s="921"/>
      <c r="U81" s="1205">
        <f t="shared" si="43"/>
        <v>0</v>
      </c>
      <c r="V81" s="921"/>
      <c r="W81" s="920"/>
      <c r="X81" s="922"/>
    </row>
    <row r="82" spans="1:24" ht="11.25" customHeight="1" x14ac:dyDescent="0.25">
      <c r="A82" s="63">
        <f>'Org structure'!E78</f>
        <v>0</v>
      </c>
      <c r="B82" s="55"/>
      <c r="C82" s="920"/>
      <c r="D82" s="920"/>
      <c r="E82" s="1322"/>
      <c r="F82" s="1323"/>
      <c r="G82" s="920"/>
      <c r="H82" s="1322"/>
      <c r="I82" s="921"/>
      <c r="J82" s="610">
        <f t="shared" si="39"/>
        <v>0</v>
      </c>
      <c r="K82" s="592">
        <f t="shared" si="40"/>
        <v>0</v>
      </c>
      <c r="L82" s="1209">
        <f t="shared" si="41"/>
        <v>0</v>
      </c>
      <c r="M82" s="704"/>
      <c r="N82" s="1323"/>
      <c r="O82" s="920"/>
      <c r="P82" s="1322"/>
      <c r="Q82" s="594">
        <f t="shared" si="42"/>
        <v>0</v>
      </c>
      <c r="R82" s="1323"/>
      <c r="S82" s="920"/>
      <c r="T82" s="921"/>
      <c r="U82" s="1205">
        <f t="shared" si="43"/>
        <v>0</v>
      </c>
      <c r="V82" s="921"/>
      <c r="W82" s="920"/>
      <c r="X82" s="922"/>
    </row>
    <row r="83" spans="1:24" ht="11.25" customHeight="1" x14ac:dyDescent="0.25">
      <c r="A83" s="63">
        <f>'Org structure'!E79</f>
        <v>0</v>
      </c>
      <c r="B83" s="55"/>
      <c r="C83" s="920"/>
      <c r="D83" s="920"/>
      <c r="E83" s="1322"/>
      <c r="F83" s="1323"/>
      <c r="G83" s="920"/>
      <c r="H83" s="1322"/>
      <c r="I83" s="921"/>
      <c r="J83" s="610">
        <f t="shared" si="39"/>
        <v>0</v>
      </c>
      <c r="K83" s="592">
        <f t="shared" si="40"/>
        <v>0</v>
      </c>
      <c r="L83" s="1209">
        <f t="shared" si="41"/>
        <v>0</v>
      </c>
      <c r="M83" s="704"/>
      <c r="N83" s="1323"/>
      <c r="O83" s="920"/>
      <c r="P83" s="1322"/>
      <c r="Q83" s="594">
        <f t="shared" si="42"/>
        <v>0</v>
      </c>
      <c r="R83" s="1323"/>
      <c r="S83" s="920"/>
      <c r="T83" s="921"/>
      <c r="U83" s="1205">
        <f t="shared" si="43"/>
        <v>0</v>
      </c>
      <c r="V83" s="921"/>
      <c r="W83" s="920"/>
      <c r="X83" s="922"/>
    </row>
    <row r="84" spans="1:24" ht="15" customHeight="1" x14ac:dyDescent="0.25">
      <c r="A84" s="189" t="str">
        <f>'Org structure'!A9</f>
        <v>Vote 8 - [NAME OF VOTE 8]</v>
      </c>
      <c r="B84" s="55"/>
      <c r="C84" s="592">
        <f t="shared" ref="C84:L84" si="44">SUM(C85:C94)</f>
        <v>0</v>
      </c>
      <c r="D84" s="592">
        <f t="shared" si="44"/>
        <v>0</v>
      </c>
      <c r="E84" s="595">
        <f t="shared" si="44"/>
        <v>0</v>
      </c>
      <c r="F84" s="594">
        <f t="shared" si="44"/>
        <v>0</v>
      </c>
      <c r="G84" s="592">
        <f t="shared" si="44"/>
        <v>0</v>
      </c>
      <c r="H84" s="595">
        <f t="shared" si="44"/>
        <v>0</v>
      </c>
      <c r="I84" s="593">
        <f t="shared" si="44"/>
        <v>0</v>
      </c>
      <c r="J84" s="610">
        <f t="shared" si="44"/>
        <v>0</v>
      </c>
      <c r="K84" s="592">
        <f t="shared" si="44"/>
        <v>0</v>
      </c>
      <c r="L84" s="1209">
        <f t="shared" si="44"/>
        <v>0</v>
      </c>
      <c r="M84" s="158"/>
      <c r="N84" s="594">
        <f t="shared" ref="N84:X84" si="45">SUM(N85:N94)</f>
        <v>0</v>
      </c>
      <c r="O84" s="592">
        <f t="shared" si="45"/>
        <v>0</v>
      </c>
      <c r="P84" s="595">
        <f t="shared" si="45"/>
        <v>0</v>
      </c>
      <c r="Q84" s="594">
        <f t="shared" si="45"/>
        <v>0</v>
      </c>
      <c r="R84" s="594">
        <f t="shared" si="45"/>
        <v>0</v>
      </c>
      <c r="S84" s="592">
        <f t="shared" si="45"/>
        <v>0</v>
      </c>
      <c r="T84" s="1207">
        <f t="shared" si="45"/>
        <v>0</v>
      </c>
      <c r="U84" s="1205">
        <f t="shared" si="45"/>
        <v>0</v>
      </c>
      <c r="V84" s="1208">
        <f t="shared" si="45"/>
        <v>0</v>
      </c>
      <c r="W84" s="592">
        <f t="shared" si="45"/>
        <v>0</v>
      </c>
      <c r="X84" s="1209">
        <f t="shared" si="45"/>
        <v>0</v>
      </c>
    </row>
    <row r="85" spans="1:24" ht="11.25" customHeight="1" x14ac:dyDescent="0.25">
      <c r="A85" s="63" t="str">
        <f>'Org structure'!E81</f>
        <v>8.1 - [Name of sub-vote]</v>
      </c>
      <c r="B85" s="55"/>
      <c r="C85" s="920"/>
      <c r="D85" s="920"/>
      <c r="E85" s="921"/>
      <c r="F85" s="1323"/>
      <c r="G85" s="920"/>
      <c r="H85" s="1322"/>
      <c r="I85" s="921"/>
      <c r="J85" s="610">
        <f t="shared" ref="J85:J94" si="46">Q85+V85</f>
        <v>0</v>
      </c>
      <c r="K85" s="592">
        <f t="shared" ref="K85:K94" si="47">U85+W85</f>
        <v>0</v>
      </c>
      <c r="L85" s="1209">
        <f t="shared" ref="L85:L94" si="48">X85</f>
        <v>0</v>
      </c>
      <c r="M85" s="158"/>
      <c r="N85" s="1323"/>
      <c r="O85" s="920"/>
      <c r="P85" s="1322"/>
      <c r="Q85" s="594">
        <f t="shared" ref="Q85:Q94" si="49">SUM(N85:P85)</f>
        <v>0</v>
      </c>
      <c r="R85" s="1323"/>
      <c r="S85" s="920"/>
      <c r="T85" s="921"/>
      <c r="U85" s="1205">
        <f t="shared" si="43"/>
        <v>0</v>
      </c>
      <c r="V85" s="921"/>
      <c r="W85" s="920"/>
      <c r="X85" s="922"/>
    </row>
    <row r="86" spans="1:24" ht="11.25" customHeight="1" x14ac:dyDescent="0.25">
      <c r="A86" s="63">
        <f>'Org structure'!E82</f>
        <v>0</v>
      </c>
      <c r="B86" s="55"/>
      <c r="C86" s="920"/>
      <c r="D86" s="920"/>
      <c r="E86" s="921"/>
      <c r="F86" s="1323"/>
      <c r="G86" s="920"/>
      <c r="H86" s="1322"/>
      <c r="I86" s="921"/>
      <c r="J86" s="610">
        <f t="shared" si="46"/>
        <v>0</v>
      </c>
      <c r="K86" s="592">
        <f t="shared" si="47"/>
        <v>0</v>
      </c>
      <c r="L86" s="1209">
        <f t="shared" si="48"/>
        <v>0</v>
      </c>
      <c r="M86" s="158"/>
      <c r="N86" s="1323"/>
      <c r="O86" s="920"/>
      <c r="P86" s="1322"/>
      <c r="Q86" s="594">
        <f t="shared" si="49"/>
        <v>0</v>
      </c>
      <c r="R86" s="1323"/>
      <c r="S86" s="920"/>
      <c r="T86" s="921"/>
      <c r="U86" s="1205">
        <f t="shared" si="43"/>
        <v>0</v>
      </c>
      <c r="V86" s="921"/>
      <c r="W86" s="920"/>
      <c r="X86" s="922"/>
    </row>
    <row r="87" spans="1:24" ht="11.25" customHeight="1" x14ac:dyDescent="0.25">
      <c r="A87" s="63">
        <f>'Org structure'!E83</f>
        <v>0</v>
      </c>
      <c r="B87" s="55"/>
      <c r="C87" s="920"/>
      <c r="D87" s="920"/>
      <c r="E87" s="921"/>
      <c r="F87" s="1323"/>
      <c r="G87" s="920"/>
      <c r="H87" s="1322"/>
      <c r="I87" s="921"/>
      <c r="J87" s="610">
        <f t="shared" si="46"/>
        <v>0</v>
      </c>
      <c r="K87" s="592">
        <f t="shared" si="47"/>
        <v>0</v>
      </c>
      <c r="L87" s="1209">
        <f t="shared" si="48"/>
        <v>0</v>
      </c>
      <c r="M87" s="158"/>
      <c r="N87" s="1323"/>
      <c r="O87" s="920"/>
      <c r="P87" s="1322"/>
      <c r="Q87" s="594">
        <f t="shared" si="49"/>
        <v>0</v>
      </c>
      <c r="R87" s="1323"/>
      <c r="S87" s="920"/>
      <c r="T87" s="921"/>
      <c r="U87" s="1205">
        <f t="shared" si="43"/>
        <v>0</v>
      </c>
      <c r="V87" s="921"/>
      <c r="W87" s="920"/>
      <c r="X87" s="922"/>
    </row>
    <row r="88" spans="1:24" ht="11.25" customHeight="1" x14ac:dyDescent="0.25">
      <c r="A88" s="63">
        <f>'Org structure'!E84</f>
        <v>0</v>
      </c>
      <c r="B88" s="55"/>
      <c r="C88" s="920"/>
      <c r="D88" s="920"/>
      <c r="E88" s="921"/>
      <c r="F88" s="1323"/>
      <c r="G88" s="920"/>
      <c r="H88" s="1322"/>
      <c r="I88" s="921"/>
      <c r="J88" s="610">
        <f t="shared" si="46"/>
        <v>0</v>
      </c>
      <c r="K88" s="592">
        <f t="shared" si="47"/>
        <v>0</v>
      </c>
      <c r="L88" s="1209">
        <f t="shared" si="48"/>
        <v>0</v>
      </c>
      <c r="M88" s="158"/>
      <c r="N88" s="1323"/>
      <c r="O88" s="920"/>
      <c r="P88" s="1322"/>
      <c r="Q88" s="594">
        <f t="shared" si="49"/>
        <v>0</v>
      </c>
      <c r="R88" s="1323"/>
      <c r="S88" s="920"/>
      <c r="T88" s="921"/>
      <c r="U88" s="1205">
        <f t="shared" si="43"/>
        <v>0</v>
      </c>
      <c r="V88" s="921"/>
      <c r="W88" s="920"/>
      <c r="X88" s="922"/>
    </row>
    <row r="89" spans="1:24" ht="11.25" customHeight="1" x14ac:dyDescent="0.25">
      <c r="A89" s="63">
        <f>'Org structure'!E85</f>
        <v>0</v>
      </c>
      <c r="B89" s="55"/>
      <c r="C89" s="920"/>
      <c r="D89" s="920"/>
      <c r="E89" s="921"/>
      <c r="F89" s="1323"/>
      <c r="G89" s="920"/>
      <c r="H89" s="1322"/>
      <c r="I89" s="921"/>
      <c r="J89" s="610">
        <f t="shared" si="46"/>
        <v>0</v>
      </c>
      <c r="K89" s="592">
        <f t="shared" si="47"/>
        <v>0</v>
      </c>
      <c r="L89" s="1209">
        <f t="shared" si="48"/>
        <v>0</v>
      </c>
      <c r="M89" s="158"/>
      <c r="N89" s="1323"/>
      <c r="O89" s="920"/>
      <c r="P89" s="1322"/>
      <c r="Q89" s="594">
        <f t="shared" si="49"/>
        <v>0</v>
      </c>
      <c r="R89" s="1323"/>
      <c r="S89" s="920"/>
      <c r="T89" s="921"/>
      <c r="U89" s="1205">
        <f t="shared" si="43"/>
        <v>0</v>
      </c>
      <c r="V89" s="921"/>
      <c r="W89" s="920"/>
      <c r="X89" s="922"/>
    </row>
    <row r="90" spans="1:24" ht="11.25" customHeight="1" x14ac:dyDescent="0.25">
      <c r="A90" s="63">
        <f>'Org structure'!E86</f>
        <v>0</v>
      </c>
      <c r="B90" s="55"/>
      <c r="C90" s="920"/>
      <c r="D90" s="920"/>
      <c r="E90" s="921"/>
      <c r="F90" s="1323"/>
      <c r="G90" s="920"/>
      <c r="H90" s="1322"/>
      <c r="I90" s="921"/>
      <c r="J90" s="610">
        <f t="shared" si="46"/>
        <v>0</v>
      </c>
      <c r="K90" s="592">
        <f t="shared" si="47"/>
        <v>0</v>
      </c>
      <c r="L90" s="1209">
        <f t="shared" si="48"/>
        <v>0</v>
      </c>
      <c r="M90" s="158"/>
      <c r="N90" s="1323"/>
      <c r="O90" s="920"/>
      <c r="P90" s="1322"/>
      <c r="Q90" s="594">
        <f t="shared" si="49"/>
        <v>0</v>
      </c>
      <c r="R90" s="1323"/>
      <c r="S90" s="920"/>
      <c r="T90" s="921"/>
      <c r="U90" s="1205">
        <f t="shared" si="43"/>
        <v>0</v>
      </c>
      <c r="V90" s="921"/>
      <c r="W90" s="920"/>
      <c r="X90" s="922"/>
    </row>
    <row r="91" spans="1:24" ht="11.25" customHeight="1" x14ac:dyDescent="0.25">
      <c r="A91" s="63">
        <f>'Org structure'!E87</f>
        <v>0</v>
      </c>
      <c r="B91" s="55"/>
      <c r="C91" s="920"/>
      <c r="D91" s="920"/>
      <c r="E91" s="921"/>
      <c r="F91" s="1323"/>
      <c r="G91" s="920"/>
      <c r="H91" s="1322"/>
      <c r="I91" s="921"/>
      <c r="J91" s="610">
        <f t="shared" si="46"/>
        <v>0</v>
      </c>
      <c r="K91" s="592">
        <f t="shared" si="47"/>
        <v>0</v>
      </c>
      <c r="L91" s="1209">
        <f t="shared" si="48"/>
        <v>0</v>
      </c>
      <c r="M91" s="158"/>
      <c r="N91" s="1323"/>
      <c r="O91" s="920"/>
      <c r="P91" s="1322"/>
      <c r="Q91" s="594">
        <f t="shared" si="49"/>
        <v>0</v>
      </c>
      <c r="R91" s="1323"/>
      <c r="S91" s="920"/>
      <c r="T91" s="921"/>
      <c r="U91" s="1205">
        <f t="shared" si="43"/>
        <v>0</v>
      </c>
      <c r="V91" s="921"/>
      <c r="W91" s="920"/>
      <c r="X91" s="922"/>
    </row>
    <row r="92" spans="1:24" ht="11.25" customHeight="1" x14ac:dyDescent="0.25">
      <c r="A92" s="63">
        <f>'Org structure'!E88</f>
        <v>0</v>
      </c>
      <c r="B92" s="55"/>
      <c r="C92" s="920"/>
      <c r="D92" s="920"/>
      <c r="E92" s="921"/>
      <c r="F92" s="1323"/>
      <c r="G92" s="920"/>
      <c r="H92" s="1322"/>
      <c r="I92" s="921"/>
      <c r="J92" s="610">
        <f t="shared" si="46"/>
        <v>0</v>
      </c>
      <c r="K92" s="592">
        <f t="shared" si="47"/>
        <v>0</v>
      </c>
      <c r="L92" s="1209">
        <f t="shared" si="48"/>
        <v>0</v>
      </c>
      <c r="M92" s="158"/>
      <c r="N92" s="1323"/>
      <c r="O92" s="920"/>
      <c r="P92" s="1322"/>
      <c r="Q92" s="594">
        <f t="shared" si="49"/>
        <v>0</v>
      </c>
      <c r="R92" s="1323"/>
      <c r="S92" s="920"/>
      <c r="T92" s="921"/>
      <c r="U92" s="1205">
        <f t="shared" si="43"/>
        <v>0</v>
      </c>
      <c r="V92" s="921"/>
      <c r="W92" s="920"/>
      <c r="X92" s="922"/>
    </row>
    <row r="93" spans="1:24" ht="11.25" customHeight="1" x14ac:dyDescent="0.25">
      <c r="A93" s="63">
        <f>'Org structure'!E89</f>
        <v>0</v>
      </c>
      <c r="B93" s="55"/>
      <c r="C93" s="920"/>
      <c r="D93" s="920"/>
      <c r="E93" s="921"/>
      <c r="F93" s="1323"/>
      <c r="G93" s="920"/>
      <c r="H93" s="1322"/>
      <c r="I93" s="921"/>
      <c r="J93" s="610">
        <f t="shared" si="46"/>
        <v>0</v>
      </c>
      <c r="K93" s="592">
        <f t="shared" si="47"/>
        <v>0</v>
      </c>
      <c r="L93" s="1209">
        <f t="shared" si="48"/>
        <v>0</v>
      </c>
      <c r="M93" s="158"/>
      <c r="N93" s="1323"/>
      <c r="O93" s="920"/>
      <c r="P93" s="1322"/>
      <c r="Q93" s="594">
        <f t="shared" si="49"/>
        <v>0</v>
      </c>
      <c r="R93" s="1323"/>
      <c r="S93" s="920"/>
      <c r="T93" s="921"/>
      <c r="U93" s="1205">
        <f t="shared" si="43"/>
        <v>0</v>
      </c>
      <c r="V93" s="921"/>
      <c r="W93" s="920"/>
      <c r="X93" s="922"/>
    </row>
    <row r="94" spans="1:24" ht="11.25" customHeight="1" x14ac:dyDescent="0.25">
      <c r="A94" s="63">
        <f>'Org structure'!E90</f>
        <v>0</v>
      </c>
      <c r="B94" s="55"/>
      <c r="C94" s="920"/>
      <c r="D94" s="920"/>
      <c r="E94" s="921"/>
      <c r="F94" s="1323"/>
      <c r="G94" s="920"/>
      <c r="H94" s="1322"/>
      <c r="I94" s="921"/>
      <c r="J94" s="610">
        <f t="shared" si="46"/>
        <v>0</v>
      </c>
      <c r="K94" s="592">
        <f t="shared" si="47"/>
        <v>0</v>
      </c>
      <c r="L94" s="1209">
        <f t="shared" si="48"/>
        <v>0</v>
      </c>
      <c r="M94" s="158"/>
      <c r="N94" s="1323"/>
      <c r="O94" s="920"/>
      <c r="P94" s="1322"/>
      <c r="Q94" s="594">
        <f t="shared" si="49"/>
        <v>0</v>
      </c>
      <c r="R94" s="1323"/>
      <c r="S94" s="920"/>
      <c r="T94" s="921"/>
      <c r="U94" s="1205">
        <f t="shared" si="43"/>
        <v>0</v>
      </c>
      <c r="V94" s="921"/>
      <c r="W94" s="920"/>
      <c r="X94" s="922"/>
    </row>
    <row r="95" spans="1:24" ht="15" customHeight="1" x14ac:dyDescent="0.25">
      <c r="A95" s="189" t="str">
        <f>'Org structure'!A10</f>
        <v>Vote 9 - [NAME OF VOTE 9]</v>
      </c>
      <c r="B95" s="55"/>
      <c r="C95" s="592">
        <f>SUM(C96:C105)</f>
        <v>0</v>
      </c>
      <c r="D95" s="592">
        <f t="shared" ref="D95:L95" si="50">SUM(D96:D105)</f>
        <v>0</v>
      </c>
      <c r="E95" s="595">
        <f t="shared" si="50"/>
        <v>0</v>
      </c>
      <c r="F95" s="594">
        <f t="shared" si="50"/>
        <v>0</v>
      </c>
      <c r="G95" s="592">
        <f t="shared" si="50"/>
        <v>0</v>
      </c>
      <c r="H95" s="595">
        <f t="shared" si="50"/>
        <v>0</v>
      </c>
      <c r="I95" s="593">
        <f t="shared" si="50"/>
        <v>0</v>
      </c>
      <c r="J95" s="610">
        <f t="shared" si="50"/>
        <v>0</v>
      </c>
      <c r="K95" s="592">
        <f t="shared" si="50"/>
        <v>0</v>
      </c>
      <c r="L95" s="1209">
        <f t="shared" si="50"/>
        <v>0</v>
      </c>
      <c r="M95" s="158"/>
      <c r="N95" s="594">
        <f t="shared" ref="N95:X95" si="51">SUM(N96:N105)</f>
        <v>0</v>
      </c>
      <c r="O95" s="592">
        <f t="shared" si="51"/>
        <v>0</v>
      </c>
      <c r="P95" s="595">
        <f t="shared" si="51"/>
        <v>0</v>
      </c>
      <c r="Q95" s="594">
        <f t="shared" si="51"/>
        <v>0</v>
      </c>
      <c r="R95" s="594">
        <f t="shared" si="51"/>
        <v>0</v>
      </c>
      <c r="S95" s="592">
        <f t="shared" si="51"/>
        <v>0</v>
      </c>
      <c r="T95" s="1207">
        <f t="shared" si="51"/>
        <v>0</v>
      </c>
      <c r="U95" s="1205">
        <f t="shared" si="51"/>
        <v>0</v>
      </c>
      <c r="V95" s="1208">
        <f t="shared" si="51"/>
        <v>0</v>
      </c>
      <c r="W95" s="592">
        <f t="shared" si="51"/>
        <v>0</v>
      </c>
      <c r="X95" s="1209">
        <f t="shared" si="51"/>
        <v>0</v>
      </c>
    </row>
    <row r="96" spans="1:24" ht="11.25" customHeight="1" x14ac:dyDescent="0.25">
      <c r="A96" s="63" t="str">
        <f>'Org structure'!E92</f>
        <v>9.1 - [Name of sub-vote]</v>
      </c>
      <c r="B96" s="55"/>
      <c r="C96" s="920"/>
      <c r="D96" s="920"/>
      <c r="E96" s="921"/>
      <c r="F96" s="1323"/>
      <c r="G96" s="920"/>
      <c r="H96" s="1322"/>
      <c r="I96" s="921"/>
      <c r="J96" s="610">
        <f t="shared" ref="J96:J105" si="52">Q96+V96</f>
        <v>0</v>
      </c>
      <c r="K96" s="592">
        <f t="shared" ref="K96:K105" si="53">U96+W96</f>
        <v>0</v>
      </c>
      <c r="L96" s="1209">
        <f t="shared" ref="L96:L105" si="54">X96</f>
        <v>0</v>
      </c>
      <c r="M96" s="158"/>
      <c r="N96" s="1323"/>
      <c r="O96" s="920"/>
      <c r="P96" s="1322"/>
      <c r="Q96" s="594">
        <f t="shared" ref="Q96:Q105" si="55">SUM(N96:P96)</f>
        <v>0</v>
      </c>
      <c r="R96" s="1323"/>
      <c r="S96" s="920"/>
      <c r="T96" s="921"/>
      <c r="U96" s="1205">
        <f t="shared" si="43"/>
        <v>0</v>
      </c>
      <c r="V96" s="921"/>
      <c r="W96" s="920"/>
      <c r="X96" s="922"/>
    </row>
    <row r="97" spans="1:24" ht="11.25" customHeight="1" x14ac:dyDescent="0.25">
      <c r="A97" s="63">
        <f>'Org structure'!E93</f>
        <v>0</v>
      </c>
      <c r="B97" s="55"/>
      <c r="C97" s="920"/>
      <c r="D97" s="920"/>
      <c r="E97" s="921"/>
      <c r="F97" s="1323"/>
      <c r="G97" s="920"/>
      <c r="H97" s="1322"/>
      <c r="I97" s="921"/>
      <c r="J97" s="610">
        <f t="shared" si="52"/>
        <v>0</v>
      </c>
      <c r="K97" s="592">
        <f t="shared" si="53"/>
        <v>0</v>
      </c>
      <c r="L97" s="1209">
        <f t="shared" si="54"/>
        <v>0</v>
      </c>
      <c r="M97" s="158"/>
      <c r="N97" s="1323"/>
      <c r="O97" s="920"/>
      <c r="P97" s="1322"/>
      <c r="Q97" s="594">
        <f t="shared" si="55"/>
        <v>0</v>
      </c>
      <c r="R97" s="1323"/>
      <c r="S97" s="920"/>
      <c r="T97" s="921"/>
      <c r="U97" s="1205">
        <f t="shared" si="43"/>
        <v>0</v>
      </c>
      <c r="V97" s="921"/>
      <c r="W97" s="920"/>
      <c r="X97" s="922"/>
    </row>
    <row r="98" spans="1:24" ht="11.25" customHeight="1" x14ac:dyDescent="0.25">
      <c r="A98" s="63">
        <f>'Org structure'!E94</f>
        <v>0</v>
      </c>
      <c r="B98" s="55"/>
      <c r="C98" s="920"/>
      <c r="D98" s="920"/>
      <c r="E98" s="921"/>
      <c r="F98" s="1323"/>
      <c r="G98" s="920"/>
      <c r="H98" s="1322"/>
      <c r="I98" s="921"/>
      <c r="J98" s="610">
        <f t="shared" si="52"/>
        <v>0</v>
      </c>
      <c r="K98" s="592">
        <f t="shared" si="53"/>
        <v>0</v>
      </c>
      <c r="L98" s="1209">
        <f t="shared" si="54"/>
        <v>0</v>
      </c>
      <c r="M98" s="158"/>
      <c r="N98" s="1323"/>
      <c r="O98" s="920"/>
      <c r="P98" s="1322"/>
      <c r="Q98" s="594">
        <f t="shared" si="55"/>
        <v>0</v>
      </c>
      <c r="R98" s="1323"/>
      <c r="S98" s="920"/>
      <c r="T98" s="921"/>
      <c r="U98" s="1205">
        <f t="shared" si="43"/>
        <v>0</v>
      </c>
      <c r="V98" s="921"/>
      <c r="W98" s="920"/>
      <c r="X98" s="922"/>
    </row>
    <row r="99" spans="1:24" ht="11.25" customHeight="1" x14ac:dyDescent="0.25">
      <c r="A99" s="63">
        <f>'Org structure'!E95</f>
        <v>0</v>
      </c>
      <c r="B99" s="55"/>
      <c r="C99" s="920"/>
      <c r="D99" s="920"/>
      <c r="E99" s="921"/>
      <c r="F99" s="1323"/>
      <c r="G99" s="920"/>
      <c r="H99" s="1322"/>
      <c r="I99" s="921"/>
      <c r="J99" s="610">
        <f t="shared" si="52"/>
        <v>0</v>
      </c>
      <c r="K99" s="592">
        <f t="shared" si="53"/>
        <v>0</v>
      </c>
      <c r="L99" s="1209">
        <f t="shared" si="54"/>
        <v>0</v>
      </c>
      <c r="M99" s="158"/>
      <c r="N99" s="1323"/>
      <c r="O99" s="920"/>
      <c r="P99" s="1322"/>
      <c r="Q99" s="594">
        <f t="shared" si="55"/>
        <v>0</v>
      </c>
      <c r="R99" s="1323"/>
      <c r="S99" s="920"/>
      <c r="T99" s="921"/>
      <c r="U99" s="1205">
        <f t="shared" si="43"/>
        <v>0</v>
      </c>
      <c r="V99" s="921"/>
      <c r="W99" s="920"/>
      <c r="X99" s="922"/>
    </row>
    <row r="100" spans="1:24" ht="11.25" customHeight="1" x14ac:dyDescent="0.25">
      <c r="A100" s="63">
        <f>'Org structure'!E96</f>
        <v>0</v>
      </c>
      <c r="B100" s="55"/>
      <c r="C100" s="920"/>
      <c r="D100" s="920"/>
      <c r="E100" s="921"/>
      <c r="F100" s="1323"/>
      <c r="G100" s="920"/>
      <c r="H100" s="1322"/>
      <c r="I100" s="921"/>
      <c r="J100" s="610">
        <f t="shared" si="52"/>
        <v>0</v>
      </c>
      <c r="K100" s="592">
        <f t="shared" si="53"/>
        <v>0</v>
      </c>
      <c r="L100" s="1209">
        <f t="shared" si="54"/>
        <v>0</v>
      </c>
      <c r="M100" s="158"/>
      <c r="N100" s="1323"/>
      <c r="O100" s="920"/>
      <c r="P100" s="1322"/>
      <c r="Q100" s="594">
        <f t="shared" si="55"/>
        <v>0</v>
      </c>
      <c r="R100" s="1323"/>
      <c r="S100" s="920"/>
      <c r="T100" s="921"/>
      <c r="U100" s="1205">
        <f t="shared" si="43"/>
        <v>0</v>
      </c>
      <c r="V100" s="921"/>
      <c r="W100" s="920"/>
      <c r="X100" s="922"/>
    </row>
    <row r="101" spans="1:24" ht="11.25" customHeight="1" x14ac:dyDescent="0.25">
      <c r="A101" s="63">
        <f>'Org structure'!E97</f>
        <v>0</v>
      </c>
      <c r="B101" s="55"/>
      <c r="C101" s="920"/>
      <c r="D101" s="920"/>
      <c r="E101" s="921"/>
      <c r="F101" s="1323"/>
      <c r="G101" s="920"/>
      <c r="H101" s="1322"/>
      <c r="I101" s="921"/>
      <c r="J101" s="610">
        <f t="shared" si="52"/>
        <v>0</v>
      </c>
      <c r="K101" s="592">
        <f t="shared" si="53"/>
        <v>0</v>
      </c>
      <c r="L101" s="1209">
        <f t="shared" si="54"/>
        <v>0</v>
      </c>
      <c r="M101" s="158"/>
      <c r="N101" s="1323"/>
      <c r="O101" s="920"/>
      <c r="P101" s="1322"/>
      <c r="Q101" s="594">
        <f t="shared" si="55"/>
        <v>0</v>
      </c>
      <c r="R101" s="1323"/>
      <c r="S101" s="920"/>
      <c r="T101" s="921"/>
      <c r="U101" s="1205">
        <f t="shared" si="43"/>
        <v>0</v>
      </c>
      <c r="V101" s="921"/>
      <c r="W101" s="920"/>
      <c r="X101" s="922"/>
    </row>
    <row r="102" spans="1:24" ht="11.25" customHeight="1" x14ac:dyDescent="0.25">
      <c r="A102" s="63">
        <f>'Org structure'!E98</f>
        <v>0</v>
      </c>
      <c r="B102" s="55"/>
      <c r="C102" s="920"/>
      <c r="D102" s="920"/>
      <c r="E102" s="921"/>
      <c r="F102" s="1323"/>
      <c r="G102" s="920"/>
      <c r="H102" s="1322"/>
      <c r="I102" s="921"/>
      <c r="J102" s="610">
        <f t="shared" si="52"/>
        <v>0</v>
      </c>
      <c r="K102" s="592">
        <f t="shared" si="53"/>
        <v>0</v>
      </c>
      <c r="L102" s="1209">
        <f t="shared" si="54"/>
        <v>0</v>
      </c>
      <c r="M102" s="158"/>
      <c r="N102" s="1323"/>
      <c r="O102" s="920"/>
      <c r="P102" s="1322"/>
      <c r="Q102" s="594">
        <f t="shared" si="55"/>
        <v>0</v>
      </c>
      <c r="R102" s="1323"/>
      <c r="S102" s="920"/>
      <c r="T102" s="921"/>
      <c r="U102" s="1205">
        <f t="shared" si="43"/>
        <v>0</v>
      </c>
      <c r="V102" s="921"/>
      <c r="W102" s="920"/>
      <c r="X102" s="922"/>
    </row>
    <row r="103" spans="1:24" ht="11.25" customHeight="1" x14ac:dyDescent="0.25">
      <c r="A103" s="63">
        <f>'Org structure'!E99</f>
        <v>0</v>
      </c>
      <c r="B103" s="55"/>
      <c r="C103" s="920"/>
      <c r="D103" s="920"/>
      <c r="E103" s="921"/>
      <c r="F103" s="1323"/>
      <c r="G103" s="920"/>
      <c r="H103" s="1322"/>
      <c r="I103" s="921"/>
      <c r="J103" s="610">
        <f t="shared" si="52"/>
        <v>0</v>
      </c>
      <c r="K103" s="592">
        <f t="shared" si="53"/>
        <v>0</v>
      </c>
      <c r="L103" s="1209">
        <f t="shared" si="54"/>
        <v>0</v>
      </c>
      <c r="M103" s="158"/>
      <c r="N103" s="1323"/>
      <c r="O103" s="920"/>
      <c r="P103" s="1322"/>
      <c r="Q103" s="594">
        <f t="shared" si="55"/>
        <v>0</v>
      </c>
      <c r="R103" s="1323"/>
      <c r="S103" s="920"/>
      <c r="T103" s="921"/>
      <c r="U103" s="1205">
        <f t="shared" si="43"/>
        <v>0</v>
      </c>
      <c r="V103" s="921"/>
      <c r="W103" s="920"/>
      <c r="X103" s="922"/>
    </row>
    <row r="104" spans="1:24" ht="11.25" customHeight="1" x14ac:dyDescent="0.25">
      <c r="A104" s="63">
        <f>'Org structure'!E100</f>
        <v>0</v>
      </c>
      <c r="B104" s="55"/>
      <c r="C104" s="920"/>
      <c r="D104" s="920"/>
      <c r="E104" s="921"/>
      <c r="F104" s="1323"/>
      <c r="G104" s="920"/>
      <c r="H104" s="1322"/>
      <c r="I104" s="921"/>
      <c r="J104" s="610">
        <f t="shared" si="52"/>
        <v>0</v>
      </c>
      <c r="K104" s="592">
        <f t="shared" si="53"/>
        <v>0</v>
      </c>
      <c r="L104" s="1209">
        <f t="shared" si="54"/>
        <v>0</v>
      </c>
      <c r="M104" s="158"/>
      <c r="N104" s="1323"/>
      <c r="O104" s="920"/>
      <c r="P104" s="1322"/>
      <c r="Q104" s="594">
        <f t="shared" si="55"/>
        <v>0</v>
      </c>
      <c r="R104" s="1323"/>
      <c r="S104" s="920"/>
      <c r="T104" s="921"/>
      <c r="U104" s="1205">
        <f t="shared" si="43"/>
        <v>0</v>
      </c>
      <c r="V104" s="921"/>
      <c r="W104" s="920"/>
      <c r="X104" s="922"/>
    </row>
    <row r="105" spans="1:24" ht="11.25" customHeight="1" x14ac:dyDescent="0.25">
      <c r="A105" s="63">
        <f>'Org structure'!E101</f>
        <v>0</v>
      </c>
      <c r="B105" s="55"/>
      <c r="C105" s="920"/>
      <c r="D105" s="920"/>
      <c r="E105" s="921"/>
      <c r="F105" s="1323"/>
      <c r="G105" s="920"/>
      <c r="H105" s="1322"/>
      <c r="I105" s="921"/>
      <c r="J105" s="610">
        <f t="shared" si="52"/>
        <v>0</v>
      </c>
      <c r="K105" s="592">
        <f t="shared" si="53"/>
        <v>0</v>
      </c>
      <c r="L105" s="1209">
        <f t="shared" si="54"/>
        <v>0</v>
      </c>
      <c r="M105" s="158"/>
      <c r="N105" s="1323"/>
      <c r="O105" s="920"/>
      <c r="P105" s="1322"/>
      <c r="Q105" s="594">
        <f t="shared" si="55"/>
        <v>0</v>
      </c>
      <c r="R105" s="1323"/>
      <c r="S105" s="920"/>
      <c r="T105" s="921"/>
      <c r="U105" s="1205">
        <f t="shared" si="43"/>
        <v>0</v>
      </c>
      <c r="V105" s="921"/>
      <c r="W105" s="920"/>
      <c r="X105" s="922"/>
    </row>
    <row r="106" spans="1:24" ht="15" customHeight="1" x14ac:dyDescent="0.25">
      <c r="A106" s="189" t="str">
        <f>'Org structure'!A11</f>
        <v>Vote 10 - [NAME OF VOTE 10]</v>
      </c>
      <c r="B106" s="55"/>
      <c r="C106" s="592">
        <f>SUM(C107:C116)</f>
        <v>0</v>
      </c>
      <c r="D106" s="592">
        <f t="shared" ref="D106:L106" si="56">SUM(D107:D116)</f>
        <v>0</v>
      </c>
      <c r="E106" s="595">
        <f t="shared" si="56"/>
        <v>0</v>
      </c>
      <c r="F106" s="594">
        <f t="shared" si="56"/>
        <v>0</v>
      </c>
      <c r="G106" s="592">
        <f t="shared" si="56"/>
        <v>0</v>
      </c>
      <c r="H106" s="595">
        <f t="shared" si="56"/>
        <v>0</v>
      </c>
      <c r="I106" s="593">
        <f t="shared" si="56"/>
        <v>0</v>
      </c>
      <c r="J106" s="610">
        <f t="shared" si="56"/>
        <v>0</v>
      </c>
      <c r="K106" s="592">
        <f t="shared" si="56"/>
        <v>0</v>
      </c>
      <c r="L106" s="1209">
        <f t="shared" si="56"/>
        <v>0</v>
      </c>
      <c r="M106" s="158"/>
      <c r="N106" s="594">
        <f t="shared" ref="N106:X106" si="57">SUM(N107:N116)</f>
        <v>0</v>
      </c>
      <c r="O106" s="592">
        <f t="shared" si="57"/>
        <v>0</v>
      </c>
      <c r="P106" s="595">
        <f t="shared" si="57"/>
        <v>0</v>
      </c>
      <c r="Q106" s="594">
        <f t="shared" si="57"/>
        <v>0</v>
      </c>
      <c r="R106" s="594">
        <f t="shared" si="57"/>
        <v>0</v>
      </c>
      <c r="S106" s="592">
        <f t="shared" si="57"/>
        <v>0</v>
      </c>
      <c r="T106" s="1207">
        <f t="shared" si="57"/>
        <v>0</v>
      </c>
      <c r="U106" s="1205">
        <f t="shared" si="57"/>
        <v>0</v>
      </c>
      <c r="V106" s="1208">
        <f t="shared" si="57"/>
        <v>0</v>
      </c>
      <c r="W106" s="592">
        <f t="shared" si="57"/>
        <v>0</v>
      </c>
      <c r="X106" s="1209">
        <f t="shared" si="57"/>
        <v>0</v>
      </c>
    </row>
    <row r="107" spans="1:24" ht="11.25" customHeight="1" x14ac:dyDescent="0.25">
      <c r="A107" s="63" t="str">
        <f>'Org structure'!E103</f>
        <v>10.1 - [Name of sub-vote]</v>
      </c>
      <c r="B107" s="55"/>
      <c r="C107" s="920"/>
      <c r="D107" s="920"/>
      <c r="E107" s="921"/>
      <c r="F107" s="1323"/>
      <c r="G107" s="920"/>
      <c r="H107" s="1322"/>
      <c r="I107" s="921"/>
      <c r="J107" s="610">
        <f t="shared" ref="J107:J116" si="58">Q107+V107</f>
        <v>0</v>
      </c>
      <c r="K107" s="592">
        <f t="shared" ref="K107:K116" si="59">U107+W107</f>
        <v>0</v>
      </c>
      <c r="L107" s="1209">
        <f t="shared" ref="L107:L116" si="60">X107</f>
        <v>0</v>
      </c>
      <c r="M107" s="158"/>
      <c r="N107" s="1323"/>
      <c r="O107" s="920"/>
      <c r="P107" s="1322"/>
      <c r="Q107" s="594">
        <f t="shared" ref="Q107:Q116" si="61">SUM(N107:P107)</f>
        <v>0</v>
      </c>
      <c r="R107" s="1323"/>
      <c r="S107" s="920"/>
      <c r="T107" s="921"/>
      <c r="U107" s="1205">
        <f t="shared" si="43"/>
        <v>0</v>
      </c>
      <c r="V107" s="921"/>
      <c r="W107" s="920"/>
      <c r="X107" s="922"/>
    </row>
    <row r="108" spans="1:24" ht="11.25" customHeight="1" x14ac:dyDescent="0.25">
      <c r="A108" s="63">
        <f>'Org structure'!E104</f>
        <v>0</v>
      </c>
      <c r="B108" s="55"/>
      <c r="C108" s="920"/>
      <c r="D108" s="920"/>
      <c r="E108" s="921"/>
      <c r="F108" s="1323"/>
      <c r="G108" s="920"/>
      <c r="H108" s="1322"/>
      <c r="I108" s="921"/>
      <c r="J108" s="610">
        <f t="shared" si="58"/>
        <v>0</v>
      </c>
      <c r="K108" s="592">
        <f t="shared" si="59"/>
        <v>0</v>
      </c>
      <c r="L108" s="1209">
        <f t="shared" si="60"/>
        <v>0</v>
      </c>
      <c r="M108" s="158"/>
      <c r="N108" s="1323"/>
      <c r="O108" s="920"/>
      <c r="P108" s="1322"/>
      <c r="Q108" s="594">
        <f t="shared" si="61"/>
        <v>0</v>
      </c>
      <c r="R108" s="1323"/>
      <c r="S108" s="920"/>
      <c r="T108" s="921"/>
      <c r="U108" s="1205">
        <f t="shared" si="43"/>
        <v>0</v>
      </c>
      <c r="V108" s="921"/>
      <c r="W108" s="920"/>
      <c r="X108" s="922"/>
    </row>
    <row r="109" spans="1:24" ht="11.25" customHeight="1" x14ac:dyDescent="0.25">
      <c r="A109" s="63">
        <f>'Org structure'!E105</f>
        <v>0</v>
      </c>
      <c r="B109" s="55"/>
      <c r="C109" s="920"/>
      <c r="D109" s="920"/>
      <c r="E109" s="921"/>
      <c r="F109" s="1323"/>
      <c r="G109" s="920"/>
      <c r="H109" s="1322"/>
      <c r="I109" s="921"/>
      <c r="J109" s="610">
        <f t="shared" si="58"/>
        <v>0</v>
      </c>
      <c r="K109" s="592">
        <f t="shared" si="59"/>
        <v>0</v>
      </c>
      <c r="L109" s="1209">
        <f t="shared" si="60"/>
        <v>0</v>
      </c>
      <c r="M109" s="158"/>
      <c r="N109" s="1323"/>
      <c r="O109" s="920"/>
      <c r="P109" s="1322"/>
      <c r="Q109" s="594">
        <f t="shared" si="61"/>
        <v>0</v>
      </c>
      <c r="R109" s="1323"/>
      <c r="S109" s="920"/>
      <c r="T109" s="921"/>
      <c r="U109" s="1205">
        <f t="shared" si="43"/>
        <v>0</v>
      </c>
      <c r="V109" s="921"/>
      <c r="W109" s="920"/>
      <c r="X109" s="922"/>
    </row>
    <row r="110" spans="1:24" ht="11.25" customHeight="1" x14ac:dyDescent="0.25">
      <c r="A110" s="63">
        <f>'Org structure'!E106</f>
        <v>0</v>
      </c>
      <c r="B110" s="55"/>
      <c r="C110" s="920"/>
      <c r="D110" s="920"/>
      <c r="E110" s="921"/>
      <c r="F110" s="1323"/>
      <c r="G110" s="920"/>
      <c r="H110" s="1322"/>
      <c r="I110" s="921"/>
      <c r="J110" s="610">
        <f t="shared" si="58"/>
        <v>0</v>
      </c>
      <c r="K110" s="592">
        <f t="shared" si="59"/>
        <v>0</v>
      </c>
      <c r="L110" s="1209">
        <f t="shared" si="60"/>
        <v>0</v>
      </c>
      <c r="M110" s="158"/>
      <c r="N110" s="1323"/>
      <c r="O110" s="920"/>
      <c r="P110" s="1322"/>
      <c r="Q110" s="594">
        <f t="shared" si="61"/>
        <v>0</v>
      </c>
      <c r="R110" s="1323"/>
      <c r="S110" s="920"/>
      <c r="T110" s="921"/>
      <c r="U110" s="1205">
        <f t="shared" si="43"/>
        <v>0</v>
      </c>
      <c r="V110" s="921"/>
      <c r="W110" s="920"/>
      <c r="X110" s="922"/>
    </row>
    <row r="111" spans="1:24" ht="11.25" customHeight="1" x14ac:dyDescent="0.25">
      <c r="A111" s="63">
        <f>'Org structure'!E107</f>
        <v>0</v>
      </c>
      <c r="B111" s="55"/>
      <c r="C111" s="920"/>
      <c r="D111" s="920"/>
      <c r="E111" s="921"/>
      <c r="F111" s="1323"/>
      <c r="G111" s="920"/>
      <c r="H111" s="1322"/>
      <c r="I111" s="921"/>
      <c r="J111" s="610">
        <f t="shared" si="58"/>
        <v>0</v>
      </c>
      <c r="K111" s="592">
        <f t="shared" si="59"/>
        <v>0</v>
      </c>
      <c r="L111" s="1209">
        <f t="shared" si="60"/>
        <v>0</v>
      </c>
      <c r="M111" s="158"/>
      <c r="N111" s="1323"/>
      <c r="O111" s="920"/>
      <c r="P111" s="1322"/>
      <c r="Q111" s="594">
        <f t="shared" si="61"/>
        <v>0</v>
      </c>
      <c r="R111" s="1323"/>
      <c r="S111" s="920"/>
      <c r="T111" s="921"/>
      <c r="U111" s="1205">
        <f t="shared" si="43"/>
        <v>0</v>
      </c>
      <c r="V111" s="921"/>
      <c r="W111" s="920"/>
      <c r="X111" s="922"/>
    </row>
    <row r="112" spans="1:24" ht="11.25" customHeight="1" x14ac:dyDescent="0.25">
      <c r="A112" s="63">
        <f>'Org structure'!E108</f>
        <v>0</v>
      </c>
      <c r="B112" s="55"/>
      <c r="C112" s="920"/>
      <c r="D112" s="920"/>
      <c r="E112" s="921"/>
      <c r="F112" s="1323"/>
      <c r="G112" s="920"/>
      <c r="H112" s="1322"/>
      <c r="I112" s="921"/>
      <c r="J112" s="610">
        <f t="shared" si="58"/>
        <v>0</v>
      </c>
      <c r="K112" s="592">
        <f t="shared" si="59"/>
        <v>0</v>
      </c>
      <c r="L112" s="1209">
        <f t="shared" si="60"/>
        <v>0</v>
      </c>
      <c r="M112" s="158"/>
      <c r="N112" s="1323"/>
      <c r="O112" s="920"/>
      <c r="P112" s="1322"/>
      <c r="Q112" s="594">
        <f t="shared" si="61"/>
        <v>0</v>
      </c>
      <c r="R112" s="1323"/>
      <c r="S112" s="920"/>
      <c r="T112" s="921"/>
      <c r="U112" s="1205">
        <f t="shared" si="43"/>
        <v>0</v>
      </c>
      <c r="V112" s="921"/>
      <c r="W112" s="920"/>
      <c r="X112" s="922"/>
    </row>
    <row r="113" spans="1:24" ht="11.25" customHeight="1" x14ac:dyDescent="0.25">
      <c r="A113" s="63">
        <f>'Org structure'!E109</f>
        <v>0</v>
      </c>
      <c r="B113" s="55"/>
      <c r="C113" s="920"/>
      <c r="D113" s="920"/>
      <c r="E113" s="921"/>
      <c r="F113" s="1323"/>
      <c r="G113" s="920"/>
      <c r="H113" s="1322"/>
      <c r="I113" s="921"/>
      <c r="J113" s="610">
        <f t="shared" si="58"/>
        <v>0</v>
      </c>
      <c r="K113" s="592">
        <f t="shared" si="59"/>
        <v>0</v>
      </c>
      <c r="L113" s="1209">
        <f t="shared" si="60"/>
        <v>0</v>
      </c>
      <c r="M113" s="158"/>
      <c r="N113" s="1323"/>
      <c r="O113" s="920"/>
      <c r="P113" s="1322"/>
      <c r="Q113" s="594">
        <f t="shared" si="61"/>
        <v>0</v>
      </c>
      <c r="R113" s="1323"/>
      <c r="S113" s="920"/>
      <c r="T113" s="921"/>
      <c r="U113" s="1205">
        <f t="shared" si="43"/>
        <v>0</v>
      </c>
      <c r="V113" s="921"/>
      <c r="W113" s="920"/>
      <c r="X113" s="922"/>
    </row>
    <row r="114" spans="1:24" ht="11.25" customHeight="1" x14ac:dyDescent="0.25">
      <c r="A114" s="63">
        <f>'Org structure'!E110</f>
        <v>0</v>
      </c>
      <c r="B114" s="55"/>
      <c r="C114" s="920"/>
      <c r="D114" s="920"/>
      <c r="E114" s="921"/>
      <c r="F114" s="1323"/>
      <c r="G114" s="920"/>
      <c r="H114" s="1322"/>
      <c r="I114" s="921"/>
      <c r="J114" s="610">
        <f t="shared" si="58"/>
        <v>0</v>
      </c>
      <c r="K114" s="592">
        <f t="shared" si="59"/>
        <v>0</v>
      </c>
      <c r="L114" s="1209">
        <f t="shared" si="60"/>
        <v>0</v>
      </c>
      <c r="M114" s="158"/>
      <c r="N114" s="1323"/>
      <c r="O114" s="920"/>
      <c r="P114" s="1322"/>
      <c r="Q114" s="594">
        <f t="shared" si="61"/>
        <v>0</v>
      </c>
      <c r="R114" s="1323"/>
      <c r="S114" s="920"/>
      <c r="T114" s="921"/>
      <c r="U114" s="1205">
        <f t="shared" si="43"/>
        <v>0</v>
      </c>
      <c r="V114" s="921"/>
      <c r="W114" s="920"/>
      <c r="X114" s="922"/>
    </row>
    <row r="115" spans="1:24" ht="11.25" customHeight="1" x14ac:dyDescent="0.25">
      <c r="A115" s="63">
        <f>'Org structure'!E111</f>
        <v>0</v>
      </c>
      <c r="B115" s="55"/>
      <c r="C115" s="920"/>
      <c r="D115" s="920"/>
      <c r="E115" s="921"/>
      <c r="F115" s="1323"/>
      <c r="G115" s="920"/>
      <c r="H115" s="1322"/>
      <c r="I115" s="921"/>
      <c r="J115" s="610">
        <f t="shared" si="58"/>
        <v>0</v>
      </c>
      <c r="K115" s="592">
        <f t="shared" si="59"/>
        <v>0</v>
      </c>
      <c r="L115" s="1209">
        <f t="shared" si="60"/>
        <v>0</v>
      </c>
      <c r="M115" s="158"/>
      <c r="N115" s="1323"/>
      <c r="O115" s="920"/>
      <c r="P115" s="1322"/>
      <c r="Q115" s="594">
        <f t="shared" si="61"/>
        <v>0</v>
      </c>
      <c r="R115" s="1323"/>
      <c r="S115" s="920"/>
      <c r="T115" s="921"/>
      <c r="U115" s="1205">
        <f t="shared" si="43"/>
        <v>0</v>
      </c>
      <c r="V115" s="921"/>
      <c r="W115" s="920"/>
      <c r="X115" s="922"/>
    </row>
    <row r="116" spans="1:24" ht="11.25" customHeight="1" x14ac:dyDescent="0.25">
      <c r="A116" s="63">
        <f>'Org structure'!E112</f>
        <v>0</v>
      </c>
      <c r="B116" s="55"/>
      <c r="C116" s="920"/>
      <c r="D116" s="920"/>
      <c r="E116" s="921"/>
      <c r="F116" s="1323"/>
      <c r="G116" s="920"/>
      <c r="H116" s="1322"/>
      <c r="I116" s="921"/>
      <c r="J116" s="610">
        <f t="shared" si="58"/>
        <v>0</v>
      </c>
      <c r="K116" s="592">
        <f t="shared" si="59"/>
        <v>0</v>
      </c>
      <c r="L116" s="1209">
        <f t="shared" si="60"/>
        <v>0</v>
      </c>
      <c r="M116" s="158"/>
      <c r="N116" s="1323"/>
      <c r="O116" s="920"/>
      <c r="P116" s="1322"/>
      <c r="Q116" s="594">
        <f t="shared" si="61"/>
        <v>0</v>
      </c>
      <c r="R116" s="1323"/>
      <c r="S116" s="920"/>
      <c r="T116" s="921"/>
      <c r="U116" s="1205">
        <f t="shared" si="43"/>
        <v>0</v>
      </c>
      <c r="V116" s="921"/>
      <c r="W116" s="920"/>
      <c r="X116" s="922"/>
    </row>
    <row r="117" spans="1:24" ht="15" customHeight="1" x14ac:dyDescent="0.25">
      <c r="A117" s="189" t="str">
        <f>'Org structure'!A12</f>
        <v>Vote 11 - [NAME OF VOTE 11]</v>
      </c>
      <c r="B117" s="55"/>
      <c r="C117" s="592">
        <f t="shared" ref="C117:L117" si="62">SUM(C118:C127)</f>
        <v>0</v>
      </c>
      <c r="D117" s="592">
        <f t="shared" si="62"/>
        <v>0</v>
      </c>
      <c r="E117" s="595">
        <f t="shared" si="62"/>
        <v>0</v>
      </c>
      <c r="F117" s="594">
        <f t="shared" si="62"/>
        <v>0</v>
      </c>
      <c r="G117" s="592">
        <f t="shared" si="62"/>
        <v>0</v>
      </c>
      <c r="H117" s="595">
        <f t="shared" si="62"/>
        <v>0</v>
      </c>
      <c r="I117" s="593">
        <f t="shared" si="62"/>
        <v>0</v>
      </c>
      <c r="J117" s="610">
        <f t="shared" si="62"/>
        <v>0</v>
      </c>
      <c r="K117" s="592">
        <f t="shared" si="62"/>
        <v>0</v>
      </c>
      <c r="L117" s="1209">
        <f t="shared" si="62"/>
        <v>0</v>
      </c>
      <c r="M117" s="158"/>
      <c r="N117" s="594">
        <f t="shared" ref="N117:X117" si="63">SUM(N118:N127)</f>
        <v>0</v>
      </c>
      <c r="O117" s="592">
        <f t="shared" si="63"/>
        <v>0</v>
      </c>
      <c r="P117" s="595">
        <f t="shared" si="63"/>
        <v>0</v>
      </c>
      <c r="Q117" s="594">
        <f t="shared" si="63"/>
        <v>0</v>
      </c>
      <c r="R117" s="594">
        <f t="shared" si="63"/>
        <v>0</v>
      </c>
      <c r="S117" s="592">
        <f t="shared" si="63"/>
        <v>0</v>
      </c>
      <c r="T117" s="1207">
        <f t="shared" si="63"/>
        <v>0</v>
      </c>
      <c r="U117" s="1205">
        <f t="shared" si="63"/>
        <v>0</v>
      </c>
      <c r="V117" s="1208">
        <f t="shared" si="63"/>
        <v>0</v>
      </c>
      <c r="W117" s="592">
        <f t="shared" si="63"/>
        <v>0</v>
      </c>
      <c r="X117" s="1209">
        <f t="shared" si="63"/>
        <v>0</v>
      </c>
    </row>
    <row r="118" spans="1:24" ht="11.25" customHeight="1" x14ac:dyDescent="0.25">
      <c r="A118" s="63" t="str">
        <f>'Org structure'!E114</f>
        <v>11.1 - [Name of sub-vote]</v>
      </c>
      <c r="B118" s="55"/>
      <c r="C118" s="920"/>
      <c r="D118" s="920"/>
      <c r="E118" s="921"/>
      <c r="F118" s="1323"/>
      <c r="G118" s="920"/>
      <c r="H118" s="1322"/>
      <c r="I118" s="921"/>
      <c r="J118" s="610">
        <f t="shared" ref="J118:J127" si="64">Q118+V118</f>
        <v>0</v>
      </c>
      <c r="K118" s="592">
        <f t="shared" ref="K118:K127" si="65">U118+W118</f>
        <v>0</v>
      </c>
      <c r="L118" s="1209">
        <f t="shared" ref="L118:L127" si="66">X118</f>
        <v>0</v>
      </c>
      <c r="M118" s="158"/>
      <c r="N118" s="1323"/>
      <c r="O118" s="920"/>
      <c r="P118" s="1322"/>
      <c r="Q118" s="594">
        <f t="shared" ref="Q118:Q127" si="67">SUM(N118:P118)</f>
        <v>0</v>
      </c>
      <c r="R118" s="1323"/>
      <c r="S118" s="920"/>
      <c r="T118" s="921"/>
      <c r="U118" s="1205">
        <f t="shared" si="43"/>
        <v>0</v>
      </c>
      <c r="V118" s="921"/>
      <c r="W118" s="920"/>
      <c r="X118" s="922"/>
    </row>
    <row r="119" spans="1:24" ht="11.25" customHeight="1" x14ac:dyDescent="0.25">
      <c r="A119" s="63">
        <f>'Org structure'!E115</f>
        <v>0</v>
      </c>
      <c r="B119" s="55"/>
      <c r="C119" s="920"/>
      <c r="D119" s="920"/>
      <c r="E119" s="921"/>
      <c r="F119" s="1323"/>
      <c r="G119" s="920"/>
      <c r="H119" s="1322"/>
      <c r="I119" s="921"/>
      <c r="J119" s="610">
        <f t="shared" si="64"/>
        <v>0</v>
      </c>
      <c r="K119" s="592">
        <f t="shared" si="65"/>
        <v>0</v>
      </c>
      <c r="L119" s="1209">
        <f t="shared" si="66"/>
        <v>0</v>
      </c>
      <c r="M119" s="158"/>
      <c r="N119" s="1323"/>
      <c r="O119" s="920"/>
      <c r="P119" s="1322"/>
      <c r="Q119" s="594">
        <f t="shared" si="67"/>
        <v>0</v>
      </c>
      <c r="R119" s="1323"/>
      <c r="S119" s="920"/>
      <c r="T119" s="921"/>
      <c r="U119" s="1205">
        <f t="shared" si="43"/>
        <v>0</v>
      </c>
      <c r="V119" s="921"/>
      <c r="W119" s="920"/>
      <c r="X119" s="922"/>
    </row>
    <row r="120" spans="1:24" ht="11.25" customHeight="1" x14ac:dyDescent="0.25">
      <c r="A120" s="63">
        <f>'Org structure'!E116</f>
        <v>0</v>
      </c>
      <c r="B120" s="55"/>
      <c r="C120" s="920"/>
      <c r="D120" s="920"/>
      <c r="E120" s="921"/>
      <c r="F120" s="1323"/>
      <c r="G120" s="920"/>
      <c r="H120" s="1322"/>
      <c r="I120" s="921"/>
      <c r="J120" s="610">
        <f t="shared" si="64"/>
        <v>0</v>
      </c>
      <c r="K120" s="592">
        <f t="shared" si="65"/>
        <v>0</v>
      </c>
      <c r="L120" s="1209">
        <f t="shared" si="66"/>
        <v>0</v>
      </c>
      <c r="M120" s="158"/>
      <c r="N120" s="1323"/>
      <c r="O120" s="920"/>
      <c r="P120" s="1322"/>
      <c r="Q120" s="594">
        <f t="shared" si="67"/>
        <v>0</v>
      </c>
      <c r="R120" s="1323"/>
      <c r="S120" s="920"/>
      <c r="T120" s="921"/>
      <c r="U120" s="1205">
        <f t="shared" si="43"/>
        <v>0</v>
      </c>
      <c r="V120" s="921"/>
      <c r="W120" s="920"/>
      <c r="X120" s="922"/>
    </row>
    <row r="121" spans="1:24" ht="11.25" customHeight="1" x14ac:dyDescent="0.25">
      <c r="A121" s="63">
        <f>'Org structure'!E117</f>
        <v>0</v>
      </c>
      <c r="B121" s="55"/>
      <c r="C121" s="920"/>
      <c r="D121" s="920"/>
      <c r="E121" s="921"/>
      <c r="F121" s="1323"/>
      <c r="G121" s="920"/>
      <c r="H121" s="1322"/>
      <c r="I121" s="921"/>
      <c r="J121" s="610">
        <f t="shared" si="64"/>
        <v>0</v>
      </c>
      <c r="K121" s="592">
        <f t="shared" si="65"/>
        <v>0</v>
      </c>
      <c r="L121" s="1209">
        <f t="shared" si="66"/>
        <v>0</v>
      </c>
      <c r="M121" s="158"/>
      <c r="N121" s="1323"/>
      <c r="O121" s="920"/>
      <c r="P121" s="1322"/>
      <c r="Q121" s="594">
        <f t="shared" si="67"/>
        <v>0</v>
      </c>
      <c r="R121" s="1323"/>
      <c r="S121" s="920"/>
      <c r="T121" s="921"/>
      <c r="U121" s="1205">
        <f t="shared" si="43"/>
        <v>0</v>
      </c>
      <c r="V121" s="921"/>
      <c r="W121" s="920"/>
      <c r="X121" s="922"/>
    </row>
    <row r="122" spans="1:24" ht="11.25" customHeight="1" x14ac:dyDescent="0.25">
      <c r="A122" s="63">
        <f>'Org structure'!E118</f>
        <v>0</v>
      </c>
      <c r="B122" s="55"/>
      <c r="C122" s="920"/>
      <c r="D122" s="920"/>
      <c r="E122" s="921"/>
      <c r="F122" s="1323"/>
      <c r="G122" s="920"/>
      <c r="H122" s="1322"/>
      <c r="I122" s="921"/>
      <c r="J122" s="610">
        <f t="shared" si="64"/>
        <v>0</v>
      </c>
      <c r="K122" s="592">
        <f t="shared" si="65"/>
        <v>0</v>
      </c>
      <c r="L122" s="1209">
        <f t="shared" si="66"/>
        <v>0</v>
      </c>
      <c r="M122" s="158"/>
      <c r="N122" s="1323"/>
      <c r="O122" s="920"/>
      <c r="P122" s="1322"/>
      <c r="Q122" s="594">
        <f t="shared" si="67"/>
        <v>0</v>
      </c>
      <c r="R122" s="1323"/>
      <c r="S122" s="920"/>
      <c r="T122" s="921"/>
      <c r="U122" s="1205">
        <f t="shared" si="43"/>
        <v>0</v>
      </c>
      <c r="V122" s="921"/>
      <c r="W122" s="920"/>
      <c r="X122" s="922"/>
    </row>
    <row r="123" spans="1:24" ht="11.25" customHeight="1" x14ac:dyDescent="0.25">
      <c r="A123" s="63">
        <f>'Org structure'!E119</f>
        <v>0</v>
      </c>
      <c r="B123" s="55"/>
      <c r="C123" s="920"/>
      <c r="D123" s="920"/>
      <c r="E123" s="921"/>
      <c r="F123" s="1323"/>
      <c r="G123" s="920"/>
      <c r="H123" s="1322"/>
      <c r="I123" s="921"/>
      <c r="J123" s="610">
        <f t="shared" si="64"/>
        <v>0</v>
      </c>
      <c r="K123" s="592">
        <f t="shared" si="65"/>
        <v>0</v>
      </c>
      <c r="L123" s="1209">
        <f t="shared" si="66"/>
        <v>0</v>
      </c>
      <c r="M123" s="158"/>
      <c r="N123" s="1323"/>
      <c r="O123" s="920"/>
      <c r="P123" s="1322"/>
      <c r="Q123" s="594">
        <f t="shared" si="67"/>
        <v>0</v>
      </c>
      <c r="R123" s="1323"/>
      <c r="S123" s="920"/>
      <c r="T123" s="921"/>
      <c r="U123" s="1205">
        <f t="shared" si="43"/>
        <v>0</v>
      </c>
      <c r="V123" s="921"/>
      <c r="W123" s="920"/>
      <c r="X123" s="922"/>
    </row>
    <row r="124" spans="1:24" ht="11.25" customHeight="1" x14ac:dyDescent="0.25">
      <c r="A124" s="63">
        <f>'Org structure'!E120</f>
        <v>0</v>
      </c>
      <c r="B124" s="55"/>
      <c r="C124" s="920"/>
      <c r="D124" s="920"/>
      <c r="E124" s="921"/>
      <c r="F124" s="1323"/>
      <c r="G124" s="920"/>
      <c r="H124" s="1322"/>
      <c r="I124" s="921"/>
      <c r="J124" s="610">
        <f t="shared" si="64"/>
        <v>0</v>
      </c>
      <c r="K124" s="592">
        <f t="shared" si="65"/>
        <v>0</v>
      </c>
      <c r="L124" s="1209">
        <f t="shared" si="66"/>
        <v>0</v>
      </c>
      <c r="M124" s="158"/>
      <c r="N124" s="1323"/>
      <c r="O124" s="920"/>
      <c r="P124" s="1322"/>
      <c r="Q124" s="594">
        <f t="shared" si="67"/>
        <v>0</v>
      </c>
      <c r="R124" s="1323"/>
      <c r="S124" s="920"/>
      <c r="T124" s="921"/>
      <c r="U124" s="1205">
        <f t="shared" si="43"/>
        <v>0</v>
      </c>
      <c r="V124" s="921"/>
      <c r="W124" s="920"/>
      <c r="X124" s="922"/>
    </row>
    <row r="125" spans="1:24" ht="11.25" customHeight="1" x14ac:dyDescent="0.25">
      <c r="A125" s="63">
        <f>'Org structure'!E121</f>
        <v>0</v>
      </c>
      <c r="B125" s="55"/>
      <c r="C125" s="920"/>
      <c r="D125" s="920"/>
      <c r="E125" s="921"/>
      <c r="F125" s="1323"/>
      <c r="G125" s="920"/>
      <c r="H125" s="1322"/>
      <c r="I125" s="921"/>
      <c r="J125" s="610">
        <f t="shared" si="64"/>
        <v>0</v>
      </c>
      <c r="K125" s="592">
        <f t="shared" si="65"/>
        <v>0</v>
      </c>
      <c r="L125" s="1209">
        <f t="shared" si="66"/>
        <v>0</v>
      </c>
      <c r="M125" s="158"/>
      <c r="N125" s="1323"/>
      <c r="O125" s="920"/>
      <c r="P125" s="1322"/>
      <c r="Q125" s="594">
        <f t="shared" si="67"/>
        <v>0</v>
      </c>
      <c r="R125" s="1323"/>
      <c r="S125" s="920"/>
      <c r="T125" s="921"/>
      <c r="U125" s="1205">
        <f t="shared" si="43"/>
        <v>0</v>
      </c>
      <c r="V125" s="921"/>
      <c r="W125" s="920"/>
      <c r="X125" s="922"/>
    </row>
    <row r="126" spans="1:24" ht="11.25" customHeight="1" x14ac:dyDescent="0.25">
      <c r="A126" s="63">
        <f>'Org structure'!E122</f>
        <v>0</v>
      </c>
      <c r="B126" s="55"/>
      <c r="C126" s="920"/>
      <c r="D126" s="920"/>
      <c r="E126" s="921"/>
      <c r="F126" s="1323"/>
      <c r="G126" s="920"/>
      <c r="H126" s="1322"/>
      <c r="I126" s="921"/>
      <c r="J126" s="610">
        <f t="shared" si="64"/>
        <v>0</v>
      </c>
      <c r="K126" s="592">
        <f t="shared" si="65"/>
        <v>0</v>
      </c>
      <c r="L126" s="1209">
        <f t="shared" si="66"/>
        <v>0</v>
      </c>
      <c r="M126" s="158"/>
      <c r="N126" s="1323"/>
      <c r="O126" s="920"/>
      <c r="P126" s="1322"/>
      <c r="Q126" s="594">
        <f t="shared" si="67"/>
        <v>0</v>
      </c>
      <c r="R126" s="1323"/>
      <c r="S126" s="920"/>
      <c r="T126" s="921"/>
      <c r="U126" s="1205">
        <f t="shared" si="43"/>
        <v>0</v>
      </c>
      <c r="V126" s="921"/>
      <c r="W126" s="920"/>
      <c r="X126" s="922"/>
    </row>
    <row r="127" spans="1:24" ht="11.25" customHeight="1" x14ac:dyDescent="0.25">
      <c r="A127" s="63">
        <f>'Org structure'!E123</f>
        <v>0</v>
      </c>
      <c r="B127" s="55"/>
      <c r="C127" s="920"/>
      <c r="D127" s="920"/>
      <c r="E127" s="921"/>
      <c r="F127" s="1323"/>
      <c r="G127" s="920"/>
      <c r="H127" s="1322"/>
      <c r="I127" s="921"/>
      <c r="J127" s="610">
        <f t="shared" si="64"/>
        <v>0</v>
      </c>
      <c r="K127" s="592">
        <f t="shared" si="65"/>
        <v>0</v>
      </c>
      <c r="L127" s="1209">
        <f t="shared" si="66"/>
        <v>0</v>
      </c>
      <c r="M127" s="158"/>
      <c r="N127" s="1323"/>
      <c r="O127" s="920"/>
      <c r="P127" s="1322"/>
      <c r="Q127" s="594">
        <f t="shared" si="67"/>
        <v>0</v>
      </c>
      <c r="R127" s="1323"/>
      <c r="S127" s="920"/>
      <c r="T127" s="921"/>
      <c r="U127" s="1205">
        <f t="shared" si="43"/>
        <v>0</v>
      </c>
      <c r="V127" s="921"/>
      <c r="W127" s="920"/>
      <c r="X127" s="922"/>
    </row>
    <row r="128" spans="1:24" ht="15" customHeight="1" x14ac:dyDescent="0.25">
      <c r="A128" s="189" t="str">
        <f>'Org structure'!A13</f>
        <v>Vote 12 - [NAME OF VOTE 12]</v>
      </c>
      <c r="B128" s="55"/>
      <c r="C128" s="592">
        <f t="shared" ref="C128:L128" si="68">SUM(C129:C138)</f>
        <v>0</v>
      </c>
      <c r="D128" s="592">
        <f t="shared" si="68"/>
        <v>0</v>
      </c>
      <c r="E128" s="595">
        <f t="shared" si="68"/>
        <v>0</v>
      </c>
      <c r="F128" s="594">
        <f t="shared" si="68"/>
        <v>0</v>
      </c>
      <c r="G128" s="592">
        <f t="shared" si="68"/>
        <v>0</v>
      </c>
      <c r="H128" s="595">
        <f t="shared" si="68"/>
        <v>0</v>
      </c>
      <c r="I128" s="593">
        <f t="shared" si="68"/>
        <v>0</v>
      </c>
      <c r="J128" s="610">
        <f t="shared" si="68"/>
        <v>0</v>
      </c>
      <c r="K128" s="592">
        <f t="shared" si="68"/>
        <v>0</v>
      </c>
      <c r="L128" s="1209">
        <f t="shared" si="68"/>
        <v>0</v>
      </c>
      <c r="M128" s="158"/>
      <c r="N128" s="594">
        <f t="shared" ref="N128:X128" si="69">SUM(N129:N138)</f>
        <v>0</v>
      </c>
      <c r="O128" s="592">
        <f t="shared" si="69"/>
        <v>0</v>
      </c>
      <c r="P128" s="595">
        <f t="shared" si="69"/>
        <v>0</v>
      </c>
      <c r="Q128" s="594">
        <f t="shared" si="69"/>
        <v>0</v>
      </c>
      <c r="R128" s="594">
        <f t="shared" si="69"/>
        <v>0</v>
      </c>
      <c r="S128" s="592">
        <f t="shared" si="69"/>
        <v>0</v>
      </c>
      <c r="T128" s="1207">
        <f t="shared" si="69"/>
        <v>0</v>
      </c>
      <c r="U128" s="1205">
        <f t="shared" si="69"/>
        <v>0</v>
      </c>
      <c r="V128" s="1208">
        <f t="shared" si="69"/>
        <v>0</v>
      </c>
      <c r="W128" s="592">
        <f t="shared" si="69"/>
        <v>0</v>
      </c>
      <c r="X128" s="1209">
        <f t="shared" si="69"/>
        <v>0</v>
      </c>
    </row>
    <row r="129" spans="1:24" ht="11.25" customHeight="1" x14ac:dyDescent="0.25">
      <c r="A129" s="63" t="str">
        <f>'Org structure'!E125</f>
        <v>12.1 - [Name of sub-vote]</v>
      </c>
      <c r="B129" s="55"/>
      <c r="C129" s="920"/>
      <c r="D129" s="920"/>
      <c r="E129" s="921"/>
      <c r="F129" s="1323"/>
      <c r="G129" s="920"/>
      <c r="H129" s="1322"/>
      <c r="I129" s="921"/>
      <c r="J129" s="610">
        <f t="shared" ref="J129:J138" si="70">Q129+V129</f>
        <v>0</v>
      </c>
      <c r="K129" s="592">
        <f t="shared" ref="K129:K138" si="71">U129+W129</f>
        <v>0</v>
      </c>
      <c r="L129" s="1209">
        <f t="shared" ref="L129:L138" si="72">X129</f>
        <v>0</v>
      </c>
      <c r="M129" s="158"/>
      <c r="N129" s="1323"/>
      <c r="O129" s="920"/>
      <c r="P129" s="1322"/>
      <c r="Q129" s="594">
        <f t="shared" ref="Q129:Q138" si="73">SUM(N129:P129)</f>
        <v>0</v>
      </c>
      <c r="R129" s="1323"/>
      <c r="S129" s="920"/>
      <c r="T129" s="921"/>
      <c r="U129" s="1205">
        <f t="shared" si="43"/>
        <v>0</v>
      </c>
      <c r="V129" s="921"/>
      <c r="W129" s="920"/>
      <c r="X129" s="922"/>
    </row>
    <row r="130" spans="1:24" ht="11.25" customHeight="1" x14ac:dyDescent="0.25">
      <c r="A130" s="63">
        <f>'Org structure'!E126</f>
        <v>0</v>
      </c>
      <c r="B130" s="55"/>
      <c r="C130" s="920"/>
      <c r="D130" s="920"/>
      <c r="E130" s="921"/>
      <c r="F130" s="1323"/>
      <c r="G130" s="920"/>
      <c r="H130" s="1322"/>
      <c r="I130" s="921"/>
      <c r="J130" s="610">
        <f t="shared" si="70"/>
        <v>0</v>
      </c>
      <c r="K130" s="592">
        <f t="shared" si="71"/>
        <v>0</v>
      </c>
      <c r="L130" s="1209">
        <f t="shared" si="72"/>
        <v>0</v>
      </c>
      <c r="M130" s="158"/>
      <c r="N130" s="1323"/>
      <c r="O130" s="920"/>
      <c r="P130" s="1322"/>
      <c r="Q130" s="594">
        <f t="shared" si="73"/>
        <v>0</v>
      </c>
      <c r="R130" s="1323"/>
      <c r="S130" s="920"/>
      <c r="T130" s="921"/>
      <c r="U130" s="1205">
        <f t="shared" si="43"/>
        <v>0</v>
      </c>
      <c r="V130" s="921"/>
      <c r="W130" s="920"/>
      <c r="X130" s="922"/>
    </row>
    <row r="131" spans="1:24" ht="11.25" customHeight="1" x14ac:dyDescent="0.25">
      <c r="A131" s="63">
        <f>'Org structure'!E127</f>
        <v>0</v>
      </c>
      <c r="B131" s="55"/>
      <c r="C131" s="920"/>
      <c r="D131" s="920"/>
      <c r="E131" s="921"/>
      <c r="F131" s="1323"/>
      <c r="G131" s="920"/>
      <c r="H131" s="1322"/>
      <c r="I131" s="921"/>
      <c r="J131" s="610">
        <f t="shared" si="70"/>
        <v>0</v>
      </c>
      <c r="K131" s="592">
        <f t="shared" si="71"/>
        <v>0</v>
      </c>
      <c r="L131" s="1209">
        <f t="shared" si="72"/>
        <v>0</v>
      </c>
      <c r="M131" s="158"/>
      <c r="N131" s="1323"/>
      <c r="O131" s="920"/>
      <c r="P131" s="1322"/>
      <c r="Q131" s="594">
        <f t="shared" si="73"/>
        <v>0</v>
      </c>
      <c r="R131" s="1323"/>
      <c r="S131" s="920"/>
      <c r="T131" s="921"/>
      <c r="U131" s="1205">
        <f t="shared" si="43"/>
        <v>0</v>
      </c>
      <c r="V131" s="921"/>
      <c r="W131" s="920"/>
      <c r="X131" s="922"/>
    </row>
    <row r="132" spans="1:24" ht="11.25" customHeight="1" x14ac:dyDescent="0.25">
      <c r="A132" s="63">
        <f>'Org structure'!E128</f>
        <v>0</v>
      </c>
      <c r="B132" s="55"/>
      <c r="C132" s="920"/>
      <c r="D132" s="920"/>
      <c r="E132" s="921"/>
      <c r="F132" s="1323"/>
      <c r="G132" s="920"/>
      <c r="H132" s="1322"/>
      <c r="I132" s="921"/>
      <c r="J132" s="610">
        <f t="shared" si="70"/>
        <v>0</v>
      </c>
      <c r="K132" s="592">
        <f t="shared" si="71"/>
        <v>0</v>
      </c>
      <c r="L132" s="1209">
        <f t="shared" si="72"/>
        <v>0</v>
      </c>
      <c r="M132" s="158"/>
      <c r="N132" s="1323"/>
      <c r="O132" s="920"/>
      <c r="P132" s="1322"/>
      <c r="Q132" s="594">
        <f t="shared" si="73"/>
        <v>0</v>
      </c>
      <c r="R132" s="1323"/>
      <c r="S132" s="920"/>
      <c r="T132" s="921"/>
      <c r="U132" s="1205">
        <f t="shared" si="43"/>
        <v>0</v>
      </c>
      <c r="V132" s="921"/>
      <c r="W132" s="920"/>
      <c r="X132" s="922"/>
    </row>
    <row r="133" spans="1:24" ht="11.25" customHeight="1" x14ac:dyDescent="0.25">
      <c r="A133" s="63">
        <f>'Org structure'!E129</f>
        <v>0</v>
      </c>
      <c r="B133" s="55"/>
      <c r="C133" s="920"/>
      <c r="D133" s="920"/>
      <c r="E133" s="921"/>
      <c r="F133" s="1323"/>
      <c r="G133" s="920"/>
      <c r="H133" s="1322"/>
      <c r="I133" s="921"/>
      <c r="J133" s="610">
        <f t="shared" si="70"/>
        <v>0</v>
      </c>
      <c r="K133" s="592">
        <f t="shared" si="71"/>
        <v>0</v>
      </c>
      <c r="L133" s="1209">
        <f t="shared" si="72"/>
        <v>0</v>
      </c>
      <c r="M133" s="158"/>
      <c r="N133" s="1323"/>
      <c r="O133" s="920"/>
      <c r="P133" s="1322"/>
      <c r="Q133" s="594">
        <f t="shared" si="73"/>
        <v>0</v>
      </c>
      <c r="R133" s="1323"/>
      <c r="S133" s="920"/>
      <c r="T133" s="921"/>
      <c r="U133" s="1205">
        <f t="shared" si="43"/>
        <v>0</v>
      </c>
      <c r="V133" s="921"/>
      <c r="W133" s="920"/>
      <c r="X133" s="922"/>
    </row>
    <row r="134" spans="1:24" ht="11.25" customHeight="1" x14ac:dyDescent="0.25">
      <c r="A134" s="63">
        <f>'Org structure'!E130</f>
        <v>0</v>
      </c>
      <c r="B134" s="55"/>
      <c r="C134" s="920"/>
      <c r="D134" s="920"/>
      <c r="E134" s="921"/>
      <c r="F134" s="1323"/>
      <c r="G134" s="920"/>
      <c r="H134" s="1322"/>
      <c r="I134" s="921"/>
      <c r="J134" s="610">
        <f>Q134+V134</f>
        <v>0</v>
      </c>
      <c r="K134" s="592">
        <f t="shared" si="71"/>
        <v>0</v>
      </c>
      <c r="L134" s="1209">
        <f t="shared" si="72"/>
        <v>0</v>
      </c>
      <c r="M134" s="158"/>
      <c r="N134" s="1323"/>
      <c r="O134" s="920"/>
      <c r="P134" s="1322"/>
      <c r="Q134" s="594">
        <f t="shared" si="73"/>
        <v>0</v>
      </c>
      <c r="R134" s="1323"/>
      <c r="S134" s="920"/>
      <c r="T134" s="921"/>
      <c r="U134" s="1205">
        <f t="shared" si="43"/>
        <v>0</v>
      </c>
      <c r="V134" s="921"/>
      <c r="W134" s="920"/>
      <c r="X134" s="922"/>
    </row>
    <row r="135" spans="1:24" ht="11.25" customHeight="1" x14ac:dyDescent="0.25">
      <c r="A135" s="63">
        <f>'Org structure'!E131</f>
        <v>0</v>
      </c>
      <c r="B135" s="55"/>
      <c r="C135" s="920"/>
      <c r="D135" s="920"/>
      <c r="E135" s="921"/>
      <c r="F135" s="1323"/>
      <c r="G135" s="920"/>
      <c r="H135" s="1322"/>
      <c r="I135" s="921"/>
      <c r="J135" s="610">
        <f t="shared" si="70"/>
        <v>0</v>
      </c>
      <c r="K135" s="592">
        <f t="shared" si="71"/>
        <v>0</v>
      </c>
      <c r="L135" s="1209">
        <f t="shared" si="72"/>
        <v>0</v>
      </c>
      <c r="M135" s="158"/>
      <c r="N135" s="1323"/>
      <c r="O135" s="920"/>
      <c r="P135" s="1322"/>
      <c r="Q135" s="594">
        <f t="shared" si="73"/>
        <v>0</v>
      </c>
      <c r="R135" s="1323"/>
      <c r="S135" s="920"/>
      <c r="T135" s="921"/>
      <c r="U135" s="1205">
        <f t="shared" si="43"/>
        <v>0</v>
      </c>
      <c r="V135" s="921"/>
      <c r="W135" s="920"/>
      <c r="X135" s="922"/>
    </row>
    <row r="136" spans="1:24" ht="11.25" customHeight="1" x14ac:dyDescent="0.25">
      <c r="A136" s="63">
        <f>'Org structure'!E132</f>
        <v>0</v>
      </c>
      <c r="B136" s="55"/>
      <c r="C136" s="920"/>
      <c r="D136" s="920"/>
      <c r="E136" s="921"/>
      <c r="F136" s="1323"/>
      <c r="G136" s="920"/>
      <c r="H136" s="1322"/>
      <c r="I136" s="921"/>
      <c r="J136" s="610">
        <f t="shared" si="70"/>
        <v>0</v>
      </c>
      <c r="K136" s="592">
        <f t="shared" si="71"/>
        <v>0</v>
      </c>
      <c r="L136" s="1209">
        <f t="shared" si="72"/>
        <v>0</v>
      </c>
      <c r="M136" s="158"/>
      <c r="N136" s="1323"/>
      <c r="O136" s="920"/>
      <c r="P136" s="1322"/>
      <c r="Q136" s="594">
        <f t="shared" si="73"/>
        <v>0</v>
      </c>
      <c r="R136" s="1323"/>
      <c r="S136" s="920"/>
      <c r="T136" s="921"/>
      <c r="U136" s="1205">
        <f t="shared" si="43"/>
        <v>0</v>
      </c>
      <c r="V136" s="921"/>
      <c r="W136" s="920"/>
      <c r="X136" s="922"/>
    </row>
    <row r="137" spans="1:24" ht="11.25" customHeight="1" x14ac:dyDescent="0.25">
      <c r="A137" s="63">
        <f>'Org structure'!E133</f>
        <v>0</v>
      </c>
      <c r="B137" s="55"/>
      <c r="C137" s="920"/>
      <c r="D137" s="920"/>
      <c r="E137" s="921"/>
      <c r="F137" s="1323"/>
      <c r="G137" s="920"/>
      <c r="H137" s="1322"/>
      <c r="I137" s="921"/>
      <c r="J137" s="610">
        <f t="shared" si="70"/>
        <v>0</v>
      </c>
      <c r="K137" s="592">
        <f t="shared" si="71"/>
        <v>0</v>
      </c>
      <c r="L137" s="1209">
        <f t="shared" si="72"/>
        <v>0</v>
      </c>
      <c r="M137" s="158"/>
      <c r="N137" s="1323"/>
      <c r="O137" s="920"/>
      <c r="P137" s="1322"/>
      <c r="Q137" s="594">
        <f t="shared" si="73"/>
        <v>0</v>
      </c>
      <c r="R137" s="1323"/>
      <c r="S137" s="920"/>
      <c r="T137" s="921"/>
      <c r="U137" s="1205">
        <f t="shared" ref="U137:U171" si="74">SUM(R137:T137)</f>
        <v>0</v>
      </c>
      <c r="V137" s="921"/>
      <c r="W137" s="920"/>
      <c r="X137" s="922"/>
    </row>
    <row r="138" spans="1:24" ht="11.25" customHeight="1" x14ac:dyDescent="0.25">
      <c r="A138" s="63">
        <f>'Org structure'!E134</f>
        <v>0</v>
      </c>
      <c r="B138" s="55"/>
      <c r="C138" s="920"/>
      <c r="D138" s="920"/>
      <c r="E138" s="921"/>
      <c r="F138" s="1323"/>
      <c r="G138" s="920"/>
      <c r="H138" s="1322"/>
      <c r="I138" s="921"/>
      <c r="J138" s="610">
        <f t="shared" si="70"/>
        <v>0</v>
      </c>
      <c r="K138" s="592">
        <f t="shared" si="71"/>
        <v>0</v>
      </c>
      <c r="L138" s="1209">
        <f t="shared" si="72"/>
        <v>0</v>
      </c>
      <c r="M138" s="158"/>
      <c r="N138" s="1323"/>
      <c r="O138" s="920"/>
      <c r="P138" s="1322"/>
      <c r="Q138" s="594">
        <f t="shared" si="73"/>
        <v>0</v>
      </c>
      <c r="R138" s="1323"/>
      <c r="S138" s="920"/>
      <c r="T138" s="921"/>
      <c r="U138" s="1205">
        <f t="shared" si="74"/>
        <v>0</v>
      </c>
      <c r="V138" s="921"/>
      <c r="W138" s="920"/>
      <c r="X138" s="922"/>
    </row>
    <row r="139" spans="1:24" ht="15" customHeight="1" x14ac:dyDescent="0.25">
      <c r="A139" s="189" t="str">
        <f>'Org structure'!A14</f>
        <v>Vote 13 - [NAME OF VOTE 13]</v>
      </c>
      <c r="B139" s="55"/>
      <c r="C139" s="592">
        <f t="shared" ref="C139:L139" si="75">SUM(C140:C149)</f>
        <v>0</v>
      </c>
      <c r="D139" s="592">
        <f t="shared" si="75"/>
        <v>0</v>
      </c>
      <c r="E139" s="595">
        <f t="shared" si="75"/>
        <v>0</v>
      </c>
      <c r="F139" s="594">
        <f t="shared" si="75"/>
        <v>0</v>
      </c>
      <c r="G139" s="592">
        <f t="shared" si="75"/>
        <v>0</v>
      </c>
      <c r="H139" s="595">
        <f t="shared" si="75"/>
        <v>0</v>
      </c>
      <c r="I139" s="593">
        <f t="shared" si="75"/>
        <v>0</v>
      </c>
      <c r="J139" s="610">
        <f t="shared" si="75"/>
        <v>0</v>
      </c>
      <c r="K139" s="592">
        <f t="shared" si="75"/>
        <v>0</v>
      </c>
      <c r="L139" s="1209">
        <f t="shared" si="75"/>
        <v>0</v>
      </c>
      <c r="M139" s="158"/>
      <c r="N139" s="594">
        <f t="shared" ref="N139:X139" si="76">SUM(N140:N149)</f>
        <v>0</v>
      </c>
      <c r="O139" s="592">
        <f t="shared" si="76"/>
        <v>0</v>
      </c>
      <c r="P139" s="595">
        <f t="shared" si="76"/>
        <v>0</v>
      </c>
      <c r="Q139" s="594">
        <f t="shared" si="76"/>
        <v>0</v>
      </c>
      <c r="R139" s="594">
        <f t="shared" si="76"/>
        <v>0</v>
      </c>
      <c r="S139" s="592">
        <f t="shared" si="76"/>
        <v>0</v>
      </c>
      <c r="T139" s="1207">
        <f t="shared" si="76"/>
        <v>0</v>
      </c>
      <c r="U139" s="1205">
        <f t="shared" si="76"/>
        <v>0</v>
      </c>
      <c r="V139" s="1208">
        <f t="shared" si="76"/>
        <v>0</v>
      </c>
      <c r="W139" s="592">
        <f t="shared" si="76"/>
        <v>0</v>
      </c>
      <c r="X139" s="1209">
        <f t="shared" si="76"/>
        <v>0</v>
      </c>
    </row>
    <row r="140" spans="1:24" ht="11.25" customHeight="1" x14ac:dyDescent="0.25">
      <c r="A140" s="63" t="str">
        <f>'Org structure'!E136</f>
        <v>13.1 - [Name of sub-vote]</v>
      </c>
      <c r="B140" s="55"/>
      <c r="C140" s="920"/>
      <c r="D140" s="920"/>
      <c r="E140" s="921"/>
      <c r="F140" s="1323"/>
      <c r="G140" s="920"/>
      <c r="H140" s="1322"/>
      <c r="I140" s="921"/>
      <c r="J140" s="610">
        <f t="shared" ref="J140:J149" si="77">Q140+V140</f>
        <v>0</v>
      </c>
      <c r="K140" s="592">
        <f t="shared" ref="K140:K149" si="78">U140+W140</f>
        <v>0</v>
      </c>
      <c r="L140" s="1209">
        <f t="shared" ref="L140:L149" si="79">X140</f>
        <v>0</v>
      </c>
      <c r="M140" s="158"/>
      <c r="N140" s="1323"/>
      <c r="O140" s="920"/>
      <c r="P140" s="1322"/>
      <c r="Q140" s="594">
        <f t="shared" ref="Q140:Q149" si="80">SUM(N140:P140)</f>
        <v>0</v>
      </c>
      <c r="R140" s="1323"/>
      <c r="S140" s="920"/>
      <c r="T140" s="921"/>
      <c r="U140" s="1205">
        <f t="shared" si="74"/>
        <v>0</v>
      </c>
      <c r="V140" s="921"/>
      <c r="W140" s="920"/>
      <c r="X140" s="922"/>
    </row>
    <row r="141" spans="1:24" ht="11.25" customHeight="1" x14ac:dyDescent="0.25">
      <c r="A141" s="63">
        <f>'Org structure'!E137</f>
        <v>0</v>
      </c>
      <c r="B141" s="55"/>
      <c r="C141" s="920"/>
      <c r="D141" s="920"/>
      <c r="E141" s="921"/>
      <c r="F141" s="1323"/>
      <c r="G141" s="920"/>
      <c r="H141" s="1322"/>
      <c r="I141" s="921"/>
      <c r="J141" s="610">
        <f t="shared" si="77"/>
        <v>0</v>
      </c>
      <c r="K141" s="592">
        <f t="shared" si="78"/>
        <v>0</v>
      </c>
      <c r="L141" s="1209">
        <f t="shared" si="79"/>
        <v>0</v>
      </c>
      <c r="M141" s="158"/>
      <c r="N141" s="1323"/>
      <c r="O141" s="920"/>
      <c r="P141" s="1322"/>
      <c r="Q141" s="594">
        <f t="shared" si="80"/>
        <v>0</v>
      </c>
      <c r="R141" s="1323"/>
      <c r="S141" s="920"/>
      <c r="T141" s="921"/>
      <c r="U141" s="1205">
        <f t="shared" si="74"/>
        <v>0</v>
      </c>
      <c r="V141" s="921"/>
      <c r="W141" s="920"/>
      <c r="X141" s="922"/>
    </row>
    <row r="142" spans="1:24" ht="11.25" customHeight="1" x14ac:dyDescent="0.25">
      <c r="A142" s="63">
        <f>'Org structure'!E138</f>
        <v>0</v>
      </c>
      <c r="B142" s="55"/>
      <c r="C142" s="920"/>
      <c r="D142" s="920"/>
      <c r="E142" s="921"/>
      <c r="F142" s="1323"/>
      <c r="G142" s="920"/>
      <c r="H142" s="1322"/>
      <c r="I142" s="921"/>
      <c r="J142" s="610">
        <f t="shared" si="77"/>
        <v>0</v>
      </c>
      <c r="K142" s="592">
        <f t="shared" si="78"/>
        <v>0</v>
      </c>
      <c r="L142" s="1209">
        <f t="shared" si="79"/>
        <v>0</v>
      </c>
      <c r="M142" s="158"/>
      <c r="N142" s="1323"/>
      <c r="O142" s="920"/>
      <c r="P142" s="1322"/>
      <c r="Q142" s="594">
        <f t="shared" si="80"/>
        <v>0</v>
      </c>
      <c r="R142" s="1323"/>
      <c r="S142" s="920"/>
      <c r="T142" s="921"/>
      <c r="U142" s="1205">
        <f t="shared" si="74"/>
        <v>0</v>
      </c>
      <c r="V142" s="921"/>
      <c r="W142" s="920"/>
      <c r="X142" s="922"/>
    </row>
    <row r="143" spans="1:24" ht="11.25" customHeight="1" x14ac:dyDescent="0.25">
      <c r="A143" s="63">
        <f>'Org structure'!E139</f>
        <v>0</v>
      </c>
      <c r="B143" s="55"/>
      <c r="C143" s="920"/>
      <c r="D143" s="920"/>
      <c r="E143" s="921"/>
      <c r="F143" s="1323"/>
      <c r="G143" s="920"/>
      <c r="H143" s="1322"/>
      <c r="I143" s="921"/>
      <c r="J143" s="610">
        <f t="shared" si="77"/>
        <v>0</v>
      </c>
      <c r="K143" s="592">
        <f t="shared" si="78"/>
        <v>0</v>
      </c>
      <c r="L143" s="1209">
        <f t="shared" si="79"/>
        <v>0</v>
      </c>
      <c r="M143" s="158"/>
      <c r="N143" s="1323"/>
      <c r="O143" s="920"/>
      <c r="P143" s="1322"/>
      <c r="Q143" s="594">
        <f t="shared" si="80"/>
        <v>0</v>
      </c>
      <c r="R143" s="1323"/>
      <c r="S143" s="920"/>
      <c r="T143" s="921"/>
      <c r="U143" s="1205">
        <f t="shared" si="74"/>
        <v>0</v>
      </c>
      <c r="V143" s="921"/>
      <c r="W143" s="920"/>
      <c r="X143" s="922"/>
    </row>
    <row r="144" spans="1:24" ht="11.25" customHeight="1" x14ac:dyDescent="0.25">
      <c r="A144" s="63">
        <f>'Org structure'!E140</f>
        <v>0</v>
      </c>
      <c r="B144" s="55"/>
      <c r="C144" s="920"/>
      <c r="D144" s="920"/>
      <c r="E144" s="921"/>
      <c r="F144" s="1323"/>
      <c r="G144" s="920"/>
      <c r="H144" s="1322"/>
      <c r="I144" s="921"/>
      <c r="J144" s="610">
        <f t="shared" si="77"/>
        <v>0</v>
      </c>
      <c r="K144" s="592">
        <f t="shared" si="78"/>
        <v>0</v>
      </c>
      <c r="L144" s="1209">
        <f t="shared" si="79"/>
        <v>0</v>
      </c>
      <c r="M144" s="158"/>
      <c r="N144" s="1323"/>
      <c r="O144" s="920"/>
      <c r="P144" s="1322"/>
      <c r="Q144" s="594">
        <f t="shared" si="80"/>
        <v>0</v>
      </c>
      <c r="R144" s="1323"/>
      <c r="S144" s="920"/>
      <c r="T144" s="921"/>
      <c r="U144" s="1205">
        <f t="shared" si="74"/>
        <v>0</v>
      </c>
      <c r="V144" s="921"/>
      <c r="W144" s="920"/>
      <c r="X144" s="922"/>
    </row>
    <row r="145" spans="1:24" ht="11.25" customHeight="1" x14ac:dyDescent="0.25">
      <c r="A145" s="63">
        <f>'Org structure'!E141</f>
        <v>0</v>
      </c>
      <c r="B145" s="55"/>
      <c r="C145" s="920"/>
      <c r="D145" s="920"/>
      <c r="E145" s="921"/>
      <c r="F145" s="1323"/>
      <c r="G145" s="920"/>
      <c r="H145" s="1322"/>
      <c r="I145" s="921"/>
      <c r="J145" s="610">
        <f t="shared" si="77"/>
        <v>0</v>
      </c>
      <c r="K145" s="592">
        <f t="shared" si="78"/>
        <v>0</v>
      </c>
      <c r="L145" s="1209">
        <f t="shared" si="79"/>
        <v>0</v>
      </c>
      <c r="M145" s="158"/>
      <c r="N145" s="1323"/>
      <c r="O145" s="920"/>
      <c r="P145" s="1322"/>
      <c r="Q145" s="594">
        <f t="shared" si="80"/>
        <v>0</v>
      </c>
      <c r="R145" s="1323"/>
      <c r="S145" s="920"/>
      <c r="T145" s="921"/>
      <c r="U145" s="1205">
        <f t="shared" si="74"/>
        <v>0</v>
      </c>
      <c r="V145" s="921"/>
      <c r="W145" s="920"/>
      <c r="X145" s="922"/>
    </row>
    <row r="146" spans="1:24" ht="11.25" customHeight="1" x14ac:dyDescent="0.25">
      <c r="A146" s="63">
        <f>'Org structure'!E142</f>
        <v>0</v>
      </c>
      <c r="B146" s="55"/>
      <c r="C146" s="920"/>
      <c r="D146" s="920"/>
      <c r="E146" s="921"/>
      <c r="F146" s="1323"/>
      <c r="G146" s="920"/>
      <c r="H146" s="1322"/>
      <c r="I146" s="921"/>
      <c r="J146" s="610">
        <f t="shared" si="77"/>
        <v>0</v>
      </c>
      <c r="K146" s="592">
        <f t="shared" si="78"/>
        <v>0</v>
      </c>
      <c r="L146" s="1209">
        <f t="shared" si="79"/>
        <v>0</v>
      </c>
      <c r="M146" s="158"/>
      <c r="N146" s="1323"/>
      <c r="O146" s="920"/>
      <c r="P146" s="1322"/>
      <c r="Q146" s="594">
        <f t="shared" si="80"/>
        <v>0</v>
      </c>
      <c r="R146" s="1323"/>
      <c r="S146" s="920"/>
      <c r="T146" s="921"/>
      <c r="U146" s="1205">
        <f t="shared" si="74"/>
        <v>0</v>
      </c>
      <c r="V146" s="921"/>
      <c r="W146" s="920"/>
      <c r="X146" s="922"/>
    </row>
    <row r="147" spans="1:24" ht="11.25" customHeight="1" x14ac:dyDescent="0.25">
      <c r="A147" s="63">
        <f>'Org structure'!E143</f>
        <v>0</v>
      </c>
      <c r="B147" s="55"/>
      <c r="C147" s="920"/>
      <c r="D147" s="920"/>
      <c r="E147" s="921"/>
      <c r="F147" s="1323"/>
      <c r="G147" s="920"/>
      <c r="H147" s="1322"/>
      <c r="I147" s="921"/>
      <c r="J147" s="610">
        <f t="shared" si="77"/>
        <v>0</v>
      </c>
      <c r="K147" s="592">
        <f t="shared" si="78"/>
        <v>0</v>
      </c>
      <c r="L147" s="1209">
        <f t="shared" si="79"/>
        <v>0</v>
      </c>
      <c r="M147" s="158"/>
      <c r="N147" s="1323"/>
      <c r="O147" s="920"/>
      <c r="P147" s="1322"/>
      <c r="Q147" s="594">
        <f t="shared" si="80"/>
        <v>0</v>
      </c>
      <c r="R147" s="1323"/>
      <c r="S147" s="920"/>
      <c r="T147" s="921"/>
      <c r="U147" s="1205">
        <f t="shared" si="74"/>
        <v>0</v>
      </c>
      <c r="V147" s="921"/>
      <c r="W147" s="920"/>
      <c r="X147" s="922"/>
    </row>
    <row r="148" spans="1:24" ht="11.25" customHeight="1" x14ac:dyDescent="0.25">
      <c r="A148" s="63">
        <f>'Org structure'!E144</f>
        <v>0</v>
      </c>
      <c r="B148" s="55"/>
      <c r="C148" s="920"/>
      <c r="D148" s="920"/>
      <c r="E148" s="921"/>
      <c r="F148" s="1323"/>
      <c r="G148" s="920"/>
      <c r="H148" s="1322"/>
      <c r="I148" s="921"/>
      <c r="J148" s="610">
        <f t="shared" si="77"/>
        <v>0</v>
      </c>
      <c r="K148" s="592">
        <f t="shared" si="78"/>
        <v>0</v>
      </c>
      <c r="L148" s="1209">
        <f t="shared" si="79"/>
        <v>0</v>
      </c>
      <c r="M148" s="158"/>
      <c r="N148" s="1323"/>
      <c r="O148" s="920"/>
      <c r="P148" s="1322"/>
      <c r="Q148" s="594">
        <f t="shared" si="80"/>
        <v>0</v>
      </c>
      <c r="R148" s="1323"/>
      <c r="S148" s="920"/>
      <c r="T148" s="921"/>
      <c r="U148" s="1205">
        <f t="shared" si="74"/>
        <v>0</v>
      </c>
      <c r="V148" s="921"/>
      <c r="W148" s="920"/>
      <c r="X148" s="922"/>
    </row>
    <row r="149" spans="1:24" ht="11.25" customHeight="1" x14ac:dyDescent="0.25">
      <c r="A149" s="63">
        <f>'Org structure'!E145</f>
        <v>0</v>
      </c>
      <c r="B149" s="55"/>
      <c r="C149" s="920"/>
      <c r="D149" s="920"/>
      <c r="E149" s="921"/>
      <c r="F149" s="1323"/>
      <c r="G149" s="920"/>
      <c r="H149" s="1322"/>
      <c r="I149" s="921"/>
      <c r="J149" s="610">
        <f t="shared" si="77"/>
        <v>0</v>
      </c>
      <c r="K149" s="592">
        <f t="shared" si="78"/>
        <v>0</v>
      </c>
      <c r="L149" s="1209">
        <f t="shared" si="79"/>
        <v>0</v>
      </c>
      <c r="M149" s="158"/>
      <c r="N149" s="1323"/>
      <c r="O149" s="920"/>
      <c r="P149" s="1322"/>
      <c r="Q149" s="594">
        <f t="shared" si="80"/>
        <v>0</v>
      </c>
      <c r="R149" s="1323"/>
      <c r="S149" s="920"/>
      <c r="T149" s="921"/>
      <c r="U149" s="1205">
        <f t="shared" si="74"/>
        <v>0</v>
      </c>
      <c r="V149" s="921"/>
      <c r="W149" s="920"/>
      <c r="X149" s="922"/>
    </row>
    <row r="150" spans="1:24" ht="15" customHeight="1" x14ac:dyDescent="0.25">
      <c r="A150" s="189" t="str">
        <f>'Org structure'!A15</f>
        <v>Vote 14 - [NAME OF VOTE 14]</v>
      </c>
      <c r="B150" s="55"/>
      <c r="C150" s="592">
        <f t="shared" ref="C150:L150" si="81">SUM(C151:C160)</f>
        <v>0</v>
      </c>
      <c r="D150" s="592">
        <f t="shared" si="81"/>
        <v>0</v>
      </c>
      <c r="E150" s="595">
        <f t="shared" si="81"/>
        <v>0</v>
      </c>
      <c r="F150" s="594">
        <f t="shared" si="81"/>
        <v>0</v>
      </c>
      <c r="G150" s="592">
        <f t="shared" si="81"/>
        <v>0</v>
      </c>
      <c r="H150" s="595">
        <f t="shared" si="81"/>
        <v>0</v>
      </c>
      <c r="I150" s="593">
        <f t="shared" si="81"/>
        <v>0</v>
      </c>
      <c r="J150" s="610">
        <f t="shared" si="81"/>
        <v>0</v>
      </c>
      <c r="K150" s="592">
        <f t="shared" si="81"/>
        <v>0</v>
      </c>
      <c r="L150" s="1209">
        <f t="shared" si="81"/>
        <v>0</v>
      </c>
      <c r="M150" s="158"/>
      <c r="N150" s="594">
        <f t="shared" ref="N150:X150" si="82">SUM(N151:N160)</f>
        <v>0</v>
      </c>
      <c r="O150" s="592">
        <f t="shared" si="82"/>
        <v>0</v>
      </c>
      <c r="P150" s="595">
        <f t="shared" si="82"/>
        <v>0</v>
      </c>
      <c r="Q150" s="594">
        <f t="shared" si="82"/>
        <v>0</v>
      </c>
      <c r="R150" s="594">
        <f t="shared" si="82"/>
        <v>0</v>
      </c>
      <c r="S150" s="592">
        <f t="shared" si="82"/>
        <v>0</v>
      </c>
      <c r="T150" s="1207">
        <f t="shared" si="82"/>
        <v>0</v>
      </c>
      <c r="U150" s="1205">
        <f t="shared" si="82"/>
        <v>0</v>
      </c>
      <c r="V150" s="1208">
        <f t="shared" si="82"/>
        <v>0</v>
      </c>
      <c r="W150" s="592">
        <f t="shared" si="82"/>
        <v>0</v>
      </c>
      <c r="X150" s="1209">
        <f t="shared" si="82"/>
        <v>0</v>
      </c>
    </row>
    <row r="151" spans="1:24" ht="11.25" customHeight="1" x14ac:dyDescent="0.25">
      <c r="A151" s="63" t="str">
        <f>'Org structure'!E147</f>
        <v>14.1 - [Name of sub-vote]</v>
      </c>
      <c r="B151" s="55"/>
      <c r="C151" s="920"/>
      <c r="D151" s="920"/>
      <c r="E151" s="921"/>
      <c r="F151" s="1323"/>
      <c r="G151" s="920"/>
      <c r="H151" s="1322"/>
      <c r="I151" s="921"/>
      <c r="J151" s="610">
        <f t="shared" ref="J151:J160" si="83">Q151+V151</f>
        <v>0</v>
      </c>
      <c r="K151" s="592">
        <f t="shared" ref="K151:K160" si="84">U151+W151</f>
        <v>0</v>
      </c>
      <c r="L151" s="1209">
        <f t="shared" ref="L151:L160" si="85">X151</f>
        <v>0</v>
      </c>
      <c r="M151" s="158"/>
      <c r="N151" s="1323"/>
      <c r="O151" s="920"/>
      <c r="P151" s="1322"/>
      <c r="Q151" s="594">
        <f t="shared" ref="Q151:Q160" si="86">SUM(N151:P151)</f>
        <v>0</v>
      </c>
      <c r="R151" s="1323"/>
      <c r="S151" s="920"/>
      <c r="T151" s="921"/>
      <c r="U151" s="1205">
        <f t="shared" si="74"/>
        <v>0</v>
      </c>
      <c r="V151" s="921"/>
      <c r="W151" s="920"/>
      <c r="X151" s="922"/>
    </row>
    <row r="152" spans="1:24" ht="11.25" customHeight="1" x14ac:dyDescent="0.25">
      <c r="A152" s="63">
        <f>'Org structure'!E148</f>
        <v>0</v>
      </c>
      <c r="B152" s="55"/>
      <c r="C152" s="920"/>
      <c r="D152" s="920"/>
      <c r="E152" s="921"/>
      <c r="F152" s="1323"/>
      <c r="G152" s="920"/>
      <c r="H152" s="1322"/>
      <c r="I152" s="921"/>
      <c r="J152" s="610">
        <f t="shared" si="83"/>
        <v>0</v>
      </c>
      <c r="K152" s="592">
        <f t="shared" si="84"/>
        <v>0</v>
      </c>
      <c r="L152" s="1209">
        <f t="shared" si="85"/>
        <v>0</v>
      </c>
      <c r="M152" s="158"/>
      <c r="N152" s="1323"/>
      <c r="O152" s="920"/>
      <c r="P152" s="1322"/>
      <c r="Q152" s="594">
        <f t="shared" si="86"/>
        <v>0</v>
      </c>
      <c r="R152" s="1323"/>
      <c r="S152" s="920"/>
      <c r="T152" s="921"/>
      <c r="U152" s="1205">
        <f t="shared" si="74"/>
        <v>0</v>
      </c>
      <c r="V152" s="921"/>
      <c r="W152" s="920"/>
      <c r="X152" s="922"/>
    </row>
    <row r="153" spans="1:24" ht="11.25" customHeight="1" x14ac:dyDescent="0.25">
      <c r="A153" s="63">
        <f>'Org structure'!E149</f>
        <v>0</v>
      </c>
      <c r="B153" s="55"/>
      <c r="C153" s="920"/>
      <c r="D153" s="920"/>
      <c r="E153" s="921"/>
      <c r="F153" s="1323"/>
      <c r="G153" s="920"/>
      <c r="H153" s="1322"/>
      <c r="I153" s="921"/>
      <c r="J153" s="610">
        <f t="shared" si="83"/>
        <v>0</v>
      </c>
      <c r="K153" s="592">
        <f t="shared" si="84"/>
        <v>0</v>
      </c>
      <c r="L153" s="1209">
        <f t="shared" si="85"/>
        <v>0</v>
      </c>
      <c r="M153" s="158"/>
      <c r="N153" s="1323"/>
      <c r="O153" s="920"/>
      <c r="P153" s="1322"/>
      <c r="Q153" s="594">
        <f t="shared" si="86"/>
        <v>0</v>
      </c>
      <c r="R153" s="1323"/>
      <c r="S153" s="920"/>
      <c r="T153" s="921"/>
      <c r="U153" s="1205">
        <f t="shared" si="74"/>
        <v>0</v>
      </c>
      <c r="V153" s="921"/>
      <c r="W153" s="920"/>
      <c r="X153" s="922"/>
    </row>
    <row r="154" spans="1:24" ht="11.25" customHeight="1" x14ac:dyDescent="0.25">
      <c r="A154" s="63">
        <f>'Org structure'!E150</f>
        <v>0</v>
      </c>
      <c r="B154" s="55"/>
      <c r="C154" s="920"/>
      <c r="D154" s="920"/>
      <c r="E154" s="921"/>
      <c r="F154" s="1323"/>
      <c r="G154" s="920"/>
      <c r="H154" s="1322"/>
      <c r="I154" s="921"/>
      <c r="J154" s="610">
        <f t="shared" si="83"/>
        <v>0</v>
      </c>
      <c r="K154" s="592">
        <f t="shared" si="84"/>
        <v>0</v>
      </c>
      <c r="L154" s="1209">
        <f t="shared" si="85"/>
        <v>0</v>
      </c>
      <c r="M154" s="158"/>
      <c r="N154" s="1323"/>
      <c r="O154" s="920"/>
      <c r="P154" s="1322"/>
      <c r="Q154" s="594">
        <f t="shared" si="86"/>
        <v>0</v>
      </c>
      <c r="R154" s="1323"/>
      <c r="S154" s="920"/>
      <c r="T154" s="921"/>
      <c r="U154" s="1205">
        <f t="shared" si="74"/>
        <v>0</v>
      </c>
      <c r="V154" s="921"/>
      <c r="W154" s="920"/>
      <c r="X154" s="922"/>
    </row>
    <row r="155" spans="1:24" ht="11.25" customHeight="1" x14ac:dyDescent="0.25">
      <c r="A155" s="63">
        <f>'Org structure'!E151</f>
        <v>0</v>
      </c>
      <c r="B155" s="55"/>
      <c r="C155" s="920"/>
      <c r="D155" s="920"/>
      <c r="E155" s="921"/>
      <c r="F155" s="1323"/>
      <c r="G155" s="920"/>
      <c r="H155" s="1322"/>
      <c r="I155" s="921"/>
      <c r="J155" s="610">
        <f t="shared" si="83"/>
        <v>0</v>
      </c>
      <c r="K155" s="592">
        <f t="shared" si="84"/>
        <v>0</v>
      </c>
      <c r="L155" s="1209">
        <f t="shared" si="85"/>
        <v>0</v>
      </c>
      <c r="M155" s="158"/>
      <c r="N155" s="1323"/>
      <c r="O155" s="920"/>
      <c r="P155" s="1322"/>
      <c r="Q155" s="594">
        <f t="shared" si="86"/>
        <v>0</v>
      </c>
      <c r="R155" s="1323"/>
      <c r="S155" s="920"/>
      <c r="T155" s="921"/>
      <c r="U155" s="1205">
        <f t="shared" si="74"/>
        <v>0</v>
      </c>
      <c r="V155" s="921"/>
      <c r="W155" s="920"/>
      <c r="X155" s="922"/>
    </row>
    <row r="156" spans="1:24" ht="11.25" customHeight="1" x14ac:dyDescent="0.25">
      <c r="A156" s="63">
        <f>'Org structure'!E152</f>
        <v>0</v>
      </c>
      <c r="B156" s="55"/>
      <c r="C156" s="920"/>
      <c r="D156" s="920"/>
      <c r="E156" s="921"/>
      <c r="F156" s="1323"/>
      <c r="G156" s="920"/>
      <c r="H156" s="1322"/>
      <c r="I156" s="921"/>
      <c r="J156" s="610">
        <f t="shared" si="83"/>
        <v>0</v>
      </c>
      <c r="K156" s="592">
        <f t="shared" si="84"/>
        <v>0</v>
      </c>
      <c r="L156" s="1209">
        <f t="shared" si="85"/>
        <v>0</v>
      </c>
      <c r="M156" s="158"/>
      <c r="N156" s="1323"/>
      <c r="O156" s="920"/>
      <c r="P156" s="1322"/>
      <c r="Q156" s="594">
        <f t="shared" si="86"/>
        <v>0</v>
      </c>
      <c r="R156" s="1323"/>
      <c r="S156" s="920"/>
      <c r="T156" s="921"/>
      <c r="U156" s="1205">
        <f t="shared" si="74"/>
        <v>0</v>
      </c>
      <c r="V156" s="921"/>
      <c r="W156" s="920"/>
      <c r="X156" s="922"/>
    </row>
    <row r="157" spans="1:24" ht="11.25" customHeight="1" x14ac:dyDescent="0.25">
      <c r="A157" s="63">
        <f>'Org structure'!E153</f>
        <v>0</v>
      </c>
      <c r="B157" s="55"/>
      <c r="C157" s="920"/>
      <c r="D157" s="920"/>
      <c r="E157" s="921"/>
      <c r="F157" s="1323"/>
      <c r="G157" s="920"/>
      <c r="H157" s="1322"/>
      <c r="I157" s="921"/>
      <c r="J157" s="610">
        <f t="shared" si="83"/>
        <v>0</v>
      </c>
      <c r="K157" s="592">
        <f t="shared" si="84"/>
        <v>0</v>
      </c>
      <c r="L157" s="1209">
        <f t="shared" si="85"/>
        <v>0</v>
      </c>
      <c r="M157" s="158"/>
      <c r="N157" s="1323"/>
      <c r="O157" s="920"/>
      <c r="P157" s="1322"/>
      <c r="Q157" s="594">
        <f t="shared" si="86"/>
        <v>0</v>
      </c>
      <c r="R157" s="1323"/>
      <c r="S157" s="920"/>
      <c r="T157" s="921"/>
      <c r="U157" s="1205">
        <f t="shared" si="74"/>
        <v>0</v>
      </c>
      <c r="V157" s="921"/>
      <c r="W157" s="920"/>
      <c r="X157" s="922"/>
    </row>
    <row r="158" spans="1:24" ht="11.25" customHeight="1" x14ac:dyDescent="0.25">
      <c r="A158" s="63">
        <f>'Org structure'!E154</f>
        <v>0</v>
      </c>
      <c r="B158" s="55"/>
      <c r="C158" s="920"/>
      <c r="D158" s="920"/>
      <c r="E158" s="921"/>
      <c r="F158" s="1323"/>
      <c r="G158" s="920"/>
      <c r="H158" s="1322"/>
      <c r="I158" s="921"/>
      <c r="J158" s="610">
        <f t="shared" si="83"/>
        <v>0</v>
      </c>
      <c r="K158" s="592">
        <f t="shared" si="84"/>
        <v>0</v>
      </c>
      <c r="L158" s="1209">
        <f t="shared" si="85"/>
        <v>0</v>
      </c>
      <c r="M158" s="158"/>
      <c r="N158" s="1323"/>
      <c r="O158" s="920"/>
      <c r="P158" s="1322"/>
      <c r="Q158" s="594">
        <f t="shared" si="86"/>
        <v>0</v>
      </c>
      <c r="R158" s="1323"/>
      <c r="S158" s="920"/>
      <c r="T158" s="921"/>
      <c r="U158" s="1205">
        <f t="shared" si="74"/>
        <v>0</v>
      </c>
      <c r="V158" s="921"/>
      <c r="W158" s="920"/>
      <c r="X158" s="922"/>
    </row>
    <row r="159" spans="1:24" ht="11.25" customHeight="1" x14ac:dyDescent="0.25">
      <c r="A159" s="63">
        <f>'Org structure'!E155</f>
        <v>0</v>
      </c>
      <c r="B159" s="55"/>
      <c r="C159" s="920"/>
      <c r="D159" s="920"/>
      <c r="E159" s="921"/>
      <c r="F159" s="1323"/>
      <c r="G159" s="920"/>
      <c r="H159" s="1322"/>
      <c r="I159" s="921"/>
      <c r="J159" s="610">
        <f t="shared" si="83"/>
        <v>0</v>
      </c>
      <c r="K159" s="592">
        <f t="shared" si="84"/>
        <v>0</v>
      </c>
      <c r="L159" s="1209">
        <f t="shared" si="85"/>
        <v>0</v>
      </c>
      <c r="M159" s="158"/>
      <c r="N159" s="1323"/>
      <c r="O159" s="920"/>
      <c r="P159" s="1322"/>
      <c r="Q159" s="594">
        <f t="shared" si="86"/>
        <v>0</v>
      </c>
      <c r="R159" s="1323"/>
      <c r="S159" s="920"/>
      <c r="T159" s="921"/>
      <c r="U159" s="1205">
        <f t="shared" si="74"/>
        <v>0</v>
      </c>
      <c r="V159" s="921"/>
      <c r="W159" s="920"/>
      <c r="X159" s="922"/>
    </row>
    <row r="160" spans="1:24" ht="11.25" customHeight="1" x14ac:dyDescent="0.25">
      <c r="A160" s="63">
        <f>'Org structure'!E156</f>
        <v>0</v>
      </c>
      <c r="B160" s="55"/>
      <c r="C160" s="920"/>
      <c r="D160" s="920"/>
      <c r="E160" s="921"/>
      <c r="F160" s="1323"/>
      <c r="G160" s="920"/>
      <c r="H160" s="1322"/>
      <c r="I160" s="921"/>
      <c r="J160" s="610">
        <f t="shared" si="83"/>
        <v>0</v>
      </c>
      <c r="K160" s="592">
        <f t="shared" si="84"/>
        <v>0</v>
      </c>
      <c r="L160" s="1209">
        <f t="shared" si="85"/>
        <v>0</v>
      </c>
      <c r="M160" s="158"/>
      <c r="N160" s="1323"/>
      <c r="O160" s="920"/>
      <c r="P160" s="1322"/>
      <c r="Q160" s="594">
        <f t="shared" si="86"/>
        <v>0</v>
      </c>
      <c r="R160" s="1323"/>
      <c r="S160" s="920"/>
      <c r="T160" s="921"/>
      <c r="U160" s="1205">
        <f t="shared" si="74"/>
        <v>0</v>
      </c>
      <c r="V160" s="921"/>
      <c r="W160" s="920"/>
      <c r="X160" s="922"/>
    </row>
    <row r="161" spans="1:24" ht="15" customHeight="1" x14ac:dyDescent="0.25">
      <c r="A161" s="189" t="str">
        <f>'Org structure'!A16</f>
        <v>Vote 15 - [NAME OF VOTE 15]</v>
      </c>
      <c r="B161" s="55"/>
      <c r="C161" s="592">
        <f t="shared" ref="C161:L161" si="87">SUM(C162:C171)</f>
        <v>0</v>
      </c>
      <c r="D161" s="592">
        <f t="shared" si="87"/>
        <v>0</v>
      </c>
      <c r="E161" s="595">
        <f t="shared" si="87"/>
        <v>0</v>
      </c>
      <c r="F161" s="594">
        <f t="shared" si="87"/>
        <v>0</v>
      </c>
      <c r="G161" s="592">
        <f t="shared" si="87"/>
        <v>0</v>
      </c>
      <c r="H161" s="595">
        <f t="shared" si="87"/>
        <v>0</v>
      </c>
      <c r="I161" s="593">
        <f t="shared" si="87"/>
        <v>0</v>
      </c>
      <c r="J161" s="610">
        <f t="shared" si="87"/>
        <v>0</v>
      </c>
      <c r="K161" s="592">
        <f t="shared" si="87"/>
        <v>0</v>
      </c>
      <c r="L161" s="1209">
        <f t="shared" si="87"/>
        <v>0</v>
      </c>
      <c r="M161" s="158"/>
      <c r="N161" s="594">
        <f t="shared" ref="N161:X161" si="88">SUM(N162:N171)</f>
        <v>0</v>
      </c>
      <c r="O161" s="592">
        <f t="shared" si="88"/>
        <v>0</v>
      </c>
      <c r="P161" s="595">
        <f t="shared" si="88"/>
        <v>0</v>
      </c>
      <c r="Q161" s="594">
        <f t="shared" si="88"/>
        <v>0</v>
      </c>
      <c r="R161" s="594">
        <f t="shared" si="88"/>
        <v>0</v>
      </c>
      <c r="S161" s="592">
        <f t="shared" si="88"/>
        <v>0</v>
      </c>
      <c r="T161" s="1207">
        <f t="shared" si="88"/>
        <v>0</v>
      </c>
      <c r="U161" s="1205">
        <f t="shared" si="88"/>
        <v>0</v>
      </c>
      <c r="V161" s="1208">
        <f t="shared" si="88"/>
        <v>0</v>
      </c>
      <c r="W161" s="592">
        <f t="shared" si="88"/>
        <v>0</v>
      </c>
      <c r="X161" s="1209">
        <f t="shared" si="88"/>
        <v>0</v>
      </c>
    </row>
    <row r="162" spans="1:24" ht="11.25" customHeight="1" x14ac:dyDescent="0.25">
      <c r="A162" s="63" t="str">
        <f>'Org structure'!E158</f>
        <v>15.1 - [Name of sub-vote]</v>
      </c>
      <c r="B162" s="55"/>
      <c r="C162" s="920"/>
      <c r="D162" s="920"/>
      <c r="E162" s="921"/>
      <c r="F162" s="1323"/>
      <c r="G162" s="920"/>
      <c r="H162" s="1322"/>
      <c r="I162" s="921"/>
      <c r="J162" s="610">
        <f t="shared" ref="J162:J171" si="89">Q162+V162</f>
        <v>0</v>
      </c>
      <c r="K162" s="592">
        <f t="shared" ref="K162:K171" si="90">U162+W162</f>
        <v>0</v>
      </c>
      <c r="L162" s="1209">
        <f t="shared" ref="L162:L171" si="91">X162</f>
        <v>0</v>
      </c>
      <c r="M162" s="158"/>
      <c r="N162" s="1323"/>
      <c r="O162" s="920"/>
      <c r="P162" s="1322"/>
      <c r="Q162" s="594">
        <f t="shared" ref="Q162:Q171" si="92">SUM(N162:P162)</f>
        <v>0</v>
      </c>
      <c r="R162" s="1323"/>
      <c r="S162" s="920"/>
      <c r="T162" s="921"/>
      <c r="U162" s="1205">
        <f t="shared" si="74"/>
        <v>0</v>
      </c>
      <c r="V162" s="921"/>
      <c r="W162" s="920"/>
      <c r="X162" s="922"/>
    </row>
    <row r="163" spans="1:24" ht="11.25" customHeight="1" x14ac:dyDescent="0.25">
      <c r="A163" s="63">
        <f>'Org structure'!E159</f>
        <v>0</v>
      </c>
      <c r="B163" s="55"/>
      <c r="C163" s="920"/>
      <c r="D163" s="920"/>
      <c r="E163" s="921"/>
      <c r="F163" s="1323"/>
      <c r="G163" s="920"/>
      <c r="H163" s="1322"/>
      <c r="I163" s="921"/>
      <c r="J163" s="610">
        <f t="shared" si="89"/>
        <v>0</v>
      </c>
      <c r="K163" s="592">
        <f t="shared" si="90"/>
        <v>0</v>
      </c>
      <c r="L163" s="1209">
        <f t="shared" si="91"/>
        <v>0</v>
      </c>
      <c r="M163" s="158"/>
      <c r="N163" s="1323"/>
      <c r="O163" s="920"/>
      <c r="P163" s="1322"/>
      <c r="Q163" s="594">
        <f t="shared" si="92"/>
        <v>0</v>
      </c>
      <c r="R163" s="1323"/>
      <c r="S163" s="920"/>
      <c r="T163" s="921"/>
      <c r="U163" s="1205">
        <f t="shared" si="74"/>
        <v>0</v>
      </c>
      <c r="V163" s="921"/>
      <c r="W163" s="920"/>
      <c r="X163" s="922"/>
    </row>
    <row r="164" spans="1:24" ht="11.25" customHeight="1" x14ac:dyDescent="0.25">
      <c r="A164" s="63">
        <f>'Org structure'!E160</f>
        <v>0</v>
      </c>
      <c r="B164" s="55"/>
      <c r="C164" s="920"/>
      <c r="D164" s="920"/>
      <c r="E164" s="921"/>
      <c r="F164" s="1323"/>
      <c r="G164" s="920"/>
      <c r="H164" s="1322"/>
      <c r="I164" s="921"/>
      <c r="J164" s="610">
        <f t="shared" si="89"/>
        <v>0</v>
      </c>
      <c r="K164" s="592">
        <f t="shared" si="90"/>
        <v>0</v>
      </c>
      <c r="L164" s="1209">
        <f t="shared" si="91"/>
        <v>0</v>
      </c>
      <c r="M164" s="158"/>
      <c r="N164" s="1323"/>
      <c r="O164" s="920"/>
      <c r="P164" s="1322"/>
      <c r="Q164" s="594">
        <f t="shared" si="92"/>
        <v>0</v>
      </c>
      <c r="R164" s="1323"/>
      <c r="S164" s="920"/>
      <c r="T164" s="921"/>
      <c r="U164" s="1205">
        <f t="shared" si="74"/>
        <v>0</v>
      </c>
      <c r="V164" s="921"/>
      <c r="W164" s="920"/>
      <c r="X164" s="922"/>
    </row>
    <row r="165" spans="1:24" ht="11.25" customHeight="1" x14ac:dyDescent="0.25">
      <c r="A165" s="63">
        <f>'Org structure'!E161</f>
        <v>0</v>
      </c>
      <c r="B165" s="55"/>
      <c r="C165" s="920"/>
      <c r="D165" s="920"/>
      <c r="E165" s="921"/>
      <c r="F165" s="1323"/>
      <c r="G165" s="920"/>
      <c r="H165" s="1322"/>
      <c r="I165" s="921"/>
      <c r="J165" s="610">
        <f t="shared" si="89"/>
        <v>0</v>
      </c>
      <c r="K165" s="592">
        <f t="shared" si="90"/>
        <v>0</v>
      </c>
      <c r="L165" s="1209">
        <f t="shared" si="91"/>
        <v>0</v>
      </c>
      <c r="M165" s="158"/>
      <c r="N165" s="1323"/>
      <c r="O165" s="920"/>
      <c r="P165" s="1322"/>
      <c r="Q165" s="594">
        <f t="shared" si="92"/>
        <v>0</v>
      </c>
      <c r="R165" s="1323"/>
      <c r="S165" s="920"/>
      <c r="T165" s="921"/>
      <c r="U165" s="1205">
        <f t="shared" si="74"/>
        <v>0</v>
      </c>
      <c r="V165" s="921"/>
      <c r="W165" s="920"/>
      <c r="X165" s="922"/>
    </row>
    <row r="166" spans="1:24" ht="11.25" customHeight="1" x14ac:dyDescent="0.25">
      <c r="A166" s="63">
        <f>'Org structure'!E162</f>
        <v>0</v>
      </c>
      <c r="B166" s="55"/>
      <c r="C166" s="920"/>
      <c r="D166" s="920"/>
      <c r="E166" s="921"/>
      <c r="F166" s="1323"/>
      <c r="G166" s="920"/>
      <c r="H166" s="1322"/>
      <c r="I166" s="921"/>
      <c r="J166" s="610">
        <f t="shared" si="89"/>
        <v>0</v>
      </c>
      <c r="K166" s="592">
        <f t="shared" si="90"/>
        <v>0</v>
      </c>
      <c r="L166" s="1209">
        <f t="shared" si="91"/>
        <v>0</v>
      </c>
      <c r="M166" s="158"/>
      <c r="N166" s="1323"/>
      <c r="O166" s="920"/>
      <c r="P166" s="1322"/>
      <c r="Q166" s="594">
        <f t="shared" si="92"/>
        <v>0</v>
      </c>
      <c r="R166" s="1323"/>
      <c r="S166" s="920"/>
      <c r="T166" s="921"/>
      <c r="U166" s="1205">
        <f t="shared" si="74"/>
        <v>0</v>
      </c>
      <c r="V166" s="921"/>
      <c r="W166" s="920"/>
      <c r="X166" s="922"/>
    </row>
    <row r="167" spans="1:24" ht="11.25" customHeight="1" x14ac:dyDescent="0.25">
      <c r="A167" s="63">
        <f>'Org structure'!E163</f>
        <v>0</v>
      </c>
      <c r="B167" s="55"/>
      <c r="C167" s="920"/>
      <c r="D167" s="920"/>
      <c r="E167" s="921"/>
      <c r="F167" s="1323"/>
      <c r="G167" s="920"/>
      <c r="H167" s="1322"/>
      <c r="I167" s="921"/>
      <c r="J167" s="610">
        <f t="shared" si="89"/>
        <v>0</v>
      </c>
      <c r="K167" s="592">
        <f t="shared" si="90"/>
        <v>0</v>
      </c>
      <c r="L167" s="1209">
        <f t="shared" si="91"/>
        <v>0</v>
      </c>
      <c r="M167" s="158"/>
      <c r="N167" s="1323"/>
      <c r="O167" s="920"/>
      <c r="P167" s="1322"/>
      <c r="Q167" s="594">
        <f t="shared" si="92"/>
        <v>0</v>
      </c>
      <c r="R167" s="1323"/>
      <c r="S167" s="920"/>
      <c r="T167" s="921"/>
      <c r="U167" s="1205">
        <f t="shared" si="74"/>
        <v>0</v>
      </c>
      <c r="V167" s="921"/>
      <c r="W167" s="920"/>
      <c r="X167" s="922"/>
    </row>
    <row r="168" spans="1:24" ht="11.25" customHeight="1" x14ac:dyDescent="0.25">
      <c r="A168" s="63">
        <f>'Org structure'!E164</f>
        <v>0</v>
      </c>
      <c r="B168" s="55"/>
      <c r="C168" s="920"/>
      <c r="D168" s="920"/>
      <c r="E168" s="921"/>
      <c r="F168" s="1323"/>
      <c r="G168" s="920"/>
      <c r="H168" s="1322"/>
      <c r="I168" s="921"/>
      <c r="J168" s="610">
        <f t="shared" si="89"/>
        <v>0</v>
      </c>
      <c r="K168" s="592">
        <f t="shared" si="90"/>
        <v>0</v>
      </c>
      <c r="L168" s="1209">
        <f t="shared" si="91"/>
        <v>0</v>
      </c>
      <c r="M168" s="158"/>
      <c r="N168" s="1323"/>
      <c r="O168" s="920"/>
      <c r="P168" s="1322"/>
      <c r="Q168" s="594">
        <f t="shared" si="92"/>
        <v>0</v>
      </c>
      <c r="R168" s="1323"/>
      <c r="S168" s="920"/>
      <c r="T168" s="921"/>
      <c r="U168" s="1205">
        <f t="shared" si="74"/>
        <v>0</v>
      </c>
      <c r="V168" s="921"/>
      <c r="W168" s="920"/>
      <c r="X168" s="922"/>
    </row>
    <row r="169" spans="1:24" ht="11.25" customHeight="1" x14ac:dyDescent="0.25">
      <c r="A169" s="63">
        <f>'Org structure'!E165</f>
        <v>0</v>
      </c>
      <c r="B169" s="55"/>
      <c r="C169" s="920"/>
      <c r="D169" s="920"/>
      <c r="E169" s="921"/>
      <c r="F169" s="1323"/>
      <c r="G169" s="920"/>
      <c r="H169" s="1322"/>
      <c r="I169" s="921"/>
      <c r="J169" s="610">
        <f t="shared" si="89"/>
        <v>0</v>
      </c>
      <c r="K169" s="592">
        <f t="shared" si="90"/>
        <v>0</v>
      </c>
      <c r="L169" s="1209">
        <f t="shared" si="91"/>
        <v>0</v>
      </c>
      <c r="M169" s="158"/>
      <c r="N169" s="1323"/>
      <c r="O169" s="920"/>
      <c r="P169" s="1322"/>
      <c r="Q169" s="594">
        <f t="shared" si="92"/>
        <v>0</v>
      </c>
      <c r="R169" s="1323"/>
      <c r="S169" s="920"/>
      <c r="T169" s="921"/>
      <c r="U169" s="1205">
        <f t="shared" si="74"/>
        <v>0</v>
      </c>
      <c r="V169" s="921"/>
      <c r="W169" s="920"/>
      <c r="X169" s="922"/>
    </row>
    <row r="170" spans="1:24" ht="11.25" customHeight="1" x14ac:dyDescent="0.25">
      <c r="A170" s="63">
        <f>'Org structure'!E166</f>
        <v>0</v>
      </c>
      <c r="B170" s="55"/>
      <c r="C170" s="920"/>
      <c r="D170" s="920"/>
      <c r="E170" s="921"/>
      <c r="F170" s="1323"/>
      <c r="G170" s="920"/>
      <c r="H170" s="1322"/>
      <c r="I170" s="921"/>
      <c r="J170" s="610">
        <f t="shared" si="89"/>
        <v>0</v>
      </c>
      <c r="K170" s="592">
        <f t="shared" si="90"/>
        <v>0</v>
      </c>
      <c r="L170" s="1209">
        <f t="shared" si="91"/>
        <v>0</v>
      </c>
      <c r="M170" s="158"/>
      <c r="N170" s="1323"/>
      <c r="O170" s="920"/>
      <c r="P170" s="1322"/>
      <c r="Q170" s="594">
        <f t="shared" si="92"/>
        <v>0</v>
      </c>
      <c r="R170" s="1323"/>
      <c r="S170" s="920"/>
      <c r="T170" s="921"/>
      <c r="U170" s="1205">
        <f t="shared" si="74"/>
        <v>0</v>
      </c>
      <c r="V170" s="921"/>
      <c r="W170" s="920"/>
      <c r="X170" s="922"/>
    </row>
    <row r="171" spans="1:24" ht="11.25" customHeight="1" x14ac:dyDescent="0.25">
      <c r="A171" s="63">
        <f>'Org structure'!E167</f>
        <v>0</v>
      </c>
      <c r="B171" s="55"/>
      <c r="C171" s="920"/>
      <c r="D171" s="920"/>
      <c r="E171" s="921"/>
      <c r="F171" s="1323"/>
      <c r="G171" s="920"/>
      <c r="H171" s="1322"/>
      <c r="I171" s="921"/>
      <c r="J171" s="610">
        <f t="shared" si="89"/>
        <v>0</v>
      </c>
      <c r="K171" s="592">
        <f t="shared" si="90"/>
        <v>0</v>
      </c>
      <c r="L171" s="1209">
        <f t="shared" si="91"/>
        <v>0</v>
      </c>
      <c r="M171" s="158"/>
      <c r="N171" s="1323"/>
      <c r="O171" s="920"/>
      <c r="P171" s="1322"/>
      <c r="Q171" s="594">
        <f t="shared" si="92"/>
        <v>0</v>
      </c>
      <c r="R171" s="1323"/>
      <c r="S171" s="920"/>
      <c r="T171" s="921"/>
      <c r="U171" s="1205">
        <f t="shared" si="74"/>
        <v>0</v>
      </c>
      <c r="V171" s="921"/>
      <c r="W171" s="920"/>
      <c r="X171" s="922"/>
    </row>
    <row r="172" spans="1:24" x14ac:dyDescent="0.25">
      <c r="A172" s="70" t="s">
        <v>169</v>
      </c>
      <c r="B172" s="55"/>
      <c r="C172" s="71">
        <f>C6+C17+C28+C39+C50+C61+C73+C84+C95+C106+C117+C128+C139+C150+C161</f>
        <v>0</v>
      </c>
      <c r="D172" s="71">
        <f t="shared" ref="D172:L172" si="93">D6+D17+D28+D39+D50+D61+D73+D84+D95+D106+D117+D128+D139+D150+D161</f>
        <v>0</v>
      </c>
      <c r="E172" s="890">
        <f t="shared" si="93"/>
        <v>0</v>
      </c>
      <c r="F172" s="889">
        <f t="shared" si="93"/>
        <v>0</v>
      </c>
      <c r="G172" s="71">
        <f t="shared" si="93"/>
        <v>0</v>
      </c>
      <c r="H172" s="890">
        <f t="shared" si="93"/>
        <v>0</v>
      </c>
      <c r="I172" s="720">
        <f t="shared" si="93"/>
        <v>0</v>
      </c>
      <c r="J172" s="722">
        <f t="shared" si="93"/>
        <v>0</v>
      </c>
      <c r="K172" s="71">
        <f t="shared" si="93"/>
        <v>0</v>
      </c>
      <c r="L172" s="890">
        <f t="shared" si="93"/>
        <v>0</v>
      </c>
      <c r="N172" s="722">
        <f t="shared" ref="N172:U172" si="94">N6+N17+N28+N39+N50+N61+N73+N84+N95+N106+N117+N128+N139+N150+N161</f>
        <v>0</v>
      </c>
      <c r="O172" s="71">
        <f t="shared" si="94"/>
        <v>0</v>
      </c>
      <c r="P172" s="890">
        <f t="shared" si="94"/>
        <v>0</v>
      </c>
      <c r="Q172" s="721">
        <f t="shared" si="94"/>
        <v>0</v>
      </c>
      <c r="R172" s="722">
        <f t="shared" si="94"/>
        <v>0</v>
      </c>
      <c r="S172" s="71">
        <f t="shared" si="94"/>
        <v>0</v>
      </c>
      <c r="T172" s="1206"/>
      <c r="U172" s="891">
        <f t="shared" si="94"/>
        <v>0</v>
      </c>
      <c r="V172" s="889">
        <f>V6+V17+V28+V39+V50+V61+V73+V84+V95+V106+V117+V128+V139+V150+V161</f>
        <v>0</v>
      </c>
      <c r="W172" s="71">
        <f>W6+W17+W28+W39+W50+W61+W73+W84+W95+W106+W117+W128+W139+W150+W161</f>
        <v>0</v>
      </c>
      <c r="X172" s="890"/>
    </row>
    <row r="173" spans="1:24" ht="4.9000000000000004" customHeight="1" x14ac:dyDescent="0.25">
      <c r="A173" s="170"/>
      <c r="B173" s="179"/>
      <c r="C173" s="229"/>
      <c r="D173" s="638"/>
      <c r="E173" s="232"/>
      <c r="F173" s="231"/>
      <c r="G173" s="229"/>
      <c r="H173" s="230"/>
      <c r="I173" s="232"/>
      <c r="J173" s="231"/>
      <c r="K173" s="229"/>
      <c r="L173" s="230"/>
      <c r="N173" s="231"/>
      <c r="O173" s="229"/>
      <c r="P173" s="230"/>
      <c r="Q173" s="232"/>
      <c r="R173" s="231"/>
      <c r="S173" s="229"/>
      <c r="T173" s="232"/>
      <c r="U173" s="908"/>
      <c r="V173" s="232"/>
      <c r="W173" s="229"/>
      <c r="X173" s="230"/>
    </row>
    <row r="174" spans="1:24" ht="11.25" customHeight="1" x14ac:dyDescent="0.25">
      <c r="A174" s="54" t="s">
        <v>1590</v>
      </c>
      <c r="B174" s="136"/>
      <c r="C174" s="149"/>
      <c r="D174" s="149"/>
      <c r="E174" s="150"/>
      <c r="F174" s="151"/>
      <c r="G174" s="149"/>
      <c r="H174" s="152"/>
      <c r="I174" s="150"/>
      <c r="J174" s="151"/>
      <c r="K174" s="149"/>
      <c r="L174" s="152"/>
    </row>
    <row r="175" spans="1:24" ht="11.25" customHeight="1" x14ac:dyDescent="0.25">
      <c r="A175" s="54" t="s">
        <v>909</v>
      </c>
      <c r="B175" s="55">
        <v>2</v>
      </c>
      <c r="C175" s="153"/>
      <c r="D175" s="153"/>
      <c r="E175" s="154"/>
      <c r="F175" s="155"/>
      <c r="G175" s="153"/>
      <c r="H175" s="156"/>
      <c r="I175" s="154"/>
      <c r="J175" s="155"/>
      <c r="K175" s="153"/>
      <c r="L175" s="156"/>
      <c r="M175" s="877"/>
    </row>
    <row r="176" spans="1:24" ht="15" customHeight="1" x14ac:dyDescent="0.25">
      <c r="A176" s="189" t="str">
        <f t="shared" ref="A176:A207" si="95">A6</f>
        <v>Vote 1 - COUNCIL</v>
      </c>
      <c r="B176" s="369"/>
      <c r="C176" s="592">
        <f t="shared" ref="C176:L176" si="96">SUM(C177:C186)</f>
        <v>0</v>
      </c>
      <c r="D176" s="592">
        <f t="shared" si="96"/>
        <v>0</v>
      </c>
      <c r="E176" s="595">
        <f t="shared" si="96"/>
        <v>0</v>
      </c>
      <c r="F176" s="594">
        <f t="shared" si="96"/>
        <v>0</v>
      </c>
      <c r="G176" s="592">
        <f t="shared" si="96"/>
        <v>0</v>
      </c>
      <c r="H176" s="595">
        <f t="shared" si="96"/>
        <v>0</v>
      </c>
      <c r="I176" s="593">
        <f t="shared" si="96"/>
        <v>0</v>
      </c>
      <c r="J176" s="594">
        <f t="shared" si="96"/>
        <v>0</v>
      </c>
      <c r="K176" s="592">
        <f t="shared" si="96"/>
        <v>0</v>
      </c>
      <c r="L176" s="595">
        <f t="shared" si="96"/>
        <v>0</v>
      </c>
      <c r="M176" s="877"/>
    </row>
    <row r="177" spans="1:13" ht="11.25" customHeight="1" x14ac:dyDescent="0.25">
      <c r="A177" s="189" t="str">
        <f t="shared" si="95"/>
        <v>1.1 - Council General Expenses</v>
      </c>
      <c r="B177" s="55"/>
      <c r="C177" s="920"/>
      <c r="D177" s="920"/>
      <c r="E177" s="1325"/>
      <c r="F177" s="1323"/>
      <c r="G177" s="920"/>
      <c r="H177" s="1322"/>
      <c r="I177" s="921"/>
      <c r="J177" s="1323"/>
      <c r="K177" s="920"/>
      <c r="L177" s="1322"/>
      <c r="M177" s="877"/>
    </row>
    <row r="178" spans="1:13" ht="11.25" customHeight="1" x14ac:dyDescent="0.25">
      <c r="A178" s="189">
        <f t="shared" si="95"/>
        <v>0</v>
      </c>
      <c r="B178" s="55"/>
      <c r="C178" s="920"/>
      <c r="D178" s="920"/>
      <c r="E178" s="1322"/>
      <c r="F178" s="1323"/>
      <c r="G178" s="920"/>
      <c r="H178" s="1322"/>
      <c r="I178" s="921"/>
      <c r="J178" s="1323"/>
      <c r="K178" s="920"/>
      <c r="L178" s="1322"/>
      <c r="M178" s="877"/>
    </row>
    <row r="179" spans="1:13" ht="11.25" customHeight="1" x14ac:dyDescent="0.25">
      <c r="A179" s="189">
        <f t="shared" si="95"/>
        <v>0</v>
      </c>
      <c r="B179" s="55"/>
      <c r="C179" s="920"/>
      <c r="D179" s="920"/>
      <c r="E179" s="1322"/>
      <c r="F179" s="1323"/>
      <c r="G179" s="920"/>
      <c r="H179" s="1322"/>
      <c r="I179" s="921"/>
      <c r="J179" s="1323"/>
      <c r="K179" s="920"/>
      <c r="L179" s="1322"/>
      <c r="M179" s="877"/>
    </row>
    <row r="180" spans="1:13" ht="11.25" customHeight="1" x14ac:dyDescent="0.25">
      <c r="A180" s="189">
        <f t="shared" si="95"/>
        <v>0</v>
      </c>
      <c r="B180" s="55"/>
      <c r="C180" s="920"/>
      <c r="D180" s="920"/>
      <c r="E180" s="1322"/>
      <c r="F180" s="1323"/>
      <c r="G180" s="920"/>
      <c r="H180" s="1322"/>
      <c r="I180" s="921"/>
      <c r="J180" s="1323"/>
      <c r="K180" s="920"/>
      <c r="L180" s="1322"/>
      <c r="M180" s="877"/>
    </row>
    <row r="181" spans="1:13" ht="11.25" customHeight="1" x14ac:dyDescent="0.25">
      <c r="A181" s="189">
        <f t="shared" si="95"/>
        <v>0</v>
      </c>
      <c r="B181" s="55"/>
      <c r="C181" s="920"/>
      <c r="D181" s="920"/>
      <c r="E181" s="1322"/>
      <c r="F181" s="1323"/>
      <c r="G181" s="920"/>
      <c r="H181" s="1322"/>
      <c r="I181" s="921"/>
      <c r="J181" s="1323"/>
      <c r="K181" s="920"/>
      <c r="L181" s="1322"/>
      <c r="M181" s="877"/>
    </row>
    <row r="182" spans="1:13" ht="11.25" customHeight="1" x14ac:dyDescent="0.25">
      <c r="A182" s="189">
        <f t="shared" si="95"/>
        <v>0</v>
      </c>
      <c r="B182" s="55"/>
      <c r="C182" s="920"/>
      <c r="D182" s="920"/>
      <c r="E182" s="1322"/>
      <c r="F182" s="1323"/>
      <c r="G182" s="920"/>
      <c r="H182" s="1322"/>
      <c r="I182" s="921"/>
      <c r="J182" s="1323"/>
      <c r="K182" s="920"/>
      <c r="L182" s="1322"/>
      <c r="M182" s="877"/>
    </row>
    <row r="183" spans="1:13" ht="11.25" customHeight="1" x14ac:dyDescent="0.25">
      <c r="A183" s="189">
        <f t="shared" si="95"/>
        <v>0</v>
      </c>
      <c r="B183" s="55"/>
      <c r="C183" s="920"/>
      <c r="D183" s="920"/>
      <c r="E183" s="1322"/>
      <c r="F183" s="1323"/>
      <c r="G183" s="920"/>
      <c r="H183" s="1322"/>
      <c r="I183" s="921"/>
      <c r="J183" s="1323"/>
      <c r="K183" s="920"/>
      <c r="L183" s="1322"/>
      <c r="M183" s="877"/>
    </row>
    <row r="184" spans="1:13" ht="11.25" customHeight="1" x14ac:dyDescent="0.25">
      <c r="A184" s="189">
        <f t="shared" si="95"/>
        <v>0</v>
      </c>
      <c r="B184" s="55"/>
      <c r="C184" s="920"/>
      <c r="D184" s="920"/>
      <c r="E184" s="1322"/>
      <c r="F184" s="1323"/>
      <c r="G184" s="920"/>
      <c r="H184" s="1322"/>
      <c r="I184" s="921"/>
      <c r="J184" s="1323"/>
      <c r="K184" s="920"/>
      <c r="L184" s="1322"/>
      <c r="M184" s="877"/>
    </row>
    <row r="185" spans="1:13" ht="11.25" customHeight="1" x14ac:dyDescent="0.25">
      <c r="A185" s="189">
        <f t="shared" si="95"/>
        <v>0</v>
      </c>
      <c r="B185" s="55"/>
      <c r="C185" s="920"/>
      <c r="D185" s="920"/>
      <c r="E185" s="1322"/>
      <c r="F185" s="1323"/>
      <c r="G185" s="920"/>
      <c r="H185" s="1322"/>
      <c r="I185" s="921"/>
      <c r="J185" s="1323"/>
      <c r="K185" s="920"/>
      <c r="L185" s="1322"/>
      <c r="M185" s="877"/>
    </row>
    <row r="186" spans="1:13" ht="11.25" customHeight="1" x14ac:dyDescent="0.25">
      <c r="A186" s="189">
        <f t="shared" si="95"/>
        <v>0</v>
      </c>
      <c r="B186" s="55"/>
      <c r="C186" s="920"/>
      <c r="D186" s="920"/>
      <c r="E186" s="1322"/>
      <c r="F186" s="1323"/>
      <c r="G186" s="920"/>
      <c r="H186" s="1322"/>
      <c r="I186" s="921"/>
      <c r="J186" s="1323"/>
      <c r="K186" s="920"/>
      <c r="L186" s="1322"/>
      <c r="M186" s="877"/>
    </row>
    <row r="187" spans="1:13" ht="15" customHeight="1" x14ac:dyDescent="0.25">
      <c r="A187" s="189" t="str">
        <f t="shared" si="95"/>
        <v>Vote 2 - OFFICE OF THE MUNICIPAL MANAGER</v>
      </c>
      <c r="B187" s="369"/>
      <c r="C187" s="592">
        <f t="shared" ref="C187:L187" si="97">SUM(C188:C197)</f>
        <v>0</v>
      </c>
      <c r="D187" s="592">
        <f t="shared" si="97"/>
        <v>95754.71</v>
      </c>
      <c r="E187" s="595">
        <f t="shared" si="97"/>
        <v>360510</v>
      </c>
      <c r="F187" s="594">
        <f t="shared" si="97"/>
        <v>49600</v>
      </c>
      <c r="G187" s="592">
        <f t="shared" si="97"/>
        <v>32600</v>
      </c>
      <c r="H187" s="595">
        <f t="shared" si="97"/>
        <v>32600</v>
      </c>
      <c r="I187" s="593">
        <f t="shared" si="97"/>
        <v>32600</v>
      </c>
      <c r="J187" s="594">
        <f t="shared" si="97"/>
        <v>0</v>
      </c>
      <c r="K187" s="592">
        <f t="shared" si="97"/>
        <v>0</v>
      </c>
      <c r="L187" s="595">
        <f t="shared" si="97"/>
        <v>0</v>
      </c>
      <c r="M187" s="877"/>
    </row>
    <row r="188" spans="1:13" ht="11.25" customHeight="1" x14ac:dyDescent="0.25">
      <c r="A188" s="189" t="str">
        <f t="shared" si="95"/>
        <v>2.1 - Internal Audit</v>
      </c>
      <c r="B188" s="55"/>
      <c r="C188" s="920"/>
      <c r="D188" s="920"/>
      <c r="E188" s="1322"/>
      <c r="F188" s="1323">
        <v>41000</v>
      </c>
      <c r="G188" s="920">
        <v>10000</v>
      </c>
      <c r="H188" s="1322">
        <v>10000</v>
      </c>
      <c r="I188" s="921">
        <v>10000</v>
      </c>
      <c r="J188" s="1323"/>
      <c r="K188" s="920"/>
      <c r="L188" s="1322"/>
      <c r="M188" s="877"/>
    </row>
    <row r="189" spans="1:13" ht="11.25" customHeight="1" x14ac:dyDescent="0.25">
      <c r="A189" s="189" t="str">
        <f t="shared" si="95"/>
        <v>2.2 - Risk Management</v>
      </c>
      <c r="B189" s="55"/>
      <c r="C189" s="920"/>
      <c r="D189" s="920"/>
      <c r="E189" s="1322"/>
      <c r="F189" s="1323"/>
      <c r="G189" s="920">
        <v>0</v>
      </c>
      <c r="H189" s="1322">
        <v>0</v>
      </c>
      <c r="I189" s="921">
        <v>0</v>
      </c>
      <c r="J189" s="1323"/>
      <c r="K189" s="920"/>
      <c r="L189" s="1322"/>
      <c r="M189" s="877"/>
    </row>
    <row r="190" spans="1:13" ht="11.25" customHeight="1" x14ac:dyDescent="0.25">
      <c r="A190" s="189" t="str">
        <f t="shared" si="95"/>
        <v>2.3 - Institutional Performance Management</v>
      </c>
      <c r="B190" s="55"/>
      <c r="C190" s="920"/>
      <c r="D190" s="920"/>
      <c r="E190" s="1322"/>
      <c r="F190" s="1323"/>
      <c r="G190" s="920">
        <v>0</v>
      </c>
      <c r="H190" s="1322">
        <v>0</v>
      </c>
      <c r="I190" s="921">
        <v>0</v>
      </c>
      <c r="J190" s="1323"/>
      <c r="K190" s="920"/>
      <c r="L190" s="1322"/>
      <c r="M190" s="877"/>
    </row>
    <row r="191" spans="1:13" ht="11.25" customHeight="1" x14ac:dyDescent="0.25">
      <c r="A191" s="189" t="str">
        <f t="shared" si="95"/>
        <v>2.4 - IDP</v>
      </c>
      <c r="B191" s="55"/>
      <c r="C191" s="920"/>
      <c r="D191" s="920"/>
      <c r="E191" s="1322"/>
      <c r="F191" s="1323"/>
      <c r="G191" s="920">
        <v>0</v>
      </c>
      <c r="H191" s="1322">
        <v>0</v>
      </c>
      <c r="I191" s="921">
        <v>0</v>
      </c>
      <c r="J191" s="1323"/>
      <c r="K191" s="920"/>
      <c r="L191" s="1322"/>
      <c r="M191" s="877"/>
    </row>
    <row r="192" spans="1:13" ht="11.25" customHeight="1" x14ac:dyDescent="0.25">
      <c r="A192" s="189" t="str">
        <f t="shared" si="95"/>
        <v>2.5 - Economic Dev &amp; Tourism</v>
      </c>
      <c r="B192" s="55"/>
      <c r="C192" s="920"/>
      <c r="D192" s="920"/>
      <c r="E192" s="1322"/>
      <c r="F192" s="1323"/>
      <c r="G192" s="920">
        <v>14000</v>
      </c>
      <c r="H192" s="1322">
        <v>14000</v>
      </c>
      <c r="I192" s="921">
        <v>14000</v>
      </c>
      <c r="J192" s="1323"/>
      <c r="K192" s="920"/>
      <c r="L192" s="1322"/>
      <c r="M192" s="877"/>
    </row>
    <row r="193" spans="1:13" ht="11.25" customHeight="1" x14ac:dyDescent="0.25">
      <c r="A193" s="189" t="str">
        <f t="shared" si="95"/>
        <v>2.6 - Communication &amp; IGR</v>
      </c>
      <c r="B193" s="55"/>
      <c r="C193" s="920"/>
      <c r="D193" s="920"/>
      <c r="E193" s="1322"/>
      <c r="F193" s="1323">
        <v>8600</v>
      </c>
      <c r="G193" s="920">
        <v>8600</v>
      </c>
      <c r="H193" s="1322">
        <v>8600</v>
      </c>
      <c r="I193" s="921">
        <v>8600</v>
      </c>
      <c r="J193" s="1323"/>
      <c r="K193" s="920"/>
      <c r="L193" s="1322"/>
      <c r="M193" s="877"/>
    </row>
    <row r="194" spans="1:13" ht="11.25" customHeight="1" x14ac:dyDescent="0.25">
      <c r="A194" s="189" t="str">
        <f t="shared" si="95"/>
        <v>2.7 - Executive support</v>
      </c>
      <c r="B194" s="55"/>
      <c r="C194" s="920"/>
      <c r="D194" s="920">
        <v>95754.71</v>
      </c>
      <c r="E194" s="1322">
        <v>360510</v>
      </c>
      <c r="F194" s="1323"/>
      <c r="G194" s="920"/>
      <c r="H194" s="1322"/>
      <c r="I194" s="921"/>
      <c r="J194" s="1323"/>
      <c r="K194" s="920"/>
      <c r="L194" s="1322"/>
      <c r="M194" s="877"/>
    </row>
    <row r="195" spans="1:13" ht="13.5" x14ac:dyDescent="0.25">
      <c r="A195" s="189" t="str">
        <f t="shared" si="95"/>
        <v>2.8 - [Name of sub-vote]</v>
      </c>
      <c r="B195" s="55"/>
      <c r="C195" s="920"/>
      <c r="D195" s="920"/>
      <c r="E195" s="1322"/>
      <c r="F195" s="1323"/>
      <c r="G195" s="920"/>
      <c r="H195" s="1322"/>
      <c r="I195" s="921"/>
      <c r="J195" s="1323"/>
      <c r="K195" s="920"/>
      <c r="L195" s="1322"/>
      <c r="M195" s="877"/>
    </row>
    <row r="196" spans="1:13" ht="11.25" customHeight="1" x14ac:dyDescent="0.25">
      <c r="A196" s="189">
        <f t="shared" si="95"/>
        <v>0</v>
      </c>
      <c r="B196" s="55"/>
      <c r="C196" s="920"/>
      <c r="D196" s="920"/>
      <c r="E196" s="1322"/>
      <c r="F196" s="1323"/>
      <c r="G196" s="920"/>
      <c r="H196" s="1322"/>
      <c r="I196" s="921"/>
      <c r="J196" s="1323"/>
      <c r="K196" s="920"/>
      <c r="L196" s="1322"/>
      <c r="M196" s="877"/>
    </row>
    <row r="197" spans="1:13" ht="11.25" customHeight="1" x14ac:dyDescent="0.25">
      <c r="A197" s="189">
        <f t="shared" si="95"/>
        <v>0</v>
      </c>
      <c r="B197" s="55"/>
      <c r="C197" s="920"/>
      <c r="D197" s="920"/>
      <c r="E197" s="1322"/>
      <c r="F197" s="1323"/>
      <c r="G197" s="920"/>
      <c r="H197" s="1322"/>
      <c r="I197" s="921"/>
      <c r="J197" s="1323"/>
      <c r="K197" s="920"/>
      <c r="L197" s="1322"/>
      <c r="M197" s="877"/>
    </row>
    <row r="198" spans="1:13" ht="15" customHeight="1" x14ac:dyDescent="0.25">
      <c r="A198" s="189" t="str">
        <f t="shared" si="95"/>
        <v>Vote 3 - FINANCIAL SERVICES</v>
      </c>
      <c r="B198" s="369"/>
      <c r="C198" s="592">
        <f t="shared" ref="C198:L198" si="98">SUM(C199:C208)</f>
        <v>0</v>
      </c>
      <c r="D198" s="592">
        <f t="shared" si="98"/>
        <v>323887</v>
      </c>
      <c r="E198" s="595">
        <f t="shared" si="98"/>
        <v>1004683</v>
      </c>
      <c r="F198" s="594">
        <f t="shared" si="98"/>
        <v>0</v>
      </c>
      <c r="G198" s="592">
        <f t="shared" si="98"/>
        <v>6431400</v>
      </c>
      <c r="H198" s="595">
        <f t="shared" si="98"/>
        <v>6431400</v>
      </c>
      <c r="I198" s="593">
        <f t="shared" si="98"/>
        <v>6431400</v>
      </c>
      <c r="J198" s="594">
        <f t="shared" si="98"/>
        <v>0</v>
      </c>
      <c r="K198" s="592">
        <f t="shared" si="98"/>
        <v>0</v>
      </c>
      <c r="L198" s="595">
        <f t="shared" si="98"/>
        <v>0</v>
      </c>
      <c r="M198" s="877"/>
    </row>
    <row r="199" spans="1:13" ht="11.25" customHeight="1" x14ac:dyDescent="0.25">
      <c r="A199" s="189" t="str">
        <f t="shared" si="95"/>
        <v>3.1 - Executive support</v>
      </c>
      <c r="B199" s="55"/>
      <c r="C199" s="920"/>
      <c r="D199" s="920"/>
      <c r="E199" s="1322"/>
      <c r="F199" s="1323"/>
      <c r="G199" s="920"/>
      <c r="H199" s="1322"/>
      <c r="I199" s="921"/>
      <c r="J199" s="1323"/>
      <c r="K199" s="920"/>
      <c r="L199" s="1322"/>
      <c r="M199" s="877"/>
    </row>
    <row r="200" spans="1:13" ht="11.25" customHeight="1" x14ac:dyDescent="0.25">
      <c r="A200" s="189" t="str">
        <f t="shared" si="95"/>
        <v>3.2 - Budget &amp; Financial Reporting</v>
      </c>
      <c r="B200" s="55"/>
      <c r="C200" s="920"/>
      <c r="D200" s="920">
        <v>323887</v>
      </c>
      <c r="E200" s="1322">
        <v>1004683</v>
      </c>
      <c r="F200" s="1323"/>
      <c r="G200" s="920">
        <v>6431400</v>
      </c>
      <c r="H200" s="1322">
        <v>6431400</v>
      </c>
      <c r="I200" s="921">
        <v>6431400</v>
      </c>
      <c r="J200" s="1323"/>
      <c r="K200" s="920"/>
      <c r="L200" s="1322"/>
      <c r="M200" s="877"/>
    </row>
    <row r="201" spans="1:13" ht="11.25" customHeight="1" x14ac:dyDescent="0.25">
      <c r="A201" s="189" t="str">
        <f t="shared" si="95"/>
        <v>3.3 - Asset &amp; Fleet Management</v>
      </c>
      <c r="B201" s="55"/>
      <c r="C201" s="920"/>
      <c r="D201" s="920"/>
      <c r="E201" s="1322"/>
      <c r="F201" s="1323"/>
      <c r="G201" s="920"/>
      <c r="H201" s="1322"/>
      <c r="I201" s="921"/>
      <c r="J201" s="1323"/>
      <c r="K201" s="920"/>
      <c r="L201" s="1322"/>
      <c r="M201" s="877"/>
    </row>
    <row r="202" spans="1:13" ht="11.25" customHeight="1" x14ac:dyDescent="0.25">
      <c r="A202" s="189" t="str">
        <f t="shared" si="95"/>
        <v>3.4 - Financial Management Information systems</v>
      </c>
      <c r="B202" s="55"/>
      <c r="C202" s="654"/>
      <c r="D202" s="654"/>
      <c r="E202" s="655"/>
      <c r="F202" s="656"/>
      <c r="G202" s="654"/>
      <c r="H202" s="655"/>
      <c r="I202" s="657"/>
      <c r="J202" s="656"/>
      <c r="K202" s="654"/>
      <c r="L202" s="655"/>
      <c r="M202" s="877"/>
    </row>
    <row r="203" spans="1:13" ht="11.25" customHeight="1" x14ac:dyDescent="0.25">
      <c r="A203" s="189" t="str">
        <f t="shared" si="95"/>
        <v>3.5 - Cashier Receipting &amp; Debtors</v>
      </c>
      <c r="B203" s="55"/>
      <c r="C203" s="654"/>
      <c r="D203" s="654"/>
      <c r="E203" s="655"/>
      <c r="F203" s="656"/>
      <c r="G203" s="654"/>
      <c r="H203" s="655"/>
      <c r="I203" s="657"/>
      <c r="J203" s="656"/>
      <c r="K203" s="654"/>
      <c r="L203" s="655"/>
      <c r="M203" s="877"/>
    </row>
    <row r="204" spans="1:13" ht="11.25" customHeight="1" x14ac:dyDescent="0.25">
      <c r="A204" s="189" t="str">
        <f t="shared" si="95"/>
        <v>3.6 - Credit control</v>
      </c>
      <c r="B204" s="55"/>
      <c r="C204" s="654"/>
      <c r="D204" s="654"/>
      <c r="E204" s="655"/>
      <c r="F204" s="656"/>
      <c r="G204" s="654"/>
      <c r="H204" s="655"/>
      <c r="I204" s="657"/>
      <c r="J204" s="656"/>
      <c r="K204" s="654"/>
      <c r="L204" s="655"/>
      <c r="M204" s="877"/>
    </row>
    <row r="205" spans="1:13" ht="13.5" x14ac:dyDescent="0.25">
      <c r="A205" s="189" t="str">
        <f t="shared" si="95"/>
        <v>3.7 - Expenditure</v>
      </c>
      <c r="B205" s="55"/>
      <c r="C205" s="654"/>
      <c r="D205" s="654"/>
      <c r="E205" s="655"/>
      <c r="F205" s="656"/>
      <c r="G205" s="654"/>
      <c r="H205" s="655"/>
      <c r="I205" s="657"/>
      <c r="J205" s="656"/>
      <c r="K205" s="654"/>
      <c r="L205" s="655"/>
      <c r="M205" s="877"/>
    </row>
    <row r="206" spans="1:13" ht="13.5" x14ac:dyDescent="0.25">
      <c r="A206" s="189" t="str">
        <f t="shared" si="95"/>
        <v>3.8 - Supply Chain</v>
      </c>
      <c r="B206" s="55"/>
      <c r="C206" s="654"/>
      <c r="D206" s="654"/>
      <c r="E206" s="655"/>
      <c r="F206" s="656"/>
      <c r="G206" s="654"/>
      <c r="H206" s="655"/>
      <c r="I206" s="657"/>
      <c r="J206" s="656"/>
      <c r="K206" s="654"/>
      <c r="L206" s="655"/>
      <c r="M206" s="877"/>
    </row>
    <row r="207" spans="1:13" ht="11.25" customHeight="1" x14ac:dyDescent="0.25">
      <c r="A207" s="189" t="str">
        <f t="shared" si="95"/>
        <v xml:space="preserve">3.9 - </v>
      </c>
      <c r="B207" s="55"/>
      <c r="C207" s="654"/>
      <c r="D207" s="654"/>
      <c r="E207" s="655"/>
      <c r="F207" s="656"/>
      <c r="G207" s="654"/>
      <c r="H207" s="655"/>
      <c r="I207" s="657"/>
      <c r="J207" s="656"/>
      <c r="K207" s="654"/>
      <c r="L207" s="655"/>
      <c r="M207" s="877"/>
    </row>
    <row r="208" spans="1:13" ht="13.5" x14ac:dyDescent="0.25">
      <c r="A208" s="189" t="str">
        <f t="shared" ref="A208:A239" si="99">A38</f>
        <v xml:space="preserve">3.10 - </v>
      </c>
      <c r="B208" s="55"/>
      <c r="C208" s="654"/>
      <c r="D208" s="654"/>
      <c r="E208" s="655"/>
      <c r="F208" s="656"/>
      <c r="G208" s="654"/>
      <c r="H208" s="655"/>
      <c r="I208" s="657"/>
      <c r="J208" s="656"/>
      <c r="K208" s="654"/>
      <c r="L208" s="655"/>
      <c r="M208" s="877"/>
    </row>
    <row r="209" spans="1:13" ht="15" customHeight="1" x14ac:dyDescent="0.25">
      <c r="A209" s="189" t="str">
        <f t="shared" si="99"/>
        <v>Vote 4 - CORPORATE SERVICES</v>
      </c>
      <c r="B209" s="369"/>
      <c r="C209" s="592">
        <f t="shared" ref="C209:L209" si="100">SUM(C210:C219)</f>
        <v>0</v>
      </c>
      <c r="D209" s="592">
        <f t="shared" si="100"/>
        <v>238342</v>
      </c>
      <c r="E209" s="595">
        <f t="shared" si="100"/>
        <v>12328</v>
      </c>
      <c r="F209" s="611">
        <f t="shared" si="100"/>
        <v>0</v>
      </c>
      <c r="G209" s="592">
        <f t="shared" si="100"/>
        <v>0</v>
      </c>
      <c r="H209" s="595">
        <f t="shared" si="100"/>
        <v>0</v>
      </c>
      <c r="I209" s="593">
        <f t="shared" si="100"/>
        <v>0</v>
      </c>
      <c r="J209" s="594">
        <f t="shared" si="100"/>
        <v>0</v>
      </c>
      <c r="K209" s="592">
        <f t="shared" si="100"/>
        <v>0</v>
      </c>
      <c r="L209" s="612">
        <f t="shared" si="100"/>
        <v>0</v>
      </c>
      <c r="M209" s="877"/>
    </row>
    <row r="210" spans="1:13" ht="13.5" x14ac:dyDescent="0.25">
      <c r="A210" s="189" t="str">
        <f t="shared" si="99"/>
        <v>4.1 - Executive support; Secretariat; Registry &amp; Office Auxiliary</v>
      </c>
      <c r="B210" s="55"/>
      <c r="C210" s="654"/>
      <c r="D210" s="654">
        <f>238342-D211</f>
        <v>180890.49</v>
      </c>
      <c r="E210" s="655">
        <v>12328</v>
      </c>
      <c r="F210" s="656"/>
      <c r="G210" s="654"/>
      <c r="H210" s="655"/>
      <c r="I210" s="657"/>
      <c r="J210" s="656"/>
      <c r="K210" s="654"/>
      <c r="L210" s="655"/>
      <c r="M210" s="877"/>
    </row>
    <row r="211" spans="1:13" ht="13.5" x14ac:dyDescent="0.25">
      <c r="A211" s="189" t="str">
        <f t="shared" si="99"/>
        <v>4.2 - ICT</v>
      </c>
      <c r="B211" s="55"/>
      <c r="C211" s="654"/>
      <c r="D211" s="654">
        <v>57451.51</v>
      </c>
      <c r="E211" s="655"/>
      <c r="F211" s="656"/>
      <c r="G211" s="654"/>
      <c r="H211" s="655"/>
      <c r="I211" s="657"/>
      <c r="J211" s="656"/>
      <c r="K211" s="654"/>
      <c r="L211" s="655"/>
      <c r="M211" s="877"/>
    </row>
    <row r="212" spans="1:13" ht="11.25" customHeight="1" x14ac:dyDescent="0.25">
      <c r="A212" s="189" t="str">
        <f t="shared" si="99"/>
        <v>4.3 - Office of Political office bearers</v>
      </c>
      <c r="B212" s="55"/>
      <c r="C212" s="654"/>
      <c r="D212" s="654"/>
      <c r="E212" s="655"/>
      <c r="F212" s="656"/>
      <c r="G212" s="654"/>
      <c r="H212" s="655"/>
      <c r="I212" s="657"/>
      <c r="J212" s="656"/>
      <c r="K212" s="654"/>
      <c r="L212" s="655"/>
      <c r="M212" s="877"/>
    </row>
    <row r="213" spans="1:13" ht="11.25" customHeight="1" x14ac:dyDescent="0.25">
      <c r="A213" s="189" t="str">
        <f t="shared" si="99"/>
        <v>4.4 - Property Management</v>
      </c>
      <c r="B213" s="55"/>
      <c r="C213" s="654"/>
      <c r="D213" s="654"/>
      <c r="E213" s="655"/>
      <c r="F213" s="656"/>
      <c r="G213" s="654"/>
      <c r="H213" s="655"/>
      <c r="I213" s="657"/>
      <c r="J213" s="656"/>
      <c r="K213" s="654"/>
      <c r="L213" s="655"/>
      <c r="M213" s="877"/>
    </row>
    <row r="214" spans="1:13" ht="11.25" customHeight="1" x14ac:dyDescent="0.25">
      <c r="A214" s="189" t="str">
        <f t="shared" si="99"/>
        <v>4.5 - Labour relations &amp; Occupational health</v>
      </c>
      <c r="B214" s="55"/>
      <c r="C214" s="654"/>
      <c r="D214" s="654"/>
      <c r="E214" s="655"/>
      <c r="F214" s="656"/>
      <c r="G214" s="654"/>
      <c r="H214" s="655"/>
      <c r="I214" s="657"/>
      <c r="J214" s="656"/>
      <c r="K214" s="654"/>
      <c r="L214" s="655"/>
      <c r="M214" s="877"/>
    </row>
    <row r="215" spans="1:13" ht="11.25" customHeight="1" x14ac:dyDescent="0.25">
      <c r="A215" s="189" t="str">
        <f t="shared" si="99"/>
        <v>4.6 - Training &amp; Development</v>
      </c>
      <c r="B215" s="55"/>
      <c r="C215" s="654"/>
      <c r="D215" s="654"/>
      <c r="E215" s="655"/>
      <c r="F215" s="656"/>
      <c r="G215" s="654"/>
      <c r="H215" s="655"/>
      <c r="I215" s="657"/>
      <c r="J215" s="656"/>
      <c r="K215" s="654"/>
      <c r="L215" s="655"/>
      <c r="M215" s="877"/>
    </row>
    <row r="216" spans="1:13" ht="11.25" customHeight="1" x14ac:dyDescent="0.25">
      <c r="A216" s="189" t="str">
        <f t="shared" si="99"/>
        <v>4.7 - HR Administration</v>
      </c>
      <c r="B216" s="55"/>
      <c r="C216" s="654"/>
      <c r="D216" s="654"/>
      <c r="E216" s="655"/>
      <c r="F216" s="656"/>
      <c r="G216" s="654"/>
      <c r="H216" s="655"/>
      <c r="I216" s="657"/>
      <c r="J216" s="656"/>
      <c r="K216" s="654"/>
      <c r="L216" s="655"/>
      <c r="M216" s="877"/>
    </row>
    <row r="217" spans="1:13" ht="11.25" customHeight="1" x14ac:dyDescent="0.25">
      <c r="A217" s="189" t="str">
        <f t="shared" si="99"/>
        <v>4.8 - Community facilities &amp; halls</v>
      </c>
      <c r="B217" s="55"/>
      <c r="C217" s="654"/>
      <c r="D217" s="654"/>
      <c r="E217" s="655"/>
      <c r="F217" s="656"/>
      <c r="G217" s="654"/>
      <c r="H217" s="655"/>
      <c r="I217" s="657"/>
      <c r="J217" s="656"/>
      <c r="K217" s="654"/>
      <c r="L217" s="655"/>
      <c r="M217" s="877"/>
    </row>
    <row r="218" spans="1:13" ht="11.25" customHeight="1" x14ac:dyDescent="0.25">
      <c r="A218" s="189" t="str">
        <f t="shared" si="99"/>
        <v>4.9 - Museums &amp; art galleries</v>
      </c>
      <c r="B218" s="55"/>
      <c r="C218" s="654"/>
      <c r="D218" s="654"/>
      <c r="E218" s="655"/>
      <c r="F218" s="656"/>
      <c r="G218" s="654"/>
      <c r="H218" s="655"/>
      <c r="I218" s="657"/>
      <c r="J218" s="656"/>
      <c r="K218" s="654"/>
      <c r="L218" s="655"/>
      <c r="M218" s="877"/>
    </row>
    <row r="219" spans="1:13" ht="11.25" customHeight="1" x14ac:dyDescent="0.25">
      <c r="A219" s="189" t="str">
        <f t="shared" si="99"/>
        <v>4.10 - Special Projects Unit</v>
      </c>
      <c r="B219" s="55"/>
      <c r="C219" s="654"/>
      <c r="D219" s="654"/>
      <c r="E219" s="655"/>
      <c r="F219" s="656"/>
      <c r="G219" s="654"/>
      <c r="H219" s="655"/>
      <c r="I219" s="657"/>
      <c r="J219" s="656"/>
      <c r="K219" s="654"/>
      <c r="L219" s="655"/>
      <c r="M219" s="877"/>
    </row>
    <row r="220" spans="1:13" ht="15" customHeight="1" x14ac:dyDescent="0.25">
      <c r="A220" s="189" t="str">
        <f t="shared" si="99"/>
        <v>Vote 5 - INFRASTRUCTURE SERVICES</v>
      </c>
      <c r="B220" s="369"/>
      <c r="C220" s="592">
        <f t="shared" ref="C220:L220" si="101">SUM(C221:C230)</f>
        <v>0</v>
      </c>
      <c r="D220" s="592">
        <f t="shared" si="101"/>
        <v>60155317</v>
      </c>
      <c r="E220" s="595">
        <f t="shared" si="101"/>
        <v>45447719</v>
      </c>
      <c r="F220" s="594">
        <f t="shared" si="101"/>
        <v>38883897</v>
      </c>
      <c r="G220" s="592">
        <f t="shared" si="101"/>
        <v>48633133</v>
      </c>
      <c r="H220" s="595">
        <f t="shared" si="101"/>
        <v>48633133</v>
      </c>
      <c r="I220" s="593">
        <f t="shared" si="101"/>
        <v>48633133</v>
      </c>
      <c r="J220" s="594">
        <f t="shared" si="101"/>
        <v>29550973</v>
      </c>
      <c r="K220" s="592">
        <f t="shared" si="101"/>
        <v>33550141</v>
      </c>
      <c r="L220" s="595">
        <f t="shared" si="101"/>
        <v>0</v>
      </c>
      <c r="M220" s="877"/>
    </row>
    <row r="221" spans="1:13" ht="11.25" customHeight="1" x14ac:dyDescent="0.25">
      <c r="A221" s="189" t="str">
        <f t="shared" si="99"/>
        <v>5.1 - Executive support</v>
      </c>
      <c r="B221" s="55"/>
      <c r="C221" s="654"/>
      <c r="D221" s="654"/>
      <c r="E221" s="655"/>
      <c r="F221" s="656"/>
      <c r="G221" s="654">
        <v>0</v>
      </c>
      <c r="H221" s="655">
        <v>0</v>
      </c>
      <c r="I221" s="657">
        <v>0</v>
      </c>
      <c r="J221" s="656"/>
      <c r="K221" s="654"/>
      <c r="L221" s="655"/>
      <c r="M221" s="877"/>
    </row>
    <row r="222" spans="1:13" ht="11.25" customHeight="1" x14ac:dyDescent="0.25">
      <c r="A222" s="189" t="str">
        <f t="shared" si="99"/>
        <v xml:space="preserve">5.2 - Water services </v>
      </c>
      <c r="B222" s="55"/>
      <c r="C222" s="654"/>
      <c r="D222" s="654">
        <v>2363741</v>
      </c>
      <c r="E222" s="655">
        <v>14608261</v>
      </c>
      <c r="F222" s="656">
        <v>23957849</v>
      </c>
      <c r="G222" s="654">
        <v>37293732</v>
      </c>
      <c r="H222" s="655">
        <v>37293732</v>
      </c>
      <c r="I222" s="657">
        <v>37293732</v>
      </c>
      <c r="J222" s="656">
        <v>19250839</v>
      </c>
      <c r="K222" s="654">
        <f>24000000+4050141</f>
        <v>28050141</v>
      </c>
      <c r="L222" s="655"/>
      <c r="M222" s="877"/>
    </row>
    <row r="223" spans="1:13" ht="11.25" customHeight="1" x14ac:dyDescent="0.25">
      <c r="A223" s="189" t="str">
        <f t="shared" si="99"/>
        <v>5.3 - Public works</v>
      </c>
      <c r="B223" s="55"/>
      <c r="C223" s="654"/>
      <c r="D223" s="654">
        <v>8238748</v>
      </c>
      <c r="E223" s="655">
        <v>10016399</v>
      </c>
      <c r="F223" s="656">
        <v>9151187</v>
      </c>
      <c r="G223" s="654">
        <v>5394540</v>
      </c>
      <c r="H223" s="655">
        <v>5394540</v>
      </c>
      <c r="I223" s="657">
        <v>5394540</v>
      </c>
      <c r="J223" s="656">
        <v>10300134</v>
      </c>
      <c r="K223" s="654"/>
      <c r="L223" s="655"/>
      <c r="M223" s="877"/>
    </row>
    <row r="224" spans="1:13" ht="11.25" customHeight="1" x14ac:dyDescent="0.25">
      <c r="A224" s="189" t="str">
        <f t="shared" si="99"/>
        <v>5.4 - Waste Water services</v>
      </c>
      <c r="B224" s="55"/>
      <c r="C224" s="654"/>
      <c r="D224" s="654">
        <v>46757825</v>
      </c>
      <c r="E224" s="655">
        <v>9468878</v>
      </c>
      <c r="F224" s="656">
        <v>564511</v>
      </c>
      <c r="G224" s="654">
        <v>804511</v>
      </c>
      <c r="H224" s="655">
        <v>804511</v>
      </c>
      <c r="I224" s="657">
        <v>804511</v>
      </c>
      <c r="J224" s="656"/>
      <c r="K224" s="654"/>
      <c r="L224" s="655"/>
      <c r="M224" s="877"/>
    </row>
    <row r="225" spans="1:13" ht="11.25" customHeight="1" x14ac:dyDescent="0.25">
      <c r="A225" s="189" t="str">
        <f t="shared" si="99"/>
        <v>5.5 - Electrical Services</v>
      </c>
      <c r="B225" s="55"/>
      <c r="C225" s="654"/>
      <c r="D225" s="654">
        <v>2772595</v>
      </c>
      <c r="E225" s="655">
        <v>11085220</v>
      </c>
      <c r="F225" s="656">
        <v>5192750</v>
      </c>
      <c r="G225" s="654">
        <v>5122750</v>
      </c>
      <c r="H225" s="655">
        <v>5122750</v>
      </c>
      <c r="I225" s="657">
        <v>5122750</v>
      </c>
      <c r="J225" s="656"/>
      <c r="K225" s="654">
        <v>5500000</v>
      </c>
      <c r="L225" s="655"/>
      <c r="M225" s="877"/>
    </row>
    <row r="226" spans="1:13" ht="11.25" customHeight="1" x14ac:dyDescent="0.25">
      <c r="A226" s="189" t="str">
        <f t="shared" si="99"/>
        <v>5.6 - Mechanical workshop</v>
      </c>
      <c r="B226" s="55"/>
      <c r="C226" s="654"/>
      <c r="D226" s="654"/>
      <c r="E226" s="655"/>
      <c r="F226" s="656"/>
      <c r="G226" s="654">
        <v>0</v>
      </c>
      <c r="H226" s="655">
        <v>0</v>
      </c>
      <c r="I226" s="657">
        <v>0</v>
      </c>
      <c r="J226" s="656"/>
      <c r="K226" s="654"/>
      <c r="L226" s="655"/>
      <c r="M226" s="877"/>
    </row>
    <row r="227" spans="1:13" ht="11.25" customHeight="1" x14ac:dyDescent="0.25">
      <c r="A227" s="189" t="str">
        <f t="shared" si="99"/>
        <v>5.7 - PMU Capital projects &amp; GIS</v>
      </c>
      <c r="B227" s="55"/>
      <c r="C227" s="654"/>
      <c r="D227" s="654">
        <v>22408</v>
      </c>
      <c r="E227" s="655">
        <v>268961</v>
      </c>
      <c r="F227" s="656">
        <v>17600</v>
      </c>
      <c r="G227" s="654">
        <v>17600</v>
      </c>
      <c r="H227" s="655">
        <v>17600</v>
      </c>
      <c r="I227" s="657">
        <v>17600</v>
      </c>
      <c r="J227" s="656"/>
      <c r="K227" s="654"/>
      <c r="L227" s="655"/>
      <c r="M227" s="877"/>
    </row>
    <row r="228" spans="1:13" ht="11.25" customHeight="1" x14ac:dyDescent="0.25">
      <c r="A228" s="189" t="str">
        <f t="shared" si="99"/>
        <v>5.8 - Town Planning</v>
      </c>
      <c r="B228" s="55"/>
      <c r="C228" s="654"/>
      <c r="D228" s="654"/>
      <c r="E228" s="655"/>
      <c r="F228" s="656"/>
      <c r="G228" s="654">
        <v>0</v>
      </c>
      <c r="H228" s="655">
        <v>0</v>
      </c>
      <c r="I228" s="657">
        <v>0</v>
      </c>
      <c r="J228" s="656"/>
      <c r="K228" s="654"/>
      <c r="L228" s="655"/>
      <c r="M228" s="877"/>
    </row>
    <row r="229" spans="1:13" ht="11.25" customHeight="1" x14ac:dyDescent="0.25">
      <c r="A229" s="189" t="str">
        <f t="shared" si="99"/>
        <v>5.9 - Building Control</v>
      </c>
      <c r="B229" s="55"/>
      <c r="C229" s="654"/>
      <c r="D229" s="654"/>
      <c r="E229" s="655"/>
      <c r="F229" s="656"/>
      <c r="G229" s="654">
        <v>0</v>
      </c>
      <c r="H229" s="655">
        <v>0</v>
      </c>
      <c r="I229" s="657">
        <v>0</v>
      </c>
      <c r="J229" s="656"/>
      <c r="K229" s="654"/>
      <c r="L229" s="655"/>
      <c r="M229" s="877"/>
    </row>
    <row r="230" spans="1:13" ht="11.25" customHeight="1" x14ac:dyDescent="0.25">
      <c r="A230" s="189" t="str">
        <f t="shared" si="99"/>
        <v>5.10 - Workshop Carpenter</v>
      </c>
      <c r="B230" s="55"/>
      <c r="C230" s="654"/>
      <c r="D230" s="654"/>
      <c r="E230" s="655"/>
      <c r="F230" s="656"/>
      <c r="G230" s="654">
        <v>0</v>
      </c>
      <c r="H230" s="655">
        <v>0</v>
      </c>
      <c r="I230" s="657">
        <v>0</v>
      </c>
      <c r="J230" s="656"/>
      <c r="K230" s="654"/>
      <c r="L230" s="655"/>
      <c r="M230" s="877"/>
    </row>
    <row r="231" spans="1:13" x14ac:dyDescent="0.25">
      <c r="A231" s="189" t="str">
        <f t="shared" si="99"/>
        <v>Vote 6 - COMMUNITY SERVICES</v>
      </c>
      <c r="B231" s="369"/>
      <c r="C231" s="592">
        <f>SUM(C232:C242)</f>
        <v>0</v>
      </c>
      <c r="D231" s="592">
        <f t="shared" ref="D231:L231" si="102">SUM(D232:D242)</f>
        <v>1636482</v>
      </c>
      <c r="E231" s="592">
        <f t="shared" si="102"/>
        <v>6633787</v>
      </c>
      <c r="F231" s="592">
        <f t="shared" si="102"/>
        <v>5950103</v>
      </c>
      <c r="G231" s="592">
        <f t="shared" si="102"/>
        <v>5584756</v>
      </c>
      <c r="H231" s="592">
        <f t="shared" si="102"/>
        <v>5584756</v>
      </c>
      <c r="I231" s="592">
        <f t="shared" si="102"/>
        <v>5584756</v>
      </c>
      <c r="J231" s="592">
        <f t="shared" si="102"/>
        <v>2896465.1</v>
      </c>
      <c r="K231" s="592">
        <f t="shared" si="102"/>
        <v>16422359</v>
      </c>
      <c r="L231" s="592">
        <f t="shared" si="102"/>
        <v>0</v>
      </c>
    </row>
    <row r="232" spans="1:13" x14ac:dyDescent="0.25">
      <c r="A232" s="189" t="str">
        <f t="shared" si="99"/>
        <v>6.1 - Administrative support</v>
      </c>
      <c r="B232" s="369"/>
      <c r="C232" s="654"/>
      <c r="D232" s="654"/>
      <c r="E232" s="655"/>
      <c r="F232" s="656"/>
      <c r="G232" s="654">
        <v>0</v>
      </c>
      <c r="H232" s="655">
        <v>0</v>
      </c>
      <c r="I232" s="657">
        <v>0</v>
      </c>
      <c r="J232" s="656"/>
      <c r="K232" s="654"/>
      <c r="L232" s="655"/>
    </row>
    <row r="233" spans="1:13" ht="11.25" customHeight="1" x14ac:dyDescent="0.25">
      <c r="A233" s="189" t="str">
        <f t="shared" si="99"/>
        <v>6.2 - Parks, Cemetries &amp; public amenities</v>
      </c>
      <c r="B233" s="55"/>
      <c r="C233" s="654"/>
      <c r="D233" s="654">
        <v>157672</v>
      </c>
      <c r="E233" s="655">
        <v>1371961</v>
      </c>
      <c r="F233" s="656">
        <v>2486103</v>
      </c>
      <c r="G233" s="654">
        <v>5272206</v>
      </c>
      <c r="H233" s="655">
        <v>5272206</v>
      </c>
      <c r="I233" s="657">
        <v>5272206</v>
      </c>
      <c r="J233" s="656"/>
      <c r="K233" s="654">
        <f>3000000+7000000</f>
        <v>10000000</v>
      </c>
      <c r="L233" s="655"/>
    </row>
    <row r="234" spans="1:13" ht="11.25" customHeight="1" x14ac:dyDescent="0.25">
      <c r="A234" s="189" t="str">
        <f t="shared" si="99"/>
        <v>6.3 - Library services</v>
      </c>
      <c r="B234" s="55"/>
      <c r="C234" s="654"/>
      <c r="D234" s="654"/>
      <c r="E234" s="655"/>
      <c r="F234" s="656"/>
      <c r="G234" s="654">
        <v>0</v>
      </c>
      <c r="H234" s="655">
        <v>0</v>
      </c>
      <c r="I234" s="657">
        <v>0</v>
      </c>
      <c r="J234" s="656"/>
      <c r="K234" s="654"/>
      <c r="L234" s="655"/>
    </row>
    <row r="235" spans="1:13" ht="11.25" customHeight="1" x14ac:dyDescent="0.25">
      <c r="A235" s="189" t="str">
        <f t="shared" si="99"/>
        <v>6.4 - Human Settlements</v>
      </c>
      <c r="B235" s="55"/>
      <c r="C235" s="654"/>
      <c r="D235" s="654"/>
      <c r="E235" s="655"/>
      <c r="F235" s="656"/>
      <c r="G235" s="654">
        <v>0</v>
      </c>
      <c r="H235" s="655">
        <v>0</v>
      </c>
      <c r="I235" s="657">
        <v>0</v>
      </c>
      <c r="J235" s="656"/>
      <c r="K235" s="654"/>
      <c r="L235" s="655"/>
    </row>
    <row r="236" spans="1:13" ht="11.25" customHeight="1" x14ac:dyDescent="0.25">
      <c r="A236" s="189" t="str">
        <f t="shared" si="99"/>
        <v>6.5 - Environmental management</v>
      </c>
      <c r="B236" s="55"/>
      <c r="C236" s="654"/>
      <c r="D236" s="654"/>
      <c r="E236" s="655"/>
      <c r="F236" s="656"/>
      <c r="G236" s="654">
        <v>0</v>
      </c>
      <c r="H236" s="655">
        <v>0</v>
      </c>
      <c r="I236" s="657">
        <v>0</v>
      </c>
      <c r="J236" s="656"/>
      <c r="K236" s="654"/>
      <c r="L236" s="655"/>
    </row>
    <row r="237" spans="1:13" ht="11.25" customHeight="1" x14ac:dyDescent="0.25">
      <c r="A237" s="189" t="str">
        <f t="shared" si="99"/>
        <v>6.6 - Traffic &amp; law enforcement services</v>
      </c>
      <c r="B237" s="55"/>
      <c r="C237" s="654"/>
      <c r="D237" s="654"/>
      <c r="E237" s="655">
        <v>56996</v>
      </c>
      <c r="F237" s="656"/>
      <c r="G237" s="654">
        <v>195000</v>
      </c>
      <c r="H237" s="655">
        <v>195000</v>
      </c>
      <c r="I237" s="657">
        <v>195000</v>
      </c>
      <c r="J237" s="656"/>
      <c r="K237" s="654"/>
      <c r="L237" s="655"/>
    </row>
    <row r="238" spans="1:13" ht="11.25" customHeight="1" x14ac:dyDescent="0.25">
      <c r="A238" s="189" t="str">
        <f t="shared" si="99"/>
        <v>6.7 - Driving license testing station; Motor vehicle registration &amp; Vehicle testing station</v>
      </c>
      <c r="B238" s="55"/>
      <c r="C238" s="654"/>
      <c r="D238" s="654"/>
      <c r="E238" s="655"/>
      <c r="F238" s="656"/>
      <c r="G238" s="654">
        <v>0</v>
      </c>
      <c r="H238" s="655">
        <v>0</v>
      </c>
      <c r="I238" s="657">
        <v>0</v>
      </c>
      <c r="J238" s="656"/>
      <c r="K238" s="654"/>
      <c r="L238" s="655"/>
    </row>
    <row r="239" spans="1:13" ht="11.25" customHeight="1" x14ac:dyDescent="0.25">
      <c r="A239" s="189" t="str">
        <f t="shared" si="99"/>
        <v>6.8 - Disaster management &amp; Fire services</v>
      </c>
      <c r="B239" s="55"/>
      <c r="C239" s="654"/>
      <c r="D239" s="654"/>
      <c r="E239" s="655"/>
      <c r="F239" s="656"/>
      <c r="G239" s="654">
        <v>0</v>
      </c>
      <c r="H239" s="655">
        <v>0</v>
      </c>
      <c r="I239" s="657">
        <v>0</v>
      </c>
      <c r="J239" s="656"/>
      <c r="K239" s="654"/>
      <c r="L239" s="655"/>
    </row>
    <row r="240" spans="1:13" ht="11.25" customHeight="1" x14ac:dyDescent="0.25">
      <c r="A240" s="189" t="str">
        <f t="shared" ref="A240:A271" si="103">A70</f>
        <v>6.9 - Area Cleansing</v>
      </c>
      <c r="B240" s="55"/>
      <c r="C240" s="654"/>
      <c r="D240" s="654"/>
      <c r="E240" s="655"/>
      <c r="F240" s="656"/>
      <c r="G240" s="654">
        <v>0</v>
      </c>
      <c r="H240" s="655">
        <v>0</v>
      </c>
      <c r="I240" s="657">
        <v>0</v>
      </c>
      <c r="J240" s="656"/>
      <c r="K240" s="654"/>
      <c r="L240" s="655"/>
    </row>
    <row r="241" spans="1:12" ht="11.25" customHeight="1" x14ac:dyDescent="0.25">
      <c r="A241" s="189" t="str">
        <f t="shared" si="103"/>
        <v>6.10 - Refuse removal, Skips &amp; illegal dumping</v>
      </c>
      <c r="B241" s="55"/>
      <c r="C241" s="654"/>
      <c r="D241" s="654">
        <v>1478810</v>
      </c>
      <c r="E241" s="655">
        <v>5204830</v>
      </c>
      <c r="F241" s="656">
        <v>3464000</v>
      </c>
      <c r="G241" s="654">
        <v>117550</v>
      </c>
      <c r="H241" s="655">
        <v>117550</v>
      </c>
      <c r="I241" s="657">
        <v>117550</v>
      </c>
      <c r="J241" s="656">
        <v>2896465.1</v>
      </c>
      <c r="K241" s="654">
        <v>6422359</v>
      </c>
      <c r="L241" s="655"/>
    </row>
    <row r="242" spans="1:12" ht="11.25" customHeight="1" x14ac:dyDescent="0.25">
      <c r="A242" s="189" t="str">
        <f t="shared" si="103"/>
        <v>6.11 - Landfill sites &amp; transfer stations</v>
      </c>
      <c r="B242" s="55"/>
      <c r="C242" s="654"/>
      <c r="D242" s="654"/>
      <c r="E242" s="655"/>
      <c r="F242" s="656"/>
      <c r="G242" s="654"/>
      <c r="H242" s="655"/>
      <c r="I242" s="657"/>
      <c r="J242" s="656"/>
      <c r="K242" s="654"/>
      <c r="L242" s="655"/>
    </row>
    <row r="243" spans="1:12" ht="15" customHeight="1" x14ac:dyDescent="0.25">
      <c r="A243" s="189" t="str">
        <f t="shared" si="103"/>
        <v>Vote 7 - [NAME OF VOTE 7]</v>
      </c>
      <c r="B243" s="369"/>
      <c r="C243" s="592">
        <f t="shared" ref="C243:L243" si="104">SUM(C244:C253)</f>
        <v>0</v>
      </c>
      <c r="D243" s="592">
        <f t="shared" si="104"/>
        <v>0</v>
      </c>
      <c r="E243" s="595">
        <f t="shared" si="104"/>
        <v>0</v>
      </c>
      <c r="F243" s="594">
        <f t="shared" si="104"/>
        <v>0</v>
      </c>
      <c r="G243" s="592">
        <f t="shared" si="104"/>
        <v>0</v>
      </c>
      <c r="H243" s="595">
        <f t="shared" si="104"/>
        <v>0</v>
      </c>
      <c r="I243" s="593">
        <f t="shared" si="104"/>
        <v>0</v>
      </c>
      <c r="J243" s="594">
        <f t="shared" si="104"/>
        <v>0</v>
      </c>
      <c r="K243" s="592">
        <f t="shared" si="104"/>
        <v>0</v>
      </c>
      <c r="L243" s="595">
        <f t="shared" si="104"/>
        <v>0</v>
      </c>
    </row>
    <row r="244" spans="1:12" ht="11.25" customHeight="1" x14ac:dyDescent="0.25">
      <c r="A244" s="189" t="str">
        <f t="shared" si="103"/>
        <v>7.1 - [Name of sub-vote]</v>
      </c>
      <c r="B244" s="55"/>
      <c r="C244" s="654"/>
      <c r="D244" s="654"/>
      <c r="E244" s="655"/>
      <c r="F244" s="656"/>
      <c r="G244" s="654"/>
      <c r="H244" s="655"/>
      <c r="I244" s="657"/>
      <c r="J244" s="656"/>
      <c r="K244" s="654"/>
      <c r="L244" s="655"/>
    </row>
    <row r="245" spans="1:12" ht="11.25" customHeight="1" x14ac:dyDescent="0.25">
      <c r="A245" s="189">
        <f t="shared" si="103"/>
        <v>0</v>
      </c>
      <c r="B245" s="55"/>
      <c r="C245" s="654"/>
      <c r="D245" s="654"/>
      <c r="E245" s="655"/>
      <c r="F245" s="656"/>
      <c r="G245" s="654"/>
      <c r="H245" s="655"/>
      <c r="I245" s="657"/>
      <c r="J245" s="656"/>
      <c r="K245" s="654"/>
      <c r="L245" s="655"/>
    </row>
    <row r="246" spans="1:12" ht="11.25" customHeight="1" x14ac:dyDescent="0.25">
      <c r="A246" s="189">
        <f t="shared" si="103"/>
        <v>0</v>
      </c>
      <c r="B246" s="55"/>
      <c r="C246" s="654"/>
      <c r="D246" s="654"/>
      <c r="E246" s="655"/>
      <c r="F246" s="656"/>
      <c r="G246" s="654"/>
      <c r="H246" s="655"/>
      <c r="I246" s="657"/>
      <c r="J246" s="656"/>
      <c r="K246" s="654"/>
      <c r="L246" s="655"/>
    </row>
    <row r="247" spans="1:12" ht="11.25" customHeight="1" x14ac:dyDescent="0.25">
      <c r="A247" s="189">
        <f t="shared" si="103"/>
        <v>0</v>
      </c>
      <c r="B247" s="55"/>
      <c r="C247" s="654"/>
      <c r="D247" s="654"/>
      <c r="E247" s="655"/>
      <c r="F247" s="656"/>
      <c r="G247" s="654"/>
      <c r="H247" s="655"/>
      <c r="I247" s="657"/>
      <c r="J247" s="656"/>
      <c r="K247" s="654"/>
      <c r="L247" s="655"/>
    </row>
    <row r="248" spans="1:12" ht="11.25" customHeight="1" x14ac:dyDescent="0.25">
      <c r="A248" s="189">
        <f t="shared" si="103"/>
        <v>0</v>
      </c>
      <c r="B248" s="55"/>
      <c r="C248" s="654"/>
      <c r="D248" s="654"/>
      <c r="E248" s="655"/>
      <c r="F248" s="656"/>
      <c r="G248" s="654"/>
      <c r="H248" s="655"/>
      <c r="I248" s="657"/>
      <c r="J248" s="656"/>
      <c r="K248" s="654"/>
      <c r="L248" s="655"/>
    </row>
    <row r="249" spans="1:12" ht="11.25" customHeight="1" x14ac:dyDescent="0.25">
      <c r="A249" s="189">
        <f t="shared" si="103"/>
        <v>0</v>
      </c>
      <c r="B249" s="55"/>
      <c r="C249" s="654"/>
      <c r="D249" s="654"/>
      <c r="E249" s="655"/>
      <c r="F249" s="656"/>
      <c r="G249" s="654"/>
      <c r="H249" s="655"/>
      <c r="I249" s="657"/>
      <c r="J249" s="656"/>
      <c r="K249" s="654"/>
      <c r="L249" s="655"/>
    </row>
    <row r="250" spans="1:12" ht="11.25" customHeight="1" x14ac:dyDescent="0.25">
      <c r="A250" s="189">
        <f t="shared" si="103"/>
        <v>0</v>
      </c>
      <c r="B250" s="55"/>
      <c r="C250" s="654"/>
      <c r="D250" s="654"/>
      <c r="E250" s="655"/>
      <c r="F250" s="656"/>
      <c r="G250" s="654"/>
      <c r="H250" s="655"/>
      <c r="I250" s="657"/>
      <c r="J250" s="656"/>
      <c r="K250" s="654"/>
      <c r="L250" s="655"/>
    </row>
    <row r="251" spans="1:12" ht="11.25" customHeight="1" x14ac:dyDescent="0.25">
      <c r="A251" s="189">
        <f t="shared" si="103"/>
        <v>0</v>
      </c>
      <c r="B251" s="55"/>
      <c r="C251" s="654"/>
      <c r="D251" s="654"/>
      <c r="E251" s="655"/>
      <c r="F251" s="656"/>
      <c r="G251" s="654"/>
      <c r="H251" s="655"/>
      <c r="I251" s="657"/>
      <c r="J251" s="656"/>
      <c r="K251" s="654"/>
      <c r="L251" s="655"/>
    </row>
    <row r="252" spans="1:12" ht="11.25" customHeight="1" x14ac:dyDescent="0.25">
      <c r="A252" s="189">
        <f t="shared" si="103"/>
        <v>0</v>
      </c>
      <c r="B252" s="55"/>
      <c r="C252" s="654"/>
      <c r="D252" s="654"/>
      <c r="E252" s="655"/>
      <c r="F252" s="656"/>
      <c r="G252" s="654"/>
      <c r="H252" s="655"/>
      <c r="I252" s="657"/>
      <c r="J252" s="656"/>
      <c r="K252" s="654"/>
      <c r="L252" s="655"/>
    </row>
    <row r="253" spans="1:12" ht="11.25" customHeight="1" x14ac:dyDescent="0.25">
      <c r="A253" s="189">
        <f t="shared" si="103"/>
        <v>0</v>
      </c>
      <c r="B253" s="55"/>
      <c r="C253" s="654"/>
      <c r="D253" s="654"/>
      <c r="E253" s="655"/>
      <c r="F253" s="656"/>
      <c r="G253" s="654"/>
      <c r="H253" s="655"/>
      <c r="I253" s="657"/>
      <c r="J253" s="656"/>
      <c r="K253" s="654"/>
      <c r="L253" s="655"/>
    </row>
    <row r="254" spans="1:12" ht="15" customHeight="1" x14ac:dyDescent="0.25">
      <c r="A254" s="189" t="str">
        <f t="shared" si="103"/>
        <v>Vote 8 - [NAME OF VOTE 8]</v>
      </c>
      <c r="B254" s="55"/>
      <c r="C254" s="592">
        <f t="shared" ref="C254:L254" si="105">SUM(C255:C264)</f>
        <v>0</v>
      </c>
      <c r="D254" s="592">
        <f t="shared" si="105"/>
        <v>0</v>
      </c>
      <c r="E254" s="595">
        <f t="shared" si="105"/>
        <v>0</v>
      </c>
      <c r="F254" s="594">
        <f t="shared" si="105"/>
        <v>0</v>
      </c>
      <c r="G254" s="592">
        <f t="shared" si="105"/>
        <v>0</v>
      </c>
      <c r="H254" s="595">
        <f t="shared" si="105"/>
        <v>0</v>
      </c>
      <c r="I254" s="593">
        <f t="shared" si="105"/>
        <v>0</v>
      </c>
      <c r="J254" s="594">
        <f t="shared" si="105"/>
        <v>0</v>
      </c>
      <c r="K254" s="592">
        <f t="shared" si="105"/>
        <v>0</v>
      </c>
      <c r="L254" s="595">
        <f t="shared" si="105"/>
        <v>0</v>
      </c>
    </row>
    <row r="255" spans="1:12" x14ac:dyDescent="0.25">
      <c r="A255" s="189" t="str">
        <f t="shared" si="103"/>
        <v>8.1 - [Name of sub-vote]</v>
      </c>
      <c r="B255" s="55"/>
      <c r="C255" s="654"/>
      <c r="D255" s="654"/>
      <c r="E255" s="657"/>
      <c r="F255" s="656"/>
      <c r="G255" s="654"/>
      <c r="H255" s="655"/>
      <c r="I255" s="657"/>
      <c r="J255" s="656"/>
      <c r="K255" s="654"/>
      <c r="L255" s="655"/>
    </row>
    <row r="256" spans="1:12" x14ac:dyDescent="0.25">
      <c r="A256" s="189">
        <f t="shared" si="103"/>
        <v>0</v>
      </c>
      <c r="B256" s="55"/>
      <c r="C256" s="654"/>
      <c r="D256" s="654"/>
      <c r="E256" s="657"/>
      <c r="F256" s="656"/>
      <c r="G256" s="654"/>
      <c r="H256" s="655"/>
      <c r="I256" s="657"/>
      <c r="J256" s="656"/>
      <c r="K256" s="654"/>
      <c r="L256" s="655"/>
    </row>
    <row r="257" spans="1:12" x14ac:dyDescent="0.25">
      <c r="A257" s="189">
        <f t="shared" si="103"/>
        <v>0</v>
      </c>
      <c r="B257" s="55"/>
      <c r="C257" s="654"/>
      <c r="D257" s="654"/>
      <c r="E257" s="657"/>
      <c r="F257" s="656"/>
      <c r="G257" s="654"/>
      <c r="H257" s="655"/>
      <c r="I257" s="657"/>
      <c r="J257" s="656"/>
      <c r="K257" s="654"/>
      <c r="L257" s="655"/>
    </row>
    <row r="258" spans="1:12" x14ac:dyDescent="0.25">
      <c r="A258" s="189">
        <f t="shared" si="103"/>
        <v>0</v>
      </c>
      <c r="B258" s="55"/>
      <c r="C258" s="654"/>
      <c r="D258" s="654"/>
      <c r="E258" s="657"/>
      <c r="F258" s="656"/>
      <c r="G258" s="654"/>
      <c r="H258" s="655"/>
      <c r="I258" s="657"/>
      <c r="J258" s="656"/>
      <c r="K258" s="654"/>
      <c r="L258" s="655"/>
    </row>
    <row r="259" spans="1:12" x14ac:dyDescent="0.25">
      <c r="A259" s="189">
        <f t="shared" si="103"/>
        <v>0</v>
      </c>
      <c r="B259" s="55"/>
      <c r="C259" s="654"/>
      <c r="D259" s="654"/>
      <c r="E259" s="657"/>
      <c r="F259" s="656"/>
      <c r="G259" s="654"/>
      <c r="H259" s="655"/>
      <c r="I259" s="657"/>
      <c r="J259" s="656"/>
      <c r="K259" s="654"/>
      <c r="L259" s="655"/>
    </row>
    <row r="260" spans="1:12" x14ac:dyDescent="0.25">
      <c r="A260" s="189">
        <f t="shared" si="103"/>
        <v>0</v>
      </c>
      <c r="B260" s="55"/>
      <c r="C260" s="654"/>
      <c r="D260" s="654"/>
      <c r="E260" s="657"/>
      <c r="F260" s="656"/>
      <c r="G260" s="654"/>
      <c r="H260" s="655"/>
      <c r="I260" s="657"/>
      <c r="J260" s="656"/>
      <c r="K260" s="654"/>
      <c r="L260" s="655"/>
    </row>
    <row r="261" spans="1:12" x14ac:dyDescent="0.25">
      <c r="A261" s="189">
        <f t="shared" si="103"/>
        <v>0</v>
      </c>
      <c r="B261" s="55"/>
      <c r="C261" s="654"/>
      <c r="D261" s="654"/>
      <c r="E261" s="657"/>
      <c r="F261" s="656"/>
      <c r="G261" s="654"/>
      <c r="H261" s="655"/>
      <c r="I261" s="657"/>
      <c r="J261" s="656"/>
      <c r="K261" s="654"/>
      <c r="L261" s="655"/>
    </row>
    <row r="262" spans="1:12" x14ac:dyDescent="0.25">
      <c r="A262" s="189">
        <f t="shared" si="103"/>
        <v>0</v>
      </c>
      <c r="B262" s="55"/>
      <c r="C262" s="654"/>
      <c r="D262" s="654"/>
      <c r="E262" s="657"/>
      <c r="F262" s="656"/>
      <c r="G262" s="654"/>
      <c r="H262" s="655"/>
      <c r="I262" s="657"/>
      <c r="J262" s="656"/>
      <c r="K262" s="654"/>
      <c r="L262" s="655"/>
    </row>
    <row r="263" spans="1:12" x14ac:dyDescent="0.25">
      <c r="A263" s="189">
        <f t="shared" si="103"/>
        <v>0</v>
      </c>
      <c r="B263" s="55"/>
      <c r="C263" s="654"/>
      <c r="D263" s="654"/>
      <c r="E263" s="657"/>
      <c r="F263" s="656"/>
      <c r="G263" s="654"/>
      <c r="H263" s="655"/>
      <c r="I263" s="657"/>
      <c r="J263" s="656"/>
      <c r="K263" s="654"/>
      <c r="L263" s="655"/>
    </row>
    <row r="264" spans="1:12" x14ac:dyDescent="0.25">
      <c r="A264" s="189">
        <f t="shared" si="103"/>
        <v>0</v>
      </c>
      <c r="B264" s="55"/>
      <c r="C264" s="654"/>
      <c r="D264" s="654"/>
      <c r="E264" s="657"/>
      <c r="F264" s="656"/>
      <c r="G264" s="654"/>
      <c r="H264" s="655"/>
      <c r="I264" s="657"/>
      <c r="J264" s="656"/>
      <c r="K264" s="654"/>
      <c r="L264" s="655"/>
    </row>
    <row r="265" spans="1:12" ht="15" customHeight="1" x14ac:dyDescent="0.25">
      <c r="A265" s="189" t="str">
        <f t="shared" si="103"/>
        <v>Vote 9 - [NAME OF VOTE 9]</v>
      </c>
      <c r="B265" s="55"/>
      <c r="C265" s="592">
        <f t="shared" ref="C265:L265" si="106">SUM(C266:C275)</f>
        <v>0</v>
      </c>
      <c r="D265" s="592">
        <f t="shared" si="106"/>
        <v>0</v>
      </c>
      <c r="E265" s="595">
        <f t="shared" si="106"/>
        <v>0</v>
      </c>
      <c r="F265" s="594">
        <f t="shared" si="106"/>
        <v>0</v>
      </c>
      <c r="G265" s="592">
        <f t="shared" si="106"/>
        <v>0</v>
      </c>
      <c r="H265" s="595">
        <f t="shared" si="106"/>
        <v>0</v>
      </c>
      <c r="I265" s="593">
        <f t="shared" si="106"/>
        <v>0</v>
      </c>
      <c r="J265" s="594">
        <f t="shared" si="106"/>
        <v>0</v>
      </c>
      <c r="K265" s="592">
        <f t="shared" si="106"/>
        <v>0</v>
      </c>
      <c r="L265" s="595">
        <f t="shared" si="106"/>
        <v>0</v>
      </c>
    </row>
    <row r="266" spans="1:12" x14ac:dyDescent="0.25">
      <c r="A266" s="189" t="str">
        <f t="shared" si="103"/>
        <v>9.1 - [Name of sub-vote]</v>
      </c>
      <c r="B266" s="55"/>
      <c r="C266" s="654"/>
      <c r="D266" s="654"/>
      <c r="E266" s="657"/>
      <c r="F266" s="656"/>
      <c r="G266" s="654"/>
      <c r="H266" s="655"/>
      <c r="I266" s="657"/>
      <c r="J266" s="656"/>
      <c r="K266" s="654"/>
      <c r="L266" s="655"/>
    </row>
    <row r="267" spans="1:12" x14ac:dyDescent="0.25">
      <c r="A267" s="189">
        <f t="shared" si="103"/>
        <v>0</v>
      </c>
      <c r="B267" s="55"/>
      <c r="C267" s="654"/>
      <c r="D267" s="654"/>
      <c r="E267" s="657"/>
      <c r="F267" s="656"/>
      <c r="G267" s="654"/>
      <c r="H267" s="655"/>
      <c r="I267" s="657"/>
      <c r="J267" s="656"/>
      <c r="K267" s="654"/>
      <c r="L267" s="655"/>
    </row>
    <row r="268" spans="1:12" x14ac:dyDescent="0.25">
      <c r="A268" s="189">
        <f t="shared" si="103"/>
        <v>0</v>
      </c>
      <c r="B268" s="55"/>
      <c r="C268" s="654"/>
      <c r="D268" s="654"/>
      <c r="E268" s="657"/>
      <c r="F268" s="656"/>
      <c r="G268" s="654"/>
      <c r="H268" s="655"/>
      <c r="I268" s="657"/>
      <c r="J268" s="656"/>
      <c r="K268" s="654"/>
      <c r="L268" s="655"/>
    </row>
    <row r="269" spans="1:12" x14ac:dyDescent="0.25">
      <c r="A269" s="189">
        <f t="shared" si="103"/>
        <v>0</v>
      </c>
      <c r="B269" s="55"/>
      <c r="C269" s="654"/>
      <c r="D269" s="654"/>
      <c r="E269" s="657"/>
      <c r="F269" s="656"/>
      <c r="G269" s="654"/>
      <c r="H269" s="655"/>
      <c r="I269" s="657"/>
      <c r="J269" s="656"/>
      <c r="K269" s="654"/>
      <c r="L269" s="655"/>
    </row>
    <row r="270" spans="1:12" x14ac:dyDescent="0.25">
      <c r="A270" s="189">
        <f t="shared" si="103"/>
        <v>0</v>
      </c>
      <c r="B270" s="55"/>
      <c r="C270" s="654"/>
      <c r="D270" s="654"/>
      <c r="E270" s="657"/>
      <c r="F270" s="656"/>
      <c r="G270" s="654"/>
      <c r="H270" s="655"/>
      <c r="I270" s="657"/>
      <c r="J270" s="656"/>
      <c r="K270" s="654"/>
      <c r="L270" s="655"/>
    </row>
    <row r="271" spans="1:12" x14ac:dyDescent="0.25">
      <c r="A271" s="189">
        <f t="shared" si="103"/>
        <v>0</v>
      </c>
      <c r="B271" s="55"/>
      <c r="C271" s="654"/>
      <c r="D271" s="654"/>
      <c r="E271" s="657"/>
      <c r="F271" s="656"/>
      <c r="G271" s="654"/>
      <c r="H271" s="655"/>
      <c r="I271" s="657"/>
      <c r="J271" s="656"/>
      <c r="K271" s="654"/>
      <c r="L271" s="655"/>
    </row>
    <row r="272" spans="1:12" x14ac:dyDescent="0.25">
      <c r="A272" s="189">
        <f t="shared" ref="A272:A303" si="107">A102</f>
        <v>0</v>
      </c>
      <c r="B272" s="55"/>
      <c r="C272" s="654"/>
      <c r="D272" s="654"/>
      <c r="E272" s="657"/>
      <c r="F272" s="656"/>
      <c r="G272" s="654"/>
      <c r="H272" s="655"/>
      <c r="I272" s="657"/>
      <c r="J272" s="656"/>
      <c r="K272" s="654"/>
      <c r="L272" s="655"/>
    </row>
    <row r="273" spans="1:12" x14ac:dyDescent="0.25">
      <c r="A273" s="189">
        <f t="shared" si="107"/>
        <v>0</v>
      </c>
      <c r="B273" s="55"/>
      <c r="C273" s="654"/>
      <c r="D273" s="654"/>
      <c r="E273" s="657"/>
      <c r="F273" s="656"/>
      <c r="G273" s="654"/>
      <c r="H273" s="655"/>
      <c r="I273" s="657"/>
      <c r="J273" s="656"/>
      <c r="K273" s="654"/>
      <c r="L273" s="655"/>
    </row>
    <row r="274" spans="1:12" x14ac:dyDescent="0.25">
      <c r="A274" s="189">
        <f t="shared" si="107"/>
        <v>0</v>
      </c>
      <c r="B274" s="55"/>
      <c r="C274" s="654"/>
      <c r="D274" s="654"/>
      <c r="E274" s="657"/>
      <c r="F274" s="656"/>
      <c r="G274" s="654"/>
      <c r="H274" s="655"/>
      <c r="I274" s="657"/>
      <c r="J274" s="656"/>
      <c r="K274" s="654"/>
      <c r="L274" s="655"/>
    </row>
    <row r="275" spans="1:12" x14ac:dyDescent="0.25">
      <c r="A275" s="189">
        <f t="shared" si="107"/>
        <v>0</v>
      </c>
      <c r="B275" s="55"/>
      <c r="C275" s="654"/>
      <c r="D275" s="654"/>
      <c r="E275" s="657"/>
      <c r="F275" s="656"/>
      <c r="G275" s="654"/>
      <c r="H275" s="655"/>
      <c r="I275" s="657"/>
      <c r="J275" s="656"/>
      <c r="K275" s="654"/>
      <c r="L275" s="655"/>
    </row>
    <row r="276" spans="1:12" ht="15" customHeight="1" x14ac:dyDescent="0.25">
      <c r="A276" s="189" t="str">
        <f t="shared" si="107"/>
        <v>Vote 10 - [NAME OF VOTE 10]</v>
      </c>
      <c r="B276" s="55"/>
      <c r="C276" s="592">
        <f t="shared" ref="C276:L276" si="108">SUM(C277:C286)</f>
        <v>0</v>
      </c>
      <c r="D276" s="592">
        <f t="shared" si="108"/>
        <v>0</v>
      </c>
      <c r="E276" s="595">
        <f t="shared" si="108"/>
        <v>0</v>
      </c>
      <c r="F276" s="594">
        <f t="shared" si="108"/>
        <v>0</v>
      </c>
      <c r="G276" s="592">
        <f t="shared" si="108"/>
        <v>0</v>
      </c>
      <c r="H276" s="595">
        <f t="shared" si="108"/>
        <v>0</v>
      </c>
      <c r="I276" s="593">
        <f t="shared" si="108"/>
        <v>0</v>
      </c>
      <c r="J276" s="594">
        <f t="shared" si="108"/>
        <v>0</v>
      </c>
      <c r="K276" s="592">
        <f t="shared" si="108"/>
        <v>0</v>
      </c>
      <c r="L276" s="595">
        <f t="shared" si="108"/>
        <v>0</v>
      </c>
    </row>
    <row r="277" spans="1:12" x14ac:dyDescent="0.25">
      <c r="A277" s="189" t="str">
        <f t="shared" si="107"/>
        <v>10.1 - [Name of sub-vote]</v>
      </c>
      <c r="B277" s="55"/>
      <c r="C277" s="654"/>
      <c r="D277" s="654"/>
      <c r="E277" s="657"/>
      <c r="F277" s="656"/>
      <c r="G277" s="654"/>
      <c r="H277" s="655"/>
      <c r="I277" s="657"/>
      <c r="J277" s="656"/>
      <c r="K277" s="654"/>
      <c r="L277" s="655"/>
    </row>
    <row r="278" spans="1:12" x14ac:dyDescent="0.25">
      <c r="A278" s="189">
        <f t="shared" si="107"/>
        <v>0</v>
      </c>
      <c r="B278" s="55"/>
      <c r="C278" s="654"/>
      <c r="D278" s="654"/>
      <c r="E278" s="657"/>
      <c r="F278" s="656"/>
      <c r="G278" s="654"/>
      <c r="H278" s="655"/>
      <c r="I278" s="657"/>
      <c r="J278" s="656"/>
      <c r="K278" s="654"/>
      <c r="L278" s="655"/>
    </row>
    <row r="279" spans="1:12" x14ac:dyDescent="0.25">
      <c r="A279" s="189">
        <f t="shared" si="107"/>
        <v>0</v>
      </c>
      <c r="B279" s="55"/>
      <c r="C279" s="654"/>
      <c r="D279" s="654"/>
      <c r="E279" s="657"/>
      <c r="F279" s="656"/>
      <c r="G279" s="654"/>
      <c r="H279" s="655"/>
      <c r="I279" s="657"/>
      <c r="J279" s="656"/>
      <c r="K279" s="654"/>
      <c r="L279" s="655"/>
    </row>
    <row r="280" spans="1:12" x14ac:dyDescent="0.25">
      <c r="A280" s="189">
        <f t="shared" si="107"/>
        <v>0</v>
      </c>
      <c r="B280" s="55"/>
      <c r="C280" s="654"/>
      <c r="D280" s="654"/>
      <c r="E280" s="657"/>
      <c r="F280" s="656"/>
      <c r="G280" s="654"/>
      <c r="H280" s="655"/>
      <c r="I280" s="657"/>
      <c r="J280" s="656"/>
      <c r="K280" s="654"/>
      <c r="L280" s="655"/>
    </row>
    <row r="281" spans="1:12" x14ac:dyDescent="0.25">
      <c r="A281" s="189">
        <f t="shared" si="107"/>
        <v>0</v>
      </c>
      <c r="B281" s="55"/>
      <c r="C281" s="654"/>
      <c r="D281" s="654"/>
      <c r="E281" s="657"/>
      <c r="F281" s="656"/>
      <c r="G281" s="654"/>
      <c r="H281" s="655"/>
      <c r="I281" s="657"/>
      <c r="J281" s="656"/>
      <c r="K281" s="654"/>
      <c r="L281" s="655"/>
    </row>
    <row r="282" spans="1:12" x14ac:dyDescent="0.25">
      <c r="A282" s="189">
        <f t="shared" si="107"/>
        <v>0</v>
      </c>
      <c r="B282" s="55"/>
      <c r="C282" s="654"/>
      <c r="D282" s="654"/>
      <c r="E282" s="657"/>
      <c r="F282" s="656"/>
      <c r="G282" s="654"/>
      <c r="H282" s="655"/>
      <c r="I282" s="657"/>
      <c r="J282" s="656"/>
      <c r="K282" s="654"/>
      <c r="L282" s="655"/>
    </row>
    <row r="283" spans="1:12" x14ac:dyDescent="0.25">
      <c r="A283" s="189">
        <f t="shared" si="107"/>
        <v>0</v>
      </c>
      <c r="B283" s="55"/>
      <c r="C283" s="654"/>
      <c r="D283" s="654"/>
      <c r="E283" s="657"/>
      <c r="F283" s="656"/>
      <c r="G283" s="654"/>
      <c r="H283" s="655"/>
      <c r="I283" s="657"/>
      <c r="J283" s="656"/>
      <c r="K283" s="654"/>
      <c r="L283" s="655"/>
    </row>
    <row r="284" spans="1:12" x14ac:dyDescent="0.25">
      <c r="A284" s="189">
        <f t="shared" si="107"/>
        <v>0</v>
      </c>
      <c r="B284" s="55"/>
      <c r="C284" s="654"/>
      <c r="D284" s="654"/>
      <c r="E284" s="657"/>
      <c r="F284" s="656"/>
      <c r="G284" s="654"/>
      <c r="H284" s="655"/>
      <c r="I284" s="657"/>
      <c r="J284" s="656"/>
      <c r="K284" s="654"/>
      <c r="L284" s="655"/>
    </row>
    <row r="285" spans="1:12" x14ac:dyDescent="0.25">
      <c r="A285" s="189">
        <f t="shared" si="107"/>
        <v>0</v>
      </c>
      <c r="B285" s="55"/>
      <c r="C285" s="654"/>
      <c r="D285" s="654"/>
      <c r="E285" s="657"/>
      <c r="F285" s="656"/>
      <c r="G285" s="654"/>
      <c r="H285" s="655"/>
      <c r="I285" s="657"/>
      <c r="J285" s="656"/>
      <c r="K285" s="654"/>
      <c r="L285" s="655"/>
    </row>
    <row r="286" spans="1:12" x14ac:dyDescent="0.25">
      <c r="A286" s="189">
        <f t="shared" si="107"/>
        <v>0</v>
      </c>
      <c r="B286" s="55"/>
      <c r="C286" s="654"/>
      <c r="D286" s="654"/>
      <c r="E286" s="657"/>
      <c r="F286" s="656"/>
      <c r="G286" s="654"/>
      <c r="H286" s="655"/>
      <c r="I286" s="657"/>
      <c r="J286" s="656"/>
      <c r="K286" s="654"/>
      <c r="L286" s="655"/>
    </row>
    <row r="287" spans="1:12" ht="15" customHeight="1" x14ac:dyDescent="0.25">
      <c r="A287" s="189" t="str">
        <f t="shared" si="107"/>
        <v>Vote 11 - [NAME OF VOTE 11]</v>
      </c>
      <c r="B287" s="55"/>
      <c r="C287" s="592">
        <f t="shared" ref="C287:L287" si="109">SUM(C288:C297)</f>
        <v>0</v>
      </c>
      <c r="D287" s="592">
        <f t="shared" si="109"/>
        <v>0</v>
      </c>
      <c r="E287" s="595">
        <f t="shared" si="109"/>
        <v>0</v>
      </c>
      <c r="F287" s="594">
        <f t="shared" si="109"/>
        <v>0</v>
      </c>
      <c r="G287" s="592">
        <f t="shared" si="109"/>
        <v>0</v>
      </c>
      <c r="H287" s="595">
        <f t="shared" si="109"/>
        <v>0</v>
      </c>
      <c r="I287" s="593">
        <f t="shared" si="109"/>
        <v>0</v>
      </c>
      <c r="J287" s="594">
        <f t="shared" si="109"/>
        <v>0</v>
      </c>
      <c r="K287" s="592">
        <f t="shared" si="109"/>
        <v>0</v>
      </c>
      <c r="L287" s="595">
        <f t="shared" si="109"/>
        <v>0</v>
      </c>
    </row>
    <row r="288" spans="1:12" x14ac:dyDescent="0.25">
      <c r="A288" s="189" t="str">
        <f t="shared" si="107"/>
        <v>11.1 - [Name of sub-vote]</v>
      </c>
      <c r="B288" s="55"/>
      <c r="C288" s="654"/>
      <c r="D288" s="654"/>
      <c r="E288" s="657"/>
      <c r="F288" s="656"/>
      <c r="G288" s="654"/>
      <c r="H288" s="655"/>
      <c r="I288" s="657"/>
      <c r="J288" s="656"/>
      <c r="K288" s="654"/>
      <c r="L288" s="655"/>
    </row>
    <row r="289" spans="1:12" x14ac:dyDescent="0.25">
      <c r="A289" s="189">
        <f t="shared" si="107"/>
        <v>0</v>
      </c>
      <c r="B289" s="55"/>
      <c r="C289" s="654"/>
      <c r="D289" s="654"/>
      <c r="E289" s="657"/>
      <c r="F289" s="656"/>
      <c r="G289" s="654"/>
      <c r="H289" s="655"/>
      <c r="I289" s="657"/>
      <c r="J289" s="656"/>
      <c r="K289" s="654"/>
      <c r="L289" s="655"/>
    </row>
    <row r="290" spans="1:12" x14ac:dyDescent="0.25">
      <c r="A290" s="189">
        <f t="shared" si="107"/>
        <v>0</v>
      </c>
      <c r="B290" s="55"/>
      <c r="C290" s="654"/>
      <c r="D290" s="654"/>
      <c r="E290" s="657"/>
      <c r="F290" s="656"/>
      <c r="G290" s="654"/>
      <c r="H290" s="655"/>
      <c r="I290" s="657"/>
      <c r="J290" s="656"/>
      <c r="K290" s="654"/>
      <c r="L290" s="655"/>
    </row>
    <row r="291" spans="1:12" x14ac:dyDescent="0.25">
      <c r="A291" s="189">
        <f t="shared" si="107"/>
        <v>0</v>
      </c>
      <c r="B291" s="55"/>
      <c r="C291" s="654"/>
      <c r="D291" s="654"/>
      <c r="E291" s="657"/>
      <c r="F291" s="656"/>
      <c r="G291" s="654"/>
      <c r="H291" s="655"/>
      <c r="I291" s="657"/>
      <c r="J291" s="656"/>
      <c r="K291" s="654"/>
      <c r="L291" s="655"/>
    </row>
    <row r="292" spans="1:12" x14ac:dyDescent="0.25">
      <c r="A292" s="189">
        <f t="shared" si="107"/>
        <v>0</v>
      </c>
      <c r="B292" s="55"/>
      <c r="C292" s="654"/>
      <c r="D292" s="654"/>
      <c r="E292" s="657"/>
      <c r="F292" s="656"/>
      <c r="G292" s="654"/>
      <c r="H292" s="655"/>
      <c r="I292" s="657"/>
      <c r="J292" s="656"/>
      <c r="K292" s="654"/>
      <c r="L292" s="655"/>
    </row>
    <row r="293" spans="1:12" x14ac:dyDescent="0.25">
      <c r="A293" s="189">
        <f t="shared" si="107"/>
        <v>0</v>
      </c>
      <c r="B293" s="55"/>
      <c r="C293" s="654"/>
      <c r="D293" s="654"/>
      <c r="E293" s="657"/>
      <c r="F293" s="656"/>
      <c r="G293" s="654"/>
      <c r="H293" s="655"/>
      <c r="I293" s="657"/>
      <c r="J293" s="656"/>
      <c r="K293" s="654"/>
      <c r="L293" s="655"/>
    </row>
    <row r="294" spans="1:12" x14ac:dyDescent="0.25">
      <c r="A294" s="189">
        <f t="shared" si="107"/>
        <v>0</v>
      </c>
      <c r="B294" s="55"/>
      <c r="C294" s="654"/>
      <c r="D294" s="654"/>
      <c r="E294" s="657"/>
      <c r="F294" s="656"/>
      <c r="G294" s="654"/>
      <c r="H294" s="655"/>
      <c r="I294" s="657"/>
      <c r="J294" s="656"/>
      <c r="K294" s="654"/>
      <c r="L294" s="655"/>
    </row>
    <row r="295" spans="1:12" x14ac:dyDescent="0.25">
      <c r="A295" s="189">
        <f t="shared" si="107"/>
        <v>0</v>
      </c>
      <c r="B295" s="55"/>
      <c r="C295" s="654"/>
      <c r="D295" s="654"/>
      <c r="E295" s="657"/>
      <c r="F295" s="656"/>
      <c r="G295" s="654"/>
      <c r="H295" s="655"/>
      <c r="I295" s="657"/>
      <c r="J295" s="656"/>
      <c r="K295" s="654"/>
      <c r="L295" s="655"/>
    </row>
    <row r="296" spans="1:12" x14ac:dyDescent="0.25">
      <c r="A296" s="189">
        <f t="shared" si="107"/>
        <v>0</v>
      </c>
      <c r="B296" s="55"/>
      <c r="C296" s="654"/>
      <c r="D296" s="654"/>
      <c r="E296" s="657"/>
      <c r="F296" s="656"/>
      <c r="G296" s="654"/>
      <c r="H296" s="655"/>
      <c r="I296" s="657"/>
      <c r="J296" s="656"/>
      <c r="K296" s="654"/>
      <c r="L296" s="655"/>
    </row>
    <row r="297" spans="1:12" x14ac:dyDescent="0.25">
      <c r="A297" s="189">
        <f t="shared" si="107"/>
        <v>0</v>
      </c>
      <c r="B297" s="55"/>
      <c r="C297" s="654"/>
      <c r="D297" s="654"/>
      <c r="E297" s="657"/>
      <c r="F297" s="656"/>
      <c r="G297" s="654"/>
      <c r="H297" s="655"/>
      <c r="I297" s="657"/>
      <c r="J297" s="656"/>
      <c r="K297" s="654"/>
      <c r="L297" s="655"/>
    </row>
    <row r="298" spans="1:12" ht="15" customHeight="1" x14ac:dyDescent="0.25">
      <c r="A298" s="189" t="str">
        <f t="shared" si="107"/>
        <v>Vote 12 - [NAME OF VOTE 12]</v>
      </c>
      <c r="B298" s="55"/>
      <c r="C298" s="592">
        <f t="shared" ref="C298:L298" si="110">SUM(C299:C308)</f>
        <v>0</v>
      </c>
      <c r="D298" s="592">
        <f t="shared" si="110"/>
        <v>0</v>
      </c>
      <c r="E298" s="595">
        <f t="shared" si="110"/>
        <v>0</v>
      </c>
      <c r="F298" s="594">
        <f t="shared" si="110"/>
        <v>0</v>
      </c>
      <c r="G298" s="592">
        <f t="shared" si="110"/>
        <v>0</v>
      </c>
      <c r="H298" s="595">
        <f t="shared" si="110"/>
        <v>0</v>
      </c>
      <c r="I298" s="593">
        <f t="shared" si="110"/>
        <v>0</v>
      </c>
      <c r="J298" s="594">
        <f t="shared" si="110"/>
        <v>0</v>
      </c>
      <c r="K298" s="592">
        <f t="shared" si="110"/>
        <v>0</v>
      </c>
      <c r="L298" s="595">
        <f t="shared" si="110"/>
        <v>0</v>
      </c>
    </row>
    <row r="299" spans="1:12" x14ac:dyDescent="0.25">
      <c r="A299" s="189" t="str">
        <f t="shared" si="107"/>
        <v>12.1 - [Name of sub-vote]</v>
      </c>
      <c r="B299" s="55"/>
      <c r="C299" s="654"/>
      <c r="D299" s="654"/>
      <c r="E299" s="657"/>
      <c r="F299" s="656"/>
      <c r="G299" s="654"/>
      <c r="H299" s="655"/>
      <c r="I299" s="657"/>
      <c r="J299" s="656"/>
      <c r="K299" s="654"/>
      <c r="L299" s="655"/>
    </row>
    <row r="300" spans="1:12" x14ac:dyDescent="0.25">
      <c r="A300" s="189">
        <f t="shared" si="107"/>
        <v>0</v>
      </c>
      <c r="B300" s="55"/>
      <c r="C300" s="654"/>
      <c r="D300" s="654"/>
      <c r="E300" s="657"/>
      <c r="F300" s="656"/>
      <c r="G300" s="654"/>
      <c r="H300" s="655"/>
      <c r="I300" s="657"/>
      <c r="J300" s="656"/>
      <c r="K300" s="654"/>
      <c r="L300" s="655"/>
    </row>
    <row r="301" spans="1:12" x14ac:dyDescent="0.25">
      <c r="A301" s="189">
        <f t="shared" si="107"/>
        <v>0</v>
      </c>
      <c r="B301" s="55"/>
      <c r="C301" s="654"/>
      <c r="D301" s="654"/>
      <c r="E301" s="657"/>
      <c r="F301" s="656"/>
      <c r="G301" s="654"/>
      <c r="H301" s="655"/>
      <c r="I301" s="657"/>
      <c r="J301" s="656"/>
      <c r="K301" s="654"/>
      <c r="L301" s="655"/>
    </row>
    <row r="302" spans="1:12" x14ac:dyDescent="0.25">
      <c r="A302" s="189">
        <f t="shared" si="107"/>
        <v>0</v>
      </c>
      <c r="B302" s="55"/>
      <c r="C302" s="654"/>
      <c r="D302" s="654"/>
      <c r="E302" s="657"/>
      <c r="F302" s="656"/>
      <c r="G302" s="654"/>
      <c r="H302" s="655"/>
      <c r="I302" s="657"/>
      <c r="J302" s="656"/>
      <c r="K302" s="654"/>
      <c r="L302" s="655"/>
    </row>
    <row r="303" spans="1:12" x14ac:dyDescent="0.25">
      <c r="A303" s="189">
        <f t="shared" si="107"/>
        <v>0</v>
      </c>
      <c r="B303" s="55"/>
      <c r="C303" s="654"/>
      <c r="D303" s="654"/>
      <c r="E303" s="657"/>
      <c r="F303" s="656"/>
      <c r="G303" s="654"/>
      <c r="H303" s="655"/>
      <c r="I303" s="657"/>
      <c r="J303" s="656"/>
      <c r="K303" s="654"/>
      <c r="L303" s="655"/>
    </row>
    <row r="304" spans="1:12" x14ac:dyDescent="0.25">
      <c r="A304" s="189">
        <f t="shared" ref="A304:A335" si="111">A134</f>
        <v>0</v>
      </c>
      <c r="B304" s="55"/>
      <c r="C304" s="654"/>
      <c r="D304" s="654"/>
      <c r="E304" s="657"/>
      <c r="F304" s="656"/>
      <c r="G304" s="654"/>
      <c r="H304" s="655"/>
      <c r="I304" s="657"/>
      <c r="J304" s="656"/>
      <c r="K304" s="654"/>
      <c r="L304" s="655"/>
    </row>
    <row r="305" spans="1:12" x14ac:dyDescent="0.25">
      <c r="A305" s="189">
        <f t="shared" si="111"/>
        <v>0</v>
      </c>
      <c r="B305" s="55"/>
      <c r="C305" s="654"/>
      <c r="D305" s="654"/>
      <c r="E305" s="657"/>
      <c r="F305" s="656"/>
      <c r="G305" s="654"/>
      <c r="H305" s="655"/>
      <c r="I305" s="657"/>
      <c r="J305" s="656"/>
      <c r="K305" s="654"/>
      <c r="L305" s="655"/>
    </row>
    <row r="306" spans="1:12" x14ac:dyDescent="0.25">
      <c r="A306" s="189">
        <f t="shared" si="111"/>
        <v>0</v>
      </c>
      <c r="B306" s="55"/>
      <c r="C306" s="654"/>
      <c r="D306" s="654"/>
      <c r="E306" s="657"/>
      <c r="F306" s="656"/>
      <c r="G306" s="654"/>
      <c r="H306" s="655"/>
      <c r="I306" s="657"/>
      <c r="J306" s="656"/>
      <c r="K306" s="654"/>
      <c r="L306" s="655"/>
    </row>
    <row r="307" spans="1:12" x14ac:dyDescent="0.25">
      <c r="A307" s="189">
        <f t="shared" si="111"/>
        <v>0</v>
      </c>
      <c r="B307" s="55"/>
      <c r="C307" s="654"/>
      <c r="D307" s="654"/>
      <c r="E307" s="657"/>
      <c r="F307" s="656"/>
      <c r="G307" s="654"/>
      <c r="H307" s="655"/>
      <c r="I307" s="657"/>
      <c r="J307" s="656"/>
      <c r="K307" s="654"/>
      <c r="L307" s="655"/>
    </row>
    <row r="308" spans="1:12" x14ac:dyDescent="0.25">
      <c r="A308" s="189">
        <f t="shared" si="111"/>
        <v>0</v>
      </c>
      <c r="B308" s="55"/>
      <c r="C308" s="654"/>
      <c r="D308" s="654"/>
      <c r="E308" s="657"/>
      <c r="F308" s="656"/>
      <c r="G308" s="654"/>
      <c r="H308" s="655"/>
      <c r="I308" s="657"/>
      <c r="J308" s="656"/>
      <c r="K308" s="654"/>
      <c r="L308" s="655"/>
    </row>
    <row r="309" spans="1:12" ht="15" customHeight="1" x14ac:dyDescent="0.25">
      <c r="A309" s="189" t="str">
        <f t="shared" si="111"/>
        <v>Vote 13 - [NAME OF VOTE 13]</v>
      </c>
      <c r="B309" s="55"/>
      <c r="C309" s="592">
        <f t="shared" ref="C309:L309" si="112">SUM(C310:C319)</f>
        <v>0</v>
      </c>
      <c r="D309" s="592">
        <f t="shared" si="112"/>
        <v>0</v>
      </c>
      <c r="E309" s="595">
        <f t="shared" si="112"/>
        <v>0</v>
      </c>
      <c r="F309" s="594">
        <f t="shared" si="112"/>
        <v>0</v>
      </c>
      <c r="G309" s="592">
        <f t="shared" si="112"/>
        <v>0</v>
      </c>
      <c r="H309" s="595">
        <f t="shared" si="112"/>
        <v>0</v>
      </c>
      <c r="I309" s="593">
        <f t="shared" si="112"/>
        <v>0</v>
      </c>
      <c r="J309" s="594">
        <f t="shared" si="112"/>
        <v>0</v>
      </c>
      <c r="K309" s="592">
        <f t="shared" si="112"/>
        <v>0</v>
      </c>
      <c r="L309" s="595">
        <f t="shared" si="112"/>
        <v>0</v>
      </c>
    </row>
    <row r="310" spans="1:12" x14ac:dyDescent="0.25">
      <c r="A310" s="189" t="str">
        <f t="shared" si="111"/>
        <v>13.1 - [Name of sub-vote]</v>
      </c>
      <c r="B310" s="55"/>
      <c r="C310" s="654"/>
      <c r="D310" s="654"/>
      <c r="E310" s="657"/>
      <c r="F310" s="656"/>
      <c r="G310" s="654"/>
      <c r="H310" s="655"/>
      <c r="I310" s="657"/>
      <c r="J310" s="656"/>
      <c r="K310" s="654"/>
      <c r="L310" s="655"/>
    </row>
    <row r="311" spans="1:12" x14ac:dyDescent="0.25">
      <c r="A311" s="189">
        <f t="shared" si="111"/>
        <v>0</v>
      </c>
      <c r="B311" s="55"/>
      <c r="C311" s="654"/>
      <c r="D311" s="654"/>
      <c r="E311" s="657"/>
      <c r="F311" s="656"/>
      <c r="G311" s="654"/>
      <c r="H311" s="655"/>
      <c r="I311" s="657"/>
      <c r="J311" s="656"/>
      <c r="K311" s="654"/>
      <c r="L311" s="655"/>
    </row>
    <row r="312" spans="1:12" x14ac:dyDescent="0.25">
      <c r="A312" s="189">
        <f t="shared" si="111"/>
        <v>0</v>
      </c>
      <c r="B312" s="55"/>
      <c r="C312" s="654"/>
      <c r="D312" s="654"/>
      <c r="E312" s="657"/>
      <c r="F312" s="656"/>
      <c r="G312" s="654"/>
      <c r="H312" s="655"/>
      <c r="I312" s="657"/>
      <c r="J312" s="656"/>
      <c r="K312" s="654"/>
      <c r="L312" s="655"/>
    </row>
    <row r="313" spans="1:12" x14ac:dyDescent="0.25">
      <c r="A313" s="189">
        <f t="shared" si="111"/>
        <v>0</v>
      </c>
      <c r="B313" s="55"/>
      <c r="C313" s="654"/>
      <c r="D313" s="654"/>
      <c r="E313" s="657"/>
      <c r="F313" s="656"/>
      <c r="G313" s="654"/>
      <c r="H313" s="655"/>
      <c r="I313" s="657"/>
      <c r="J313" s="656"/>
      <c r="K313" s="654"/>
      <c r="L313" s="655"/>
    </row>
    <row r="314" spans="1:12" x14ac:dyDescent="0.25">
      <c r="A314" s="189">
        <f t="shared" si="111"/>
        <v>0</v>
      </c>
      <c r="B314" s="55"/>
      <c r="C314" s="654"/>
      <c r="D314" s="654"/>
      <c r="E314" s="657"/>
      <c r="F314" s="656"/>
      <c r="G314" s="654"/>
      <c r="H314" s="655"/>
      <c r="I314" s="657"/>
      <c r="J314" s="656"/>
      <c r="K314" s="654"/>
      <c r="L314" s="655"/>
    </row>
    <row r="315" spans="1:12" x14ac:dyDescent="0.25">
      <c r="A315" s="189">
        <f t="shared" si="111"/>
        <v>0</v>
      </c>
      <c r="B315" s="55"/>
      <c r="C315" s="654"/>
      <c r="D315" s="654"/>
      <c r="E315" s="657"/>
      <c r="F315" s="656"/>
      <c r="G315" s="654"/>
      <c r="H315" s="655"/>
      <c r="I315" s="657"/>
      <c r="J315" s="656"/>
      <c r="K315" s="654"/>
      <c r="L315" s="655"/>
    </row>
    <row r="316" spans="1:12" x14ac:dyDescent="0.25">
      <c r="A316" s="189">
        <f t="shared" si="111"/>
        <v>0</v>
      </c>
      <c r="B316" s="55"/>
      <c r="C316" s="654"/>
      <c r="D316" s="654"/>
      <c r="E316" s="657"/>
      <c r="F316" s="656"/>
      <c r="G316" s="654"/>
      <c r="H316" s="655"/>
      <c r="I316" s="657"/>
      <c r="J316" s="656"/>
      <c r="K316" s="654"/>
      <c r="L316" s="655"/>
    </row>
    <row r="317" spans="1:12" x14ac:dyDescent="0.25">
      <c r="A317" s="189">
        <f t="shared" si="111"/>
        <v>0</v>
      </c>
      <c r="B317" s="55"/>
      <c r="C317" s="654"/>
      <c r="D317" s="654"/>
      <c r="E317" s="657"/>
      <c r="F317" s="656"/>
      <c r="G317" s="654"/>
      <c r="H317" s="655"/>
      <c r="I317" s="657"/>
      <c r="J317" s="656"/>
      <c r="K317" s="654"/>
      <c r="L317" s="655"/>
    </row>
    <row r="318" spans="1:12" x14ac:dyDescent="0.25">
      <c r="A318" s="189">
        <f t="shared" si="111"/>
        <v>0</v>
      </c>
      <c r="B318" s="55"/>
      <c r="C318" s="654"/>
      <c r="D318" s="654"/>
      <c r="E318" s="657"/>
      <c r="F318" s="656"/>
      <c r="G318" s="654"/>
      <c r="H318" s="655"/>
      <c r="I318" s="657"/>
      <c r="J318" s="656"/>
      <c r="K318" s="654"/>
      <c r="L318" s="655"/>
    </row>
    <row r="319" spans="1:12" x14ac:dyDescent="0.25">
      <c r="A319" s="189">
        <f t="shared" si="111"/>
        <v>0</v>
      </c>
      <c r="B319" s="55"/>
      <c r="C319" s="654"/>
      <c r="D319" s="654"/>
      <c r="E319" s="657"/>
      <c r="F319" s="656"/>
      <c r="G319" s="654"/>
      <c r="H319" s="655"/>
      <c r="I319" s="657"/>
      <c r="J319" s="656"/>
      <c r="K319" s="654"/>
      <c r="L319" s="655"/>
    </row>
    <row r="320" spans="1:12" ht="15" customHeight="1" x14ac:dyDescent="0.25">
      <c r="A320" s="189" t="str">
        <f t="shared" si="111"/>
        <v>Vote 14 - [NAME OF VOTE 14]</v>
      </c>
      <c r="B320" s="55"/>
      <c r="C320" s="592">
        <f t="shared" ref="C320:L320" si="113">SUM(C321:C330)</f>
        <v>0</v>
      </c>
      <c r="D320" s="592">
        <f t="shared" si="113"/>
        <v>0</v>
      </c>
      <c r="E320" s="595">
        <f t="shared" si="113"/>
        <v>0</v>
      </c>
      <c r="F320" s="594">
        <f t="shared" si="113"/>
        <v>0</v>
      </c>
      <c r="G320" s="592">
        <f t="shared" si="113"/>
        <v>0</v>
      </c>
      <c r="H320" s="595">
        <f t="shared" si="113"/>
        <v>0</v>
      </c>
      <c r="I320" s="593">
        <f t="shared" si="113"/>
        <v>0</v>
      </c>
      <c r="J320" s="594">
        <f t="shared" si="113"/>
        <v>0</v>
      </c>
      <c r="K320" s="592">
        <f t="shared" si="113"/>
        <v>0</v>
      </c>
      <c r="L320" s="595">
        <f t="shared" si="113"/>
        <v>0</v>
      </c>
    </row>
    <row r="321" spans="1:12" x14ac:dyDescent="0.25">
      <c r="A321" s="189" t="str">
        <f t="shared" si="111"/>
        <v>14.1 - [Name of sub-vote]</v>
      </c>
      <c r="B321" s="55"/>
      <c r="C321" s="654"/>
      <c r="D321" s="654"/>
      <c r="E321" s="657"/>
      <c r="F321" s="656"/>
      <c r="G321" s="654"/>
      <c r="H321" s="655"/>
      <c r="I321" s="657"/>
      <c r="J321" s="656"/>
      <c r="K321" s="654"/>
      <c r="L321" s="655"/>
    </row>
    <row r="322" spans="1:12" x14ac:dyDescent="0.25">
      <c r="A322" s="189">
        <f t="shared" si="111"/>
        <v>0</v>
      </c>
      <c r="B322" s="55"/>
      <c r="C322" s="654"/>
      <c r="D322" s="654"/>
      <c r="E322" s="657"/>
      <c r="F322" s="656"/>
      <c r="G322" s="654"/>
      <c r="H322" s="655"/>
      <c r="I322" s="657"/>
      <c r="J322" s="656"/>
      <c r="K322" s="654"/>
      <c r="L322" s="655"/>
    </row>
    <row r="323" spans="1:12" x14ac:dyDescent="0.25">
      <c r="A323" s="189">
        <f t="shared" si="111"/>
        <v>0</v>
      </c>
      <c r="B323" s="55"/>
      <c r="C323" s="654"/>
      <c r="D323" s="654"/>
      <c r="E323" s="657"/>
      <c r="F323" s="656"/>
      <c r="G323" s="654"/>
      <c r="H323" s="655"/>
      <c r="I323" s="657"/>
      <c r="J323" s="656"/>
      <c r="K323" s="654"/>
      <c r="L323" s="655"/>
    </row>
    <row r="324" spans="1:12" x14ac:dyDescent="0.25">
      <c r="A324" s="189">
        <f t="shared" si="111"/>
        <v>0</v>
      </c>
      <c r="B324" s="55"/>
      <c r="C324" s="654"/>
      <c r="D324" s="654"/>
      <c r="E324" s="657"/>
      <c r="F324" s="656"/>
      <c r="G324" s="654"/>
      <c r="H324" s="655"/>
      <c r="I324" s="657"/>
      <c r="J324" s="656"/>
      <c r="K324" s="654"/>
      <c r="L324" s="655"/>
    </row>
    <row r="325" spans="1:12" x14ac:dyDescent="0.25">
      <c r="A325" s="189">
        <f t="shared" si="111"/>
        <v>0</v>
      </c>
      <c r="B325" s="55"/>
      <c r="C325" s="654"/>
      <c r="D325" s="654"/>
      <c r="E325" s="657"/>
      <c r="F325" s="656"/>
      <c r="G325" s="654"/>
      <c r="H325" s="655"/>
      <c r="I325" s="657"/>
      <c r="J325" s="656"/>
      <c r="K325" s="654"/>
      <c r="L325" s="655"/>
    </row>
    <row r="326" spans="1:12" x14ac:dyDescent="0.25">
      <c r="A326" s="189">
        <f t="shared" si="111"/>
        <v>0</v>
      </c>
      <c r="B326" s="55"/>
      <c r="C326" s="654"/>
      <c r="D326" s="654"/>
      <c r="E326" s="657"/>
      <c r="F326" s="656"/>
      <c r="G326" s="654"/>
      <c r="H326" s="655"/>
      <c r="I326" s="657"/>
      <c r="J326" s="656"/>
      <c r="K326" s="654"/>
      <c r="L326" s="655"/>
    </row>
    <row r="327" spans="1:12" x14ac:dyDescent="0.25">
      <c r="A327" s="189">
        <f t="shared" si="111"/>
        <v>0</v>
      </c>
      <c r="B327" s="55"/>
      <c r="C327" s="654"/>
      <c r="D327" s="654"/>
      <c r="E327" s="657"/>
      <c r="F327" s="656"/>
      <c r="G327" s="654"/>
      <c r="H327" s="655"/>
      <c r="I327" s="657"/>
      <c r="J327" s="656"/>
      <c r="K327" s="654"/>
      <c r="L327" s="655"/>
    </row>
    <row r="328" spans="1:12" x14ac:dyDescent="0.25">
      <c r="A328" s="189">
        <f t="shared" si="111"/>
        <v>0</v>
      </c>
      <c r="B328" s="55"/>
      <c r="C328" s="654"/>
      <c r="D328" s="654"/>
      <c r="E328" s="657"/>
      <c r="F328" s="656"/>
      <c r="G328" s="654"/>
      <c r="H328" s="655"/>
      <c r="I328" s="657"/>
      <c r="J328" s="656"/>
      <c r="K328" s="654"/>
      <c r="L328" s="655"/>
    </row>
    <row r="329" spans="1:12" x14ac:dyDescent="0.25">
      <c r="A329" s="189">
        <f t="shared" si="111"/>
        <v>0</v>
      </c>
      <c r="B329" s="55"/>
      <c r="C329" s="654"/>
      <c r="D329" s="654"/>
      <c r="E329" s="657"/>
      <c r="F329" s="656"/>
      <c r="G329" s="654"/>
      <c r="H329" s="655"/>
      <c r="I329" s="657"/>
      <c r="J329" s="656"/>
      <c r="K329" s="654"/>
      <c r="L329" s="655"/>
    </row>
    <row r="330" spans="1:12" x14ac:dyDescent="0.25">
      <c r="A330" s="189">
        <f t="shared" si="111"/>
        <v>0</v>
      </c>
      <c r="B330" s="55"/>
      <c r="C330" s="654"/>
      <c r="D330" s="654"/>
      <c r="E330" s="657"/>
      <c r="F330" s="656"/>
      <c r="G330" s="654"/>
      <c r="H330" s="655"/>
      <c r="I330" s="657"/>
      <c r="J330" s="656"/>
      <c r="K330" s="654"/>
      <c r="L330" s="655"/>
    </row>
    <row r="331" spans="1:12" ht="15" customHeight="1" x14ac:dyDescent="0.25">
      <c r="A331" s="189" t="str">
        <f t="shared" si="111"/>
        <v>Vote 15 - [NAME OF VOTE 15]</v>
      </c>
      <c r="B331" s="55"/>
      <c r="C331" s="592">
        <f t="shared" ref="C331:L331" si="114">SUM(C332:C341)</f>
        <v>0</v>
      </c>
      <c r="D331" s="592">
        <f t="shared" si="114"/>
        <v>0</v>
      </c>
      <c r="E331" s="595">
        <f t="shared" si="114"/>
        <v>0</v>
      </c>
      <c r="F331" s="594">
        <f t="shared" si="114"/>
        <v>0</v>
      </c>
      <c r="G331" s="592">
        <f t="shared" si="114"/>
        <v>0</v>
      </c>
      <c r="H331" s="595">
        <f t="shared" si="114"/>
        <v>0</v>
      </c>
      <c r="I331" s="593">
        <f t="shared" si="114"/>
        <v>0</v>
      </c>
      <c r="J331" s="594">
        <f t="shared" si="114"/>
        <v>0</v>
      </c>
      <c r="K331" s="592">
        <f t="shared" si="114"/>
        <v>0</v>
      </c>
      <c r="L331" s="595">
        <f t="shared" si="114"/>
        <v>0</v>
      </c>
    </row>
    <row r="332" spans="1:12" x14ac:dyDescent="0.25">
      <c r="A332" s="189" t="str">
        <f t="shared" si="111"/>
        <v>15.1 - [Name of sub-vote]</v>
      </c>
      <c r="B332" s="55"/>
      <c r="C332" s="654"/>
      <c r="D332" s="654"/>
      <c r="E332" s="657"/>
      <c r="F332" s="656"/>
      <c r="G332" s="654"/>
      <c r="H332" s="655"/>
      <c r="I332" s="657"/>
      <c r="J332" s="656"/>
      <c r="K332" s="654"/>
      <c r="L332" s="655"/>
    </row>
    <row r="333" spans="1:12" x14ac:dyDescent="0.25">
      <c r="A333" s="189">
        <f t="shared" si="111"/>
        <v>0</v>
      </c>
      <c r="B333" s="55"/>
      <c r="C333" s="654"/>
      <c r="D333" s="654"/>
      <c r="E333" s="657"/>
      <c r="F333" s="656"/>
      <c r="G333" s="654"/>
      <c r="H333" s="655"/>
      <c r="I333" s="657"/>
      <c r="J333" s="656"/>
      <c r="K333" s="654"/>
      <c r="L333" s="655"/>
    </row>
    <row r="334" spans="1:12" x14ac:dyDescent="0.25">
      <c r="A334" s="189">
        <f t="shared" si="111"/>
        <v>0</v>
      </c>
      <c r="B334" s="55"/>
      <c r="C334" s="654"/>
      <c r="D334" s="654"/>
      <c r="E334" s="657"/>
      <c r="F334" s="656"/>
      <c r="G334" s="654"/>
      <c r="H334" s="655"/>
      <c r="I334" s="657"/>
      <c r="J334" s="656"/>
      <c r="K334" s="654"/>
      <c r="L334" s="655"/>
    </row>
    <row r="335" spans="1:12" x14ac:dyDescent="0.25">
      <c r="A335" s="189">
        <f t="shared" si="111"/>
        <v>0</v>
      </c>
      <c r="B335" s="55"/>
      <c r="C335" s="654"/>
      <c r="D335" s="654"/>
      <c r="E335" s="657"/>
      <c r="F335" s="656"/>
      <c r="G335" s="654"/>
      <c r="H335" s="655"/>
      <c r="I335" s="657"/>
      <c r="J335" s="656"/>
      <c r="K335" s="654"/>
      <c r="L335" s="655"/>
    </row>
    <row r="336" spans="1:12" x14ac:dyDescent="0.25">
      <c r="A336" s="189">
        <f t="shared" ref="A336:A341" si="115">A166</f>
        <v>0</v>
      </c>
      <c r="B336" s="55"/>
      <c r="C336" s="654"/>
      <c r="D336" s="654"/>
      <c r="E336" s="657"/>
      <c r="F336" s="656"/>
      <c r="G336" s="654"/>
      <c r="H336" s="655"/>
      <c r="I336" s="657"/>
      <c r="J336" s="656"/>
      <c r="K336" s="654"/>
      <c r="L336" s="655"/>
    </row>
    <row r="337" spans="1:12" x14ac:dyDescent="0.25">
      <c r="A337" s="189">
        <f t="shared" si="115"/>
        <v>0</v>
      </c>
      <c r="B337" s="55"/>
      <c r="C337" s="654"/>
      <c r="D337" s="654"/>
      <c r="E337" s="657"/>
      <c r="F337" s="656"/>
      <c r="G337" s="654"/>
      <c r="H337" s="655"/>
      <c r="I337" s="657"/>
      <c r="J337" s="656"/>
      <c r="K337" s="654"/>
      <c r="L337" s="655"/>
    </row>
    <row r="338" spans="1:12" x14ac:dyDescent="0.25">
      <c r="A338" s="189">
        <f t="shared" si="115"/>
        <v>0</v>
      </c>
      <c r="B338" s="55"/>
      <c r="C338" s="654"/>
      <c r="D338" s="654"/>
      <c r="E338" s="657"/>
      <c r="F338" s="656"/>
      <c r="G338" s="654"/>
      <c r="H338" s="655"/>
      <c r="I338" s="657"/>
      <c r="J338" s="656"/>
      <c r="K338" s="654"/>
      <c r="L338" s="655"/>
    </row>
    <row r="339" spans="1:12" x14ac:dyDescent="0.25">
      <c r="A339" s="189">
        <f t="shared" si="115"/>
        <v>0</v>
      </c>
      <c r="B339" s="55"/>
      <c r="C339" s="654"/>
      <c r="D339" s="654"/>
      <c r="E339" s="657"/>
      <c r="F339" s="656"/>
      <c r="G339" s="654"/>
      <c r="H339" s="655"/>
      <c r="I339" s="657"/>
      <c r="J339" s="656"/>
      <c r="K339" s="654"/>
      <c r="L339" s="655"/>
    </row>
    <row r="340" spans="1:12" x14ac:dyDescent="0.25">
      <c r="A340" s="189">
        <f t="shared" si="115"/>
        <v>0</v>
      </c>
      <c r="B340" s="55"/>
      <c r="C340" s="654"/>
      <c r="D340" s="654"/>
      <c r="E340" s="657"/>
      <c r="F340" s="656"/>
      <c r="G340" s="654"/>
      <c r="H340" s="655"/>
      <c r="I340" s="657"/>
      <c r="J340" s="656"/>
      <c r="K340" s="654"/>
      <c r="L340" s="655"/>
    </row>
    <row r="341" spans="1:12" x14ac:dyDescent="0.25">
      <c r="A341" s="189">
        <f t="shared" si="115"/>
        <v>0</v>
      </c>
      <c r="B341" s="55"/>
      <c r="C341" s="654"/>
      <c r="D341" s="654"/>
      <c r="E341" s="657"/>
      <c r="F341" s="656"/>
      <c r="G341" s="654"/>
      <c r="H341" s="655"/>
      <c r="I341" s="657"/>
      <c r="J341" s="656"/>
      <c r="K341" s="654"/>
      <c r="L341" s="655"/>
    </row>
    <row r="342" spans="1:12" x14ac:dyDescent="0.25">
      <c r="A342" s="118" t="s">
        <v>1175</v>
      </c>
      <c r="B342" s="55"/>
      <c r="C342" s="71">
        <f>C176+C187+C198+C209+C220+C231+C243+C254+C265+C276+C287+C298+C309+C320+C331</f>
        <v>0</v>
      </c>
      <c r="D342" s="71">
        <f t="shared" ref="D342:L342" si="116">D176+D187+D198+D209+D220+D231+D243+D254+D265+D276+D287+D298+D309+D320+D331</f>
        <v>62449782.710000001</v>
      </c>
      <c r="E342" s="892">
        <f t="shared" si="116"/>
        <v>53459027</v>
      </c>
      <c r="F342" s="889">
        <f t="shared" si="116"/>
        <v>44883600</v>
      </c>
      <c r="G342" s="71">
        <f t="shared" si="116"/>
        <v>60681889</v>
      </c>
      <c r="H342" s="892">
        <f t="shared" si="116"/>
        <v>60681889</v>
      </c>
      <c r="I342" s="893">
        <f t="shared" si="116"/>
        <v>60681889</v>
      </c>
      <c r="J342" s="889">
        <f t="shared" si="116"/>
        <v>32447438.100000001</v>
      </c>
      <c r="K342" s="71">
        <f t="shared" si="116"/>
        <v>49972500</v>
      </c>
      <c r="L342" s="71">
        <f t="shared" si="116"/>
        <v>0</v>
      </c>
    </row>
    <row r="343" spans="1:12" x14ac:dyDescent="0.25">
      <c r="A343" s="883" t="s">
        <v>528</v>
      </c>
      <c r="B343" s="730"/>
      <c r="C343" s="731">
        <f>C172+C342</f>
        <v>0</v>
      </c>
      <c r="D343" s="731">
        <f t="shared" ref="D343:L343" si="117">D172+D342</f>
        <v>62449782.710000001</v>
      </c>
      <c r="E343" s="732">
        <f t="shared" si="117"/>
        <v>53459027</v>
      </c>
      <c r="F343" s="733">
        <f t="shared" si="117"/>
        <v>44883600</v>
      </c>
      <c r="G343" s="734">
        <f t="shared" si="117"/>
        <v>60681889</v>
      </c>
      <c r="H343" s="735">
        <f t="shared" si="117"/>
        <v>60681889</v>
      </c>
      <c r="I343" s="732">
        <f t="shared" si="117"/>
        <v>60681889</v>
      </c>
      <c r="J343" s="733">
        <f t="shared" si="117"/>
        <v>32447438.100000001</v>
      </c>
      <c r="K343" s="734">
        <f t="shared" si="117"/>
        <v>49972500</v>
      </c>
      <c r="L343" s="735">
        <f t="shared" si="117"/>
        <v>0</v>
      </c>
    </row>
  </sheetData>
  <dataConsolidate/>
  <mergeCells count="5">
    <mergeCell ref="F2:I2"/>
    <mergeCell ref="J2:L2"/>
    <mergeCell ref="N2:Q2"/>
    <mergeCell ref="R2:U2"/>
    <mergeCell ref="V2:X2"/>
  </mergeCells>
  <phoneticPr fontId="3" type="noConversion"/>
  <pageMargins left="0.35433070866141736" right="0.15748031496062992" top="0.78740157480314965" bottom="0.59055118110236227" header="0.51181102362204722" footer="0.39370078740157483"/>
  <pageSetup paperSize="9" scale="70" fitToHeight="2" orientation="portrait"/>
  <headerFooter alignWithMargins="0"/>
  <rowBreaks count="3" manualBreakCount="3">
    <brk id="83" max="16383" man="1"/>
    <brk id="173" max="16383" man="1"/>
    <brk id="264" max="16383" man="1"/>
  </rowBreaks>
  <colBreaks count="1" manualBreakCount="1">
    <brk id="12" max="1048575" man="1"/>
  </colBreaks>
  <ignoredErrors>
    <ignoredError sqref="J17:L17 J28:L28 J39:L39 J50:L50 J61:L61 J73:L73 J84:L84 J95:L95 J106:L106 J117:L117 J128:L128 J139:L139 J150:L150 J161:L161 Q17 U17 Q28 Q161 U28 U39 Q39 Q50 U50 Q61 U61 Q73 U73 Q84 U84 Q95 U95 Q106 U106 Q117 U117 Q128 U128 Q139 U139 Q150 U150 U16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90"/>
  <sheetViews>
    <sheetView showGridLines="0" zoomScaleNormal="100" workbookViewId="0">
      <pane xSplit="2" ySplit="3" topLeftCell="C4" activePane="bottomRight" state="frozen"/>
      <selection pane="topRight"/>
      <selection pane="bottomLeft"/>
      <selection pane="bottomRight" activeCell="J6" sqref="J6"/>
    </sheetView>
  </sheetViews>
  <sheetFormatPr defaultRowHeight="12.75" x14ac:dyDescent="0.25"/>
  <cols>
    <col min="1" max="1" width="30.7109375" style="25" customWidth="1"/>
    <col min="2" max="2" width="3" style="102" customWidth="1"/>
    <col min="3" max="3" width="6.85546875" style="25" bestFit="1" customWidth="1"/>
    <col min="4" max="4" width="9.5703125" style="25" bestFit="1" customWidth="1"/>
    <col min="5" max="5" width="10.85546875" style="25" customWidth="1"/>
    <col min="6" max="8" width="9.28515625" style="25" customWidth="1"/>
    <col min="9" max="9" width="9.140625" style="25" customWidth="1"/>
    <col min="10"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s="52" customFormat="1" x14ac:dyDescent="0.2">
      <c r="A1" s="23" t="str">
        <f>muni&amp;" - "&amp;Approve6</f>
        <v>EC101 Dr Beyers Naude - Table A6 Budgeted Financial Position</v>
      </c>
      <c r="B1" s="23"/>
      <c r="C1" s="23"/>
      <c r="D1" s="23"/>
      <c r="E1" s="23"/>
      <c r="F1" s="23"/>
      <c r="G1" s="23"/>
      <c r="H1" s="23"/>
      <c r="I1" s="23"/>
      <c r="J1" s="23"/>
      <c r="K1" s="23"/>
      <c r="L1" s="23"/>
    </row>
    <row r="2" spans="1:12" ht="28.5" customHeight="1" x14ac:dyDescent="0.25">
      <c r="A2" s="609" t="str">
        <f>desc</f>
        <v>Description</v>
      </c>
      <c r="B2" s="22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2" ht="25.5" x14ac:dyDescent="0.25">
      <c r="A3" s="53" t="s">
        <v>573</v>
      </c>
      <c r="B3" s="619"/>
      <c r="C3" s="203" t="str">
        <f>Head5</f>
        <v>Audited Outcome</v>
      </c>
      <c r="D3" s="203" t="str">
        <f>Head5</f>
        <v>Audited Outcome</v>
      </c>
      <c r="E3" s="204" t="str">
        <f>Head5</f>
        <v>Audited Outcome</v>
      </c>
      <c r="F3" s="141" t="str">
        <f>Head6</f>
        <v>Original Budget</v>
      </c>
      <c r="G3" s="203" t="str">
        <f>Head7</f>
        <v>Adjusted Budget</v>
      </c>
      <c r="H3" s="204" t="str">
        <f>Head8</f>
        <v>Full Year Forecast</v>
      </c>
      <c r="I3" s="202" t="str">
        <f>Head5b</f>
        <v>Pre-audit outcome</v>
      </c>
      <c r="J3" s="141" t="str">
        <f>Head9</f>
        <v>Budget Year 2019/20</v>
      </c>
      <c r="K3" s="203" t="str">
        <f>Head10</f>
        <v>Budget Year +1 2020/21</v>
      </c>
      <c r="L3" s="204" t="str">
        <f>Head11</f>
        <v>Budget Year +2 2021/22</v>
      </c>
    </row>
    <row r="4" spans="1:12" ht="11.25" customHeight="1" x14ac:dyDescent="0.25">
      <c r="A4" s="118" t="s">
        <v>895</v>
      </c>
      <c r="B4" s="136"/>
      <c r="C4" s="149"/>
      <c r="D4" s="149"/>
      <c r="E4" s="152"/>
      <c r="F4" s="151"/>
      <c r="G4" s="149"/>
      <c r="H4" s="152"/>
      <c r="I4" s="150"/>
      <c r="J4" s="174"/>
      <c r="K4" s="149"/>
      <c r="L4" s="152"/>
    </row>
    <row r="5" spans="1:12" ht="11.25" customHeight="1" x14ac:dyDescent="0.25">
      <c r="A5" s="118" t="s">
        <v>896</v>
      </c>
      <c r="B5" s="55"/>
      <c r="C5" s="76"/>
      <c r="D5" s="76"/>
      <c r="E5" s="77"/>
      <c r="F5" s="78"/>
      <c r="G5" s="76"/>
      <c r="H5" s="77"/>
      <c r="I5" s="75"/>
      <c r="J5" s="79"/>
      <c r="K5" s="1185"/>
      <c r="L5" s="77"/>
    </row>
    <row r="6" spans="1:12" ht="11.25" customHeight="1" x14ac:dyDescent="0.25">
      <c r="A6" s="63" t="s">
        <v>606</v>
      </c>
      <c r="B6" s="55"/>
      <c r="C6" s="1316"/>
      <c r="D6" s="1316">
        <v>2912480</v>
      </c>
      <c r="E6" s="1325">
        <v>2955</v>
      </c>
      <c r="F6" s="1326">
        <v>1821586.1402084231</v>
      </c>
      <c r="G6" s="1316">
        <v>1821586.1402084231</v>
      </c>
      <c r="H6" s="1325">
        <v>1821586.1402084231</v>
      </c>
      <c r="I6" s="1327">
        <v>1821586.1402084231</v>
      </c>
      <c r="J6" s="1318">
        <v>131332.16330000013</v>
      </c>
      <c r="K6" s="1320">
        <v>2742350.5423980802</v>
      </c>
      <c r="L6" s="1325">
        <v>932774.41024200618</v>
      </c>
    </row>
    <row r="7" spans="1:12" ht="11.25" customHeight="1" x14ac:dyDescent="0.25">
      <c r="A7" s="63" t="s">
        <v>1353</v>
      </c>
      <c r="B7" s="55">
        <v>1</v>
      </c>
      <c r="C7" s="76">
        <f>'SA3'!C9</f>
        <v>0</v>
      </c>
      <c r="D7" s="76">
        <f>'SA3'!D9</f>
        <v>24542131</v>
      </c>
      <c r="E7" s="77">
        <f>'SA3'!E9</f>
        <v>1002806</v>
      </c>
      <c r="F7" s="78">
        <f>'SA3'!F9</f>
        <v>1050411</v>
      </c>
      <c r="G7" s="76">
        <f>'SA3'!G9</f>
        <v>1050411</v>
      </c>
      <c r="H7" s="77">
        <f>'SA3'!H9</f>
        <v>1050411</v>
      </c>
      <c r="I7" s="75">
        <f>'SA3'!I9</f>
        <v>1050411</v>
      </c>
      <c r="J7" s="79">
        <f>'SA3'!J9</f>
        <v>1000000</v>
      </c>
      <c r="K7" s="1185">
        <f>'SA3'!K9</f>
        <v>1000000</v>
      </c>
      <c r="L7" s="77">
        <f>'SA3'!L9</f>
        <v>1000000</v>
      </c>
    </row>
    <row r="8" spans="1:12" ht="11.25" customHeight="1" x14ac:dyDescent="0.25">
      <c r="A8" s="63" t="s">
        <v>1351</v>
      </c>
      <c r="B8" s="55">
        <v>1</v>
      </c>
      <c r="C8" s="76">
        <f>'SA3'!C14</f>
        <v>0</v>
      </c>
      <c r="D8" s="76">
        <f>'SA3'!D14</f>
        <v>16181124</v>
      </c>
      <c r="E8" s="77">
        <f>'SA3'!E14</f>
        <v>33974529</v>
      </c>
      <c r="F8" s="78">
        <f>'SA3'!F14</f>
        <v>35154037</v>
      </c>
      <c r="G8" s="76">
        <f>'SA3'!G14</f>
        <v>56590842</v>
      </c>
      <c r="H8" s="77">
        <f>'SA3'!H14</f>
        <v>56590842</v>
      </c>
      <c r="I8" s="75">
        <f>'SA3'!I14</f>
        <v>56590842</v>
      </c>
      <c r="J8" s="79">
        <f>'SA3'!J14</f>
        <v>89854360.790000021</v>
      </c>
      <c r="K8" s="1185">
        <f>'SA3'!K14</f>
        <v>86505940.566600025</v>
      </c>
      <c r="L8" s="77">
        <f>'SA3'!L14</f>
        <v>151619306.18735605</v>
      </c>
    </row>
    <row r="9" spans="1:12" ht="11.25" customHeight="1" x14ac:dyDescent="0.25">
      <c r="A9" s="63" t="s">
        <v>1352</v>
      </c>
      <c r="B9" s="55"/>
      <c r="C9" s="1316"/>
      <c r="D9" s="1316">
        <f>1838123+780828+250900</f>
        <v>2869851</v>
      </c>
      <c r="E9" s="1325">
        <f>2263501+4500627+46320+290900</f>
        <v>7101348</v>
      </c>
      <c r="F9" s="1326">
        <v>17167249</v>
      </c>
      <c r="G9" s="1316">
        <v>17167249</v>
      </c>
      <c r="H9" s="1325">
        <v>17167249</v>
      </c>
      <c r="I9" s="1327">
        <v>17167249</v>
      </c>
      <c r="J9" s="1318">
        <f>I9</f>
        <v>17167249</v>
      </c>
      <c r="K9" s="1320">
        <f>J9</f>
        <v>17167249</v>
      </c>
      <c r="L9" s="1325">
        <f>K9</f>
        <v>17167249</v>
      </c>
    </row>
    <row r="10" spans="1:12" ht="11.25" customHeight="1" x14ac:dyDescent="0.25">
      <c r="A10" s="63" t="s">
        <v>607</v>
      </c>
      <c r="B10" s="55"/>
      <c r="C10" s="1316"/>
      <c r="D10" s="1316"/>
      <c r="E10" s="1325"/>
      <c r="F10" s="1333"/>
      <c r="G10" s="1329"/>
      <c r="H10" s="1332"/>
      <c r="I10" s="1327"/>
      <c r="J10" s="1335"/>
      <c r="K10" s="1331"/>
      <c r="L10" s="1332"/>
    </row>
    <row r="11" spans="1:12" ht="11.25" customHeight="1" x14ac:dyDescent="0.25">
      <c r="A11" s="63" t="s">
        <v>1350</v>
      </c>
      <c r="B11" s="55">
        <v>2</v>
      </c>
      <c r="C11" s="1316"/>
      <c r="D11" s="1316">
        <v>6452934</v>
      </c>
      <c r="E11" s="1325">
        <v>6943507</v>
      </c>
      <c r="F11" s="1326">
        <v>6833888</v>
      </c>
      <c r="G11" s="1316">
        <v>6833888</v>
      </c>
      <c r="H11" s="1325">
        <v>6833888</v>
      </c>
      <c r="I11" s="1327">
        <v>6833888</v>
      </c>
      <c r="J11" s="1318">
        <v>6300000</v>
      </c>
      <c r="K11" s="1320">
        <v>6450000</v>
      </c>
      <c r="L11" s="1325">
        <v>6500000</v>
      </c>
    </row>
    <row r="12" spans="1:12" ht="11.25" customHeight="1" x14ac:dyDescent="0.25">
      <c r="A12" s="175" t="s">
        <v>503</v>
      </c>
      <c r="B12" s="176"/>
      <c r="C12" s="122">
        <f t="shared" ref="C12:L12" si="0">SUM(C6:C11)</f>
        <v>0</v>
      </c>
      <c r="D12" s="122">
        <f t="shared" si="0"/>
        <v>52958520</v>
      </c>
      <c r="E12" s="123">
        <f t="shared" si="0"/>
        <v>49025145</v>
      </c>
      <c r="F12" s="124">
        <f t="shared" si="0"/>
        <v>62027171.140208423</v>
      </c>
      <c r="G12" s="122">
        <f t="shared" si="0"/>
        <v>83463976.140208423</v>
      </c>
      <c r="H12" s="123">
        <f t="shared" si="0"/>
        <v>83463976.140208423</v>
      </c>
      <c r="I12" s="121">
        <f t="shared" si="0"/>
        <v>83463976.140208423</v>
      </c>
      <c r="J12" s="125">
        <f t="shared" si="0"/>
        <v>114452941.95330003</v>
      </c>
      <c r="K12" s="1692">
        <f t="shared" si="0"/>
        <v>113865540.1089981</v>
      </c>
      <c r="L12" s="123">
        <f t="shared" si="0"/>
        <v>177219329.59759808</v>
      </c>
    </row>
    <row r="13" spans="1:12" ht="4.9000000000000004" customHeight="1" x14ac:dyDescent="0.25">
      <c r="A13" s="74"/>
      <c r="B13" s="55"/>
      <c r="C13" s="76"/>
      <c r="D13" s="76"/>
      <c r="E13" s="77"/>
      <c r="F13" s="78"/>
      <c r="G13" s="76"/>
      <c r="H13" s="77"/>
      <c r="I13" s="75"/>
      <c r="J13" s="79"/>
      <c r="K13" s="1185"/>
      <c r="L13" s="77"/>
    </row>
    <row r="14" spans="1:12" ht="11.25" customHeight="1" x14ac:dyDescent="0.25">
      <c r="A14" s="118" t="s">
        <v>497</v>
      </c>
      <c r="B14" s="55"/>
      <c r="C14" s="76"/>
      <c r="D14" s="76"/>
      <c r="E14" s="77"/>
      <c r="F14" s="78"/>
      <c r="G14" s="76"/>
      <c r="H14" s="77"/>
      <c r="I14" s="75"/>
      <c r="J14" s="79"/>
      <c r="K14" s="1185"/>
      <c r="L14" s="77"/>
    </row>
    <row r="15" spans="1:12" ht="11.25" customHeight="1" x14ac:dyDescent="0.25">
      <c r="A15" s="63" t="s">
        <v>1349</v>
      </c>
      <c r="B15" s="55"/>
      <c r="C15" s="1316"/>
      <c r="D15" s="1316"/>
      <c r="E15" s="1325"/>
      <c r="F15" s="1326"/>
      <c r="G15" s="1316"/>
      <c r="H15" s="1325"/>
      <c r="I15" s="1327"/>
      <c r="J15" s="1318"/>
      <c r="K15" s="1320"/>
      <c r="L15" s="1325"/>
    </row>
    <row r="16" spans="1:12" ht="11.25" customHeight="1" x14ac:dyDescent="0.25">
      <c r="A16" s="63" t="s">
        <v>897</v>
      </c>
      <c r="B16" s="55"/>
      <c r="C16" s="1316"/>
      <c r="D16" s="1316">
        <v>0</v>
      </c>
      <c r="E16" s="1325">
        <v>0</v>
      </c>
      <c r="F16" s="1333">
        <v>2648000</v>
      </c>
      <c r="G16" s="1329">
        <v>2648000</v>
      </c>
      <c r="H16" s="1332">
        <v>2648000</v>
      </c>
      <c r="I16" s="1327">
        <v>2648000</v>
      </c>
      <c r="J16" s="1335">
        <f>I16</f>
        <v>2648000</v>
      </c>
      <c r="K16" s="1331">
        <f>J16</f>
        <v>2648000</v>
      </c>
      <c r="L16" s="1332">
        <f>K16</f>
        <v>2648000</v>
      </c>
    </row>
    <row r="17" spans="1:12" ht="11.25" customHeight="1" x14ac:dyDescent="0.25">
      <c r="A17" s="63" t="s">
        <v>1348</v>
      </c>
      <c r="B17" s="55"/>
      <c r="C17" s="1316"/>
      <c r="D17" s="1316">
        <v>67783409</v>
      </c>
      <c r="E17" s="1325">
        <v>67783409</v>
      </c>
      <c r="F17" s="1326">
        <v>67783409</v>
      </c>
      <c r="G17" s="1316">
        <v>67783409</v>
      </c>
      <c r="H17" s="1325">
        <v>67783409</v>
      </c>
      <c r="I17" s="1327">
        <v>67783409</v>
      </c>
      <c r="J17" s="1318">
        <f>I17</f>
        <v>67783409</v>
      </c>
      <c r="K17" s="1318">
        <f t="shared" ref="K17:L17" si="1">J17</f>
        <v>67783409</v>
      </c>
      <c r="L17" s="1318">
        <f t="shared" si="1"/>
        <v>67783409</v>
      </c>
    </row>
    <row r="18" spans="1:12" ht="11.25" customHeight="1" x14ac:dyDescent="0.25">
      <c r="A18" s="63" t="s">
        <v>680</v>
      </c>
      <c r="B18" s="55"/>
      <c r="C18" s="1316"/>
      <c r="D18" s="1316"/>
      <c r="E18" s="1325"/>
      <c r="F18" s="1326"/>
      <c r="G18" s="1316"/>
      <c r="H18" s="1325"/>
      <c r="I18" s="1327"/>
      <c r="J18" s="1318"/>
      <c r="K18" s="1320"/>
      <c r="L18" s="1325"/>
    </row>
    <row r="19" spans="1:12" ht="11.25" customHeight="1" x14ac:dyDescent="0.25">
      <c r="A19" s="63" t="s">
        <v>1347</v>
      </c>
      <c r="B19" s="55">
        <v>3</v>
      </c>
      <c r="C19" s="76">
        <f>'SA3'!C26</f>
        <v>0</v>
      </c>
      <c r="D19" s="76">
        <f>'SA3'!D26</f>
        <v>1109428799</v>
      </c>
      <c r="E19" s="77">
        <f>'SA3'!E26</f>
        <v>1099664216</v>
      </c>
      <c r="F19" s="78">
        <f>'SA3'!F26</f>
        <v>1115050745.128</v>
      </c>
      <c r="G19" s="76">
        <f>'SA3'!G26</f>
        <v>1100453214.128</v>
      </c>
      <c r="H19" s="77">
        <f>'SA3'!H26</f>
        <v>1100453214.128</v>
      </c>
      <c r="I19" s="75">
        <f>'SA3'!I26</f>
        <v>1100453214.128</v>
      </c>
      <c r="J19" s="79">
        <f>'SA3'!J26</f>
        <v>1067052088.6279999</v>
      </c>
      <c r="K19" s="1185">
        <f>'SA3'!K26</f>
        <v>1047225111.2119998</v>
      </c>
      <c r="L19" s="77">
        <f>'SA3'!L26</f>
        <v>973237665.15103972</v>
      </c>
    </row>
    <row r="20" spans="1:12" ht="1.9" customHeight="1" x14ac:dyDescent="0.25">
      <c r="A20" s="63"/>
      <c r="B20" s="55"/>
      <c r="C20" s="76"/>
      <c r="D20" s="76"/>
      <c r="E20" s="77"/>
      <c r="F20" s="78"/>
      <c r="G20" s="76"/>
      <c r="H20" s="77"/>
      <c r="I20" s="75"/>
      <c r="J20" s="79"/>
      <c r="K20" s="1185"/>
      <c r="L20" s="77"/>
    </row>
    <row r="21" spans="1:12" ht="11.25" customHeight="1" x14ac:dyDescent="0.25">
      <c r="A21" s="63" t="s">
        <v>828</v>
      </c>
      <c r="B21" s="55"/>
      <c r="C21" s="1316"/>
      <c r="D21" s="1316"/>
      <c r="E21" s="1325"/>
      <c r="F21" s="1326"/>
      <c r="G21" s="1316"/>
      <c r="H21" s="1325"/>
      <c r="I21" s="1327"/>
      <c r="J21" s="1318"/>
      <c r="K21" s="1320"/>
      <c r="L21" s="1325"/>
    </row>
    <row r="22" spans="1:12" ht="11.25" customHeight="1" x14ac:dyDescent="0.25">
      <c r="A22" s="63" t="s">
        <v>829</v>
      </c>
      <c r="B22" s="55"/>
      <c r="C22" s="1316"/>
      <c r="D22" s="1316">
        <v>251736</v>
      </c>
      <c r="E22" s="1325">
        <v>155558</v>
      </c>
      <c r="F22" s="1326">
        <v>252862.99999999994</v>
      </c>
      <c r="G22" s="1316">
        <v>252862.99999999994</v>
      </c>
      <c r="H22" s="1325">
        <v>252862.99999999994</v>
      </c>
      <c r="I22" s="1327">
        <v>252862.99999999994</v>
      </c>
      <c r="J22" s="1318">
        <f>I22</f>
        <v>252862.99999999994</v>
      </c>
      <c r="K22" s="1320">
        <f>J22</f>
        <v>252862.99999999994</v>
      </c>
      <c r="L22" s="1325">
        <f>K22</f>
        <v>252862.99999999994</v>
      </c>
    </row>
    <row r="23" spans="1:12" ht="11.25" customHeight="1" x14ac:dyDescent="0.25">
      <c r="A23" s="63" t="s">
        <v>1494</v>
      </c>
      <c r="B23" s="55"/>
      <c r="C23" s="1316"/>
      <c r="D23" s="1316">
        <v>13452791</v>
      </c>
      <c r="E23" s="1325">
        <v>13452791</v>
      </c>
      <c r="F23" s="1333">
        <v>13452791</v>
      </c>
      <c r="G23" s="1329">
        <v>13452791</v>
      </c>
      <c r="H23" s="1332">
        <v>13452791</v>
      </c>
      <c r="I23" s="1326">
        <v>13452791</v>
      </c>
      <c r="J23" s="1335">
        <v>13452791</v>
      </c>
      <c r="K23" s="1331">
        <v>13452791</v>
      </c>
      <c r="L23" s="1332">
        <v>13452791</v>
      </c>
    </row>
    <row r="24" spans="1:12" ht="11.25" customHeight="1" x14ac:dyDescent="0.25">
      <c r="A24" s="175" t="s">
        <v>502</v>
      </c>
      <c r="B24" s="802"/>
      <c r="C24" s="801">
        <f>SUM(C15:C19)+SUM(C21:C23)</f>
        <v>0</v>
      </c>
      <c r="D24" s="81">
        <f t="shared" ref="D24:L24" si="2">SUM(D15:D19)+SUM(D21:D23)</f>
        <v>1190916735</v>
      </c>
      <c r="E24" s="82">
        <f t="shared" si="2"/>
        <v>1181055974</v>
      </c>
      <c r="F24" s="83">
        <f t="shared" si="2"/>
        <v>1199187808.128</v>
      </c>
      <c r="G24" s="81">
        <f t="shared" si="2"/>
        <v>1184590277.128</v>
      </c>
      <c r="H24" s="82">
        <f t="shared" si="2"/>
        <v>1184590277.128</v>
      </c>
      <c r="I24" s="80">
        <f t="shared" si="2"/>
        <v>1184590277.128</v>
      </c>
      <c r="J24" s="84">
        <f t="shared" si="2"/>
        <v>1151189151.6279998</v>
      </c>
      <c r="K24" s="801">
        <f t="shared" si="2"/>
        <v>1131362174.2119999</v>
      </c>
      <c r="L24" s="82">
        <f t="shared" si="2"/>
        <v>1057374728.1510397</v>
      </c>
    </row>
    <row r="25" spans="1:12" ht="11.25" customHeight="1" x14ac:dyDescent="0.25">
      <c r="A25" s="175" t="s">
        <v>506</v>
      </c>
      <c r="B25" s="176"/>
      <c r="C25" s="122">
        <f>C12+C24</f>
        <v>0</v>
      </c>
      <c r="D25" s="122">
        <f>D12+D24</f>
        <v>1243875255</v>
      </c>
      <c r="E25" s="123">
        <f>E12+E24</f>
        <v>1230081119</v>
      </c>
      <c r="F25" s="124">
        <f t="shared" ref="F25:L25" si="3">F12+F24</f>
        <v>1261214979.2682085</v>
      </c>
      <c r="G25" s="122">
        <f t="shared" si="3"/>
        <v>1268054253.2682085</v>
      </c>
      <c r="H25" s="123">
        <f t="shared" si="3"/>
        <v>1268054253.2682085</v>
      </c>
      <c r="I25" s="121">
        <f t="shared" si="3"/>
        <v>1268054253.2682085</v>
      </c>
      <c r="J25" s="125">
        <f t="shared" si="3"/>
        <v>1265642093.5812998</v>
      </c>
      <c r="K25" s="1692">
        <f t="shared" si="3"/>
        <v>1245227714.320998</v>
      </c>
      <c r="L25" s="123">
        <f t="shared" si="3"/>
        <v>1234594057.7486377</v>
      </c>
    </row>
    <row r="26" spans="1:12" ht="4.9000000000000004" customHeight="1" x14ac:dyDescent="0.25">
      <c r="A26" s="74"/>
      <c r="B26" s="55"/>
      <c r="C26" s="76"/>
      <c r="D26" s="76"/>
      <c r="E26" s="77"/>
      <c r="F26" s="78"/>
      <c r="G26" s="76"/>
      <c r="H26" s="77"/>
      <c r="I26" s="75"/>
      <c r="J26" s="79"/>
      <c r="K26" s="1185"/>
      <c r="L26" s="77"/>
    </row>
    <row r="27" spans="1:12" ht="11.25" customHeight="1" x14ac:dyDescent="0.25">
      <c r="A27" s="118" t="s">
        <v>498</v>
      </c>
      <c r="B27" s="55"/>
      <c r="C27" s="76"/>
      <c r="D27" s="76"/>
      <c r="E27" s="77"/>
      <c r="F27" s="78"/>
      <c r="G27" s="76"/>
      <c r="H27" s="77"/>
      <c r="I27" s="75"/>
      <c r="J27" s="79"/>
      <c r="K27" s="1185"/>
      <c r="L27" s="77"/>
    </row>
    <row r="28" spans="1:12" ht="11.25" customHeight="1" x14ac:dyDescent="0.25">
      <c r="A28" s="118" t="s">
        <v>898</v>
      </c>
      <c r="B28" s="138"/>
      <c r="C28" s="76"/>
      <c r="D28" s="76"/>
      <c r="E28" s="77"/>
      <c r="F28" s="78"/>
      <c r="G28" s="76"/>
      <c r="H28" s="77"/>
      <c r="I28" s="75"/>
      <c r="J28" s="79"/>
      <c r="K28" s="1185"/>
      <c r="L28" s="77"/>
    </row>
    <row r="29" spans="1:12" ht="11.25" customHeight="1" x14ac:dyDescent="0.25">
      <c r="A29" s="63" t="s">
        <v>1144</v>
      </c>
      <c r="B29" s="55">
        <v>1</v>
      </c>
      <c r="C29" s="1316"/>
      <c r="D29" s="1316"/>
      <c r="E29" s="1325">
        <v>11894348</v>
      </c>
      <c r="F29" s="1326"/>
      <c r="G29" s="1316"/>
      <c r="H29" s="1325"/>
      <c r="I29" s="1327"/>
      <c r="J29" s="1318"/>
      <c r="K29" s="1320"/>
      <c r="L29" s="1325"/>
    </row>
    <row r="30" spans="1:12" ht="11.25" customHeight="1" x14ac:dyDescent="0.25">
      <c r="A30" s="63" t="s">
        <v>1132</v>
      </c>
      <c r="B30" s="55">
        <v>4</v>
      </c>
      <c r="C30" s="76">
        <f>'SA3'!C32</f>
        <v>0</v>
      </c>
      <c r="D30" s="76">
        <f>'SA3'!D32</f>
        <v>0</v>
      </c>
      <c r="E30" s="77">
        <f>'SA3'!E32</f>
        <v>0</v>
      </c>
      <c r="F30" s="78">
        <f>'SA3'!F32</f>
        <v>0</v>
      </c>
      <c r="G30" s="76">
        <f>'SA3'!G32</f>
        <v>0</v>
      </c>
      <c r="H30" s="77">
        <f>'SA3'!H32</f>
        <v>0</v>
      </c>
      <c r="I30" s="75">
        <f>'SA3'!I32</f>
        <v>0</v>
      </c>
      <c r="J30" s="79">
        <f>'SA3'!J32</f>
        <v>0</v>
      </c>
      <c r="K30" s="1185">
        <f>'SA3'!K32</f>
        <v>0</v>
      </c>
      <c r="L30" s="77">
        <f>'SA3'!L32</f>
        <v>0</v>
      </c>
    </row>
    <row r="31" spans="1:12" ht="11.25" customHeight="1" x14ac:dyDescent="0.25">
      <c r="A31" s="63" t="s">
        <v>1344</v>
      </c>
      <c r="B31" s="55"/>
      <c r="C31" s="1316"/>
      <c r="D31" s="1316">
        <v>2911064</v>
      </c>
      <c r="E31" s="1325">
        <v>2996796</v>
      </c>
      <c r="F31" s="1326">
        <v>3079120</v>
      </c>
      <c r="G31" s="1316">
        <v>3079120</v>
      </c>
      <c r="H31" s="1325">
        <v>3079120</v>
      </c>
      <c r="I31" s="1327">
        <v>3079120</v>
      </c>
      <c r="J31" s="1318">
        <v>3079120</v>
      </c>
      <c r="K31" s="1320">
        <v>3079120</v>
      </c>
      <c r="L31" s="1325">
        <v>3079120</v>
      </c>
    </row>
    <row r="32" spans="1:12" ht="11.25" customHeight="1" x14ac:dyDescent="0.25">
      <c r="A32" s="63" t="s">
        <v>608</v>
      </c>
      <c r="B32" s="55">
        <v>4</v>
      </c>
      <c r="C32" s="76">
        <f>'SA3'!C39</f>
        <v>0</v>
      </c>
      <c r="D32" s="76">
        <f>'SA3'!D39</f>
        <v>123951610</v>
      </c>
      <c r="E32" s="77">
        <f>'SA3'!E39</f>
        <v>132426407</v>
      </c>
      <c r="F32" s="78">
        <f>'SA3'!F39</f>
        <v>90278914</v>
      </c>
      <c r="G32" s="76">
        <f>'SA3'!G39</f>
        <v>111999914</v>
      </c>
      <c r="H32" s="77">
        <f>'SA3'!H39</f>
        <v>111999914</v>
      </c>
      <c r="I32" s="75">
        <f>'SA3'!I39</f>
        <v>111999914</v>
      </c>
      <c r="J32" s="79">
        <f>'SA3'!J39</f>
        <v>50841000</v>
      </c>
      <c r="K32" s="1185">
        <f>'SA3'!K39</f>
        <v>44841000</v>
      </c>
      <c r="L32" s="77">
        <f>'SA3'!L39</f>
        <v>47496000</v>
      </c>
    </row>
    <row r="33" spans="1:12" ht="11.25" customHeight="1" x14ac:dyDescent="0.25">
      <c r="A33" s="63" t="s">
        <v>899</v>
      </c>
      <c r="B33" s="55"/>
      <c r="C33" s="1316"/>
      <c r="D33" s="1316">
        <v>149255</v>
      </c>
      <c r="E33" s="1325">
        <v>127303</v>
      </c>
      <c r="F33" s="1868">
        <v>9109610</v>
      </c>
      <c r="G33" s="1868">
        <v>9109610</v>
      </c>
      <c r="H33" s="1325">
        <v>9109610</v>
      </c>
      <c r="I33" s="1327">
        <v>9109610</v>
      </c>
      <c r="J33" s="1318">
        <v>9109610</v>
      </c>
      <c r="K33" s="1320">
        <v>9109610</v>
      </c>
      <c r="L33" s="1325">
        <v>9109610</v>
      </c>
    </row>
    <row r="34" spans="1:12" ht="11.25" customHeight="1" x14ac:dyDescent="0.25">
      <c r="A34" s="175" t="s">
        <v>501</v>
      </c>
      <c r="B34" s="176"/>
      <c r="C34" s="122">
        <f t="shared" ref="C34:L34" si="4">SUM(C29:C33)</f>
        <v>0</v>
      </c>
      <c r="D34" s="122">
        <f t="shared" si="4"/>
        <v>127011929</v>
      </c>
      <c r="E34" s="123">
        <f t="shared" si="4"/>
        <v>147444854</v>
      </c>
      <c r="F34" s="124">
        <f t="shared" si="4"/>
        <v>102467644</v>
      </c>
      <c r="G34" s="122">
        <f t="shared" si="4"/>
        <v>124188644</v>
      </c>
      <c r="H34" s="123">
        <f t="shared" si="4"/>
        <v>124188644</v>
      </c>
      <c r="I34" s="121">
        <f t="shared" si="4"/>
        <v>124188644</v>
      </c>
      <c r="J34" s="125">
        <f t="shared" si="4"/>
        <v>63029730</v>
      </c>
      <c r="K34" s="1692">
        <f t="shared" si="4"/>
        <v>57029730</v>
      </c>
      <c r="L34" s="123">
        <f t="shared" si="4"/>
        <v>59684730</v>
      </c>
    </row>
    <row r="35" spans="1:12" ht="4.9000000000000004" customHeight="1" x14ac:dyDescent="0.25">
      <c r="A35" s="74"/>
      <c r="B35" s="55"/>
      <c r="C35" s="76"/>
      <c r="D35" s="76"/>
      <c r="E35" s="77"/>
      <c r="F35" s="78"/>
      <c r="G35" s="76"/>
      <c r="H35" s="77"/>
      <c r="I35" s="75"/>
      <c r="J35" s="79"/>
      <c r="K35" s="1185"/>
      <c r="L35" s="77"/>
    </row>
    <row r="36" spans="1:12" ht="11.25" customHeight="1" x14ac:dyDescent="0.25">
      <c r="A36" s="118" t="s">
        <v>499</v>
      </c>
      <c r="B36" s="55"/>
      <c r="C36" s="76"/>
      <c r="D36" s="76"/>
      <c r="E36" s="77"/>
      <c r="F36" s="78"/>
      <c r="G36" s="76"/>
      <c r="H36" s="77"/>
      <c r="I36" s="75"/>
      <c r="J36" s="79"/>
      <c r="K36" s="1185"/>
      <c r="L36" s="77"/>
    </row>
    <row r="37" spans="1:12" ht="11.25" customHeight="1" x14ac:dyDescent="0.25">
      <c r="A37" s="63" t="s">
        <v>1132</v>
      </c>
      <c r="B37" s="55"/>
      <c r="C37" s="76">
        <f>'SA3'!C44</f>
        <v>0</v>
      </c>
      <c r="D37" s="76">
        <f>'SA3'!D44</f>
        <v>0</v>
      </c>
      <c r="E37" s="77">
        <f>'SA3'!E44</f>
        <v>0</v>
      </c>
      <c r="F37" s="78">
        <f>'SA3'!F44</f>
        <v>0</v>
      </c>
      <c r="G37" s="76">
        <f>'SA3'!G44</f>
        <v>0</v>
      </c>
      <c r="H37" s="77">
        <f>'SA3'!H44</f>
        <v>0</v>
      </c>
      <c r="I37" s="75">
        <f>'SA3'!I44</f>
        <v>0</v>
      </c>
      <c r="J37" s="79">
        <f>'SA3'!J44</f>
        <v>63750000</v>
      </c>
      <c r="K37" s="1185">
        <f>'SA3'!K44</f>
        <v>46750000</v>
      </c>
      <c r="L37" s="77">
        <f>'SA3'!L44</f>
        <v>29750000</v>
      </c>
    </row>
    <row r="38" spans="1:12" ht="11.25" customHeight="1" x14ac:dyDescent="0.25">
      <c r="A38" s="63" t="s">
        <v>899</v>
      </c>
      <c r="B38" s="55"/>
      <c r="C38" s="76">
        <f>'SA3'!C51</f>
        <v>0</v>
      </c>
      <c r="D38" s="76">
        <f>'SA3'!D51</f>
        <v>58797341</v>
      </c>
      <c r="E38" s="77">
        <f>'SA3'!E51</f>
        <v>67824111</v>
      </c>
      <c r="F38" s="78">
        <f>'SA3'!F51</f>
        <v>62409767</v>
      </c>
      <c r="G38" s="76">
        <f>'SA3'!G51</f>
        <v>62409767</v>
      </c>
      <c r="H38" s="77">
        <f>'SA3'!H51</f>
        <v>62409767</v>
      </c>
      <c r="I38" s="75">
        <f>'SA3'!I51</f>
        <v>62409767</v>
      </c>
      <c r="J38" s="79">
        <f>'SA3'!J51</f>
        <v>64409767</v>
      </c>
      <c r="K38" s="1185">
        <f>'SA3'!K51</f>
        <v>66409767</v>
      </c>
      <c r="L38" s="77">
        <f>'SA3'!L51</f>
        <v>69500353.020000011</v>
      </c>
    </row>
    <row r="39" spans="1:12" ht="11.25" customHeight="1" x14ac:dyDescent="0.25">
      <c r="A39" s="175" t="s">
        <v>500</v>
      </c>
      <c r="B39" s="802"/>
      <c r="C39" s="801">
        <f>SUM(C37:C38)</f>
        <v>0</v>
      </c>
      <c r="D39" s="81">
        <f>SUM(D37:D38)</f>
        <v>58797341</v>
      </c>
      <c r="E39" s="82">
        <f>SUM(E37:E38)</f>
        <v>67824111</v>
      </c>
      <c r="F39" s="83">
        <f t="shared" ref="F39:L39" si="5">SUM(F37:F38)</f>
        <v>62409767</v>
      </c>
      <c r="G39" s="81">
        <f t="shared" si="5"/>
        <v>62409767</v>
      </c>
      <c r="H39" s="82">
        <f t="shared" si="5"/>
        <v>62409767</v>
      </c>
      <c r="I39" s="83">
        <f t="shared" si="5"/>
        <v>62409767</v>
      </c>
      <c r="J39" s="84">
        <f t="shared" si="5"/>
        <v>128159767</v>
      </c>
      <c r="K39" s="801">
        <f>SUM(K37:K38)</f>
        <v>113159767</v>
      </c>
      <c r="L39" s="82">
        <f t="shared" si="5"/>
        <v>99250353.020000011</v>
      </c>
    </row>
    <row r="40" spans="1:12" ht="11.25" customHeight="1" x14ac:dyDescent="0.25">
      <c r="A40" s="175" t="s">
        <v>951</v>
      </c>
      <c r="B40" s="176"/>
      <c r="C40" s="122">
        <f>C34+C39</f>
        <v>0</v>
      </c>
      <c r="D40" s="122">
        <f>D34+D39</f>
        <v>185809270</v>
      </c>
      <c r="E40" s="123">
        <f>E34+E39</f>
        <v>215268965</v>
      </c>
      <c r="F40" s="124">
        <f t="shared" ref="F40:L40" si="6">F34+F39</f>
        <v>164877411</v>
      </c>
      <c r="G40" s="122">
        <f t="shared" si="6"/>
        <v>186598411</v>
      </c>
      <c r="H40" s="123">
        <f t="shared" si="6"/>
        <v>186598411</v>
      </c>
      <c r="I40" s="121">
        <f t="shared" si="6"/>
        <v>186598411</v>
      </c>
      <c r="J40" s="125">
        <f t="shared" si="6"/>
        <v>191189497</v>
      </c>
      <c r="K40" s="1692">
        <f>K34+K39</f>
        <v>170189497</v>
      </c>
      <c r="L40" s="123">
        <f t="shared" si="6"/>
        <v>158935083.02000001</v>
      </c>
    </row>
    <row r="41" spans="1:12" ht="4.5" customHeight="1" x14ac:dyDescent="0.25">
      <c r="A41" s="74"/>
      <c r="B41" s="55"/>
      <c r="C41" s="76"/>
      <c r="D41" s="76"/>
      <c r="E41" s="77"/>
      <c r="F41" s="78"/>
      <c r="G41" s="76"/>
      <c r="H41" s="77"/>
      <c r="I41" s="75"/>
      <c r="J41" s="79"/>
      <c r="K41" s="1185"/>
      <c r="L41" s="77"/>
    </row>
    <row r="42" spans="1:12" ht="11.25" customHeight="1" x14ac:dyDescent="0.25">
      <c r="A42" s="178" t="s">
        <v>505</v>
      </c>
      <c r="B42" s="179">
        <v>5</v>
      </c>
      <c r="C42" s="128">
        <f t="shared" ref="C42:L42" si="7">C25-C40</f>
        <v>0</v>
      </c>
      <c r="D42" s="128">
        <f t="shared" si="7"/>
        <v>1058065985</v>
      </c>
      <c r="E42" s="129">
        <f t="shared" si="7"/>
        <v>1014812154</v>
      </c>
      <c r="F42" s="130">
        <f t="shared" si="7"/>
        <v>1096337568.2682085</v>
      </c>
      <c r="G42" s="128">
        <f t="shared" si="7"/>
        <v>1081455842.2682085</v>
      </c>
      <c r="H42" s="129">
        <f t="shared" si="7"/>
        <v>1081455842.2682085</v>
      </c>
      <c r="I42" s="127">
        <f t="shared" si="7"/>
        <v>1081455842.2682085</v>
      </c>
      <c r="J42" s="131">
        <f t="shared" si="7"/>
        <v>1074452596.5812998</v>
      </c>
      <c r="K42" s="1693">
        <f t="shared" si="7"/>
        <v>1075038217.320998</v>
      </c>
      <c r="L42" s="129">
        <f t="shared" si="7"/>
        <v>1075658974.7286377</v>
      </c>
    </row>
    <row r="43" spans="1:12" ht="4.9000000000000004" customHeight="1" x14ac:dyDescent="0.25">
      <c r="A43" s="74"/>
      <c r="B43" s="55"/>
      <c r="C43" s="76"/>
      <c r="D43" s="76"/>
      <c r="E43" s="77"/>
      <c r="F43" s="78"/>
      <c r="G43" s="76"/>
      <c r="H43" s="77"/>
      <c r="I43" s="75"/>
      <c r="J43" s="79"/>
      <c r="K43" s="1185"/>
      <c r="L43" s="77"/>
    </row>
    <row r="44" spans="1:12" ht="11.25" customHeight="1" x14ac:dyDescent="0.25">
      <c r="A44" s="118" t="s">
        <v>504</v>
      </c>
      <c r="B44" s="55"/>
      <c r="C44" s="76"/>
      <c r="D44" s="76"/>
      <c r="E44" s="77"/>
      <c r="F44" s="78"/>
      <c r="G44" s="76"/>
      <c r="H44" s="77"/>
      <c r="I44" s="75"/>
      <c r="J44" s="79"/>
      <c r="K44" s="1185"/>
      <c r="L44" s="77"/>
    </row>
    <row r="45" spans="1:12" ht="11.25" customHeight="1" x14ac:dyDescent="0.25">
      <c r="A45" s="63" t="s">
        <v>364</v>
      </c>
      <c r="B45" s="55"/>
      <c r="C45" s="1316"/>
      <c r="D45" s="1316">
        <v>1058065985</v>
      </c>
      <c r="E45" s="1325">
        <v>1014812154</v>
      </c>
      <c r="F45" s="1326">
        <v>1083295510.2682085</v>
      </c>
      <c r="G45" s="1316">
        <v>1081455842.2682085</v>
      </c>
      <c r="H45" s="1325">
        <v>1081455842.2682085</v>
      </c>
      <c r="I45" s="1327">
        <v>1081455842.2682085</v>
      </c>
      <c r="J45" s="1318">
        <f>'SA3'!J63</f>
        <v>1074452596.577317</v>
      </c>
      <c r="K45" s="1320">
        <f>'SA3'!K63</f>
        <v>1075038217.3257689</v>
      </c>
      <c r="L45" s="1325">
        <f>'SA3'!L71</f>
        <v>1075658975.319128</v>
      </c>
    </row>
    <row r="46" spans="1:12" ht="11.25" customHeight="1" x14ac:dyDescent="0.25">
      <c r="A46" s="63" t="s">
        <v>647</v>
      </c>
      <c r="B46" s="55">
        <v>4</v>
      </c>
      <c r="C46" s="76">
        <f>'SA3'!C70</f>
        <v>0</v>
      </c>
      <c r="D46" s="76">
        <f>'SA3'!D70</f>
        <v>0</v>
      </c>
      <c r="E46" s="77">
        <f>'SA3'!E70</f>
        <v>0</v>
      </c>
      <c r="F46" s="78">
        <f>'SA3'!F70</f>
        <v>13042058</v>
      </c>
      <c r="G46" s="76">
        <f>'SA3'!G70</f>
        <v>0</v>
      </c>
      <c r="H46" s="77">
        <f>'SA3'!H70</f>
        <v>0</v>
      </c>
      <c r="I46" s="75">
        <f>'SA3'!I70</f>
        <v>0</v>
      </c>
      <c r="J46" s="79">
        <f>'SA3'!J70</f>
        <v>0</v>
      </c>
      <c r="K46" s="1185">
        <f>'SA3'!K70</f>
        <v>0</v>
      </c>
      <c r="L46" s="77">
        <f>'SA3'!L70</f>
        <v>0</v>
      </c>
    </row>
    <row r="47" spans="1:12" ht="1.9" customHeight="1" x14ac:dyDescent="0.25">
      <c r="A47" s="63"/>
      <c r="B47" s="55"/>
      <c r="C47" s="76"/>
      <c r="D47" s="76"/>
      <c r="E47" s="77"/>
      <c r="F47" s="78"/>
      <c r="G47" s="76"/>
      <c r="H47" s="77"/>
      <c r="I47" s="75"/>
      <c r="J47" s="79"/>
      <c r="K47" s="1185"/>
      <c r="L47" s="77"/>
    </row>
    <row r="48" spans="1:12" x14ac:dyDescent="0.25">
      <c r="A48" s="92" t="s">
        <v>952</v>
      </c>
      <c r="B48" s="93">
        <v>5</v>
      </c>
      <c r="C48" s="95">
        <f>SUM(C45:C46)</f>
        <v>0</v>
      </c>
      <c r="D48" s="95">
        <f t="shared" ref="D48:L48" si="8">SUM(D45:D46)</f>
        <v>1058065985</v>
      </c>
      <c r="E48" s="96">
        <f t="shared" si="8"/>
        <v>1014812154</v>
      </c>
      <c r="F48" s="97">
        <f t="shared" si="8"/>
        <v>1096337568.2682085</v>
      </c>
      <c r="G48" s="95">
        <f t="shared" si="8"/>
        <v>1081455842.2682085</v>
      </c>
      <c r="H48" s="96">
        <f t="shared" si="8"/>
        <v>1081455842.2682085</v>
      </c>
      <c r="I48" s="94">
        <f t="shared" si="8"/>
        <v>1081455842.2682085</v>
      </c>
      <c r="J48" s="98">
        <f t="shared" si="8"/>
        <v>1074452596.577317</v>
      </c>
      <c r="K48" s="1296">
        <f t="shared" si="8"/>
        <v>1075038217.3257689</v>
      </c>
      <c r="L48" s="96">
        <f t="shared" si="8"/>
        <v>1075658975.319128</v>
      </c>
    </row>
    <row r="49" spans="1:12" s="464" customFormat="1" x14ac:dyDescent="0.25">
      <c r="A49" s="101" t="str">
        <f>head27a</f>
        <v>References</v>
      </c>
      <c r="B49" s="107"/>
      <c r="C49" s="717"/>
      <c r="D49" s="717"/>
      <c r="E49" s="717"/>
      <c r="F49" s="717"/>
      <c r="G49" s="717"/>
      <c r="H49" s="717"/>
      <c r="I49" s="717"/>
      <c r="J49" s="717"/>
      <c r="K49" s="717"/>
      <c r="L49" s="717"/>
    </row>
    <row r="50" spans="1:12" s="464" customFormat="1" x14ac:dyDescent="0.25">
      <c r="A50" s="1923" t="s">
        <v>1290</v>
      </c>
      <c r="B50" s="1923"/>
      <c r="C50" s="1923"/>
      <c r="D50" s="1923"/>
      <c r="E50" s="1923"/>
      <c r="F50" s="1923"/>
      <c r="G50" s="1923"/>
      <c r="H50" s="1923"/>
      <c r="I50" s="1923"/>
      <c r="J50" s="1923"/>
      <c r="K50" s="1923"/>
      <c r="L50" s="1923"/>
    </row>
    <row r="51" spans="1:12" s="464" customFormat="1" ht="12.75" customHeight="1" x14ac:dyDescent="0.25">
      <c r="A51" s="132" t="s">
        <v>931</v>
      </c>
      <c r="B51" s="132"/>
      <c r="C51" s="132"/>
      <c r="D51" s="132"/>
      <c r="E51" s="132"/>
      <c r="F51" s="132"/>
      <c r="G51" s="132"/>
      <c r="H51" s="132"/>
      <c r="I51" s="132"/>
      <c r="J51" s="132"/>
      <c r="K51" s="132"/>
      <c r="L51" s="132"/>
    </row>
    <row r="52" spans="1:12" s="464" customFormat="1" ht="12.75" customHeight="1" x14ac:dyDescent="0.25">
      <c r="A52" s="132" t="s">
        <v>1599</v>
      </c>
      <c r="B52" s="132"/>
      <c r="C52" s="132"/>
      <c r="D52" s="132"/>
      <c r="E52" s="132"/>
      <c r="F52" s="132"/>
      <c r="G52" s="132"/>
      <c r="H52" s="132"/>
      <c r="I52" s="132"/>
      <c r="J52" s="132"/>
      <c r="K52" s="132"/>
      <c r="L52" s="132"/>
    </row>
    <row r="53" spans="1:12" s="464" customFormat="1" ht="12.75" customHeight="1" x14ac:dyDescent="0.25">
      <c r="A53" s="132" t="s">
        <v>385</v>
      </c>
      <c r="B53" s="132"/>
      <c r="C53" s="132"/>
      <c r="D53" s="132"/>
      <c r="E53" s="132"/>
      <c r="F53" s="132"/>
      <c r="G53" s="132"/>
      <c r="H53" s="132"/>
      <c r="I53" s="132"/>
      <c r="J53" s="132"/>
      <c r="K53" s="132"/>
      <c r="L53" s="132"/>
    </row>
    <row r="54" spans="1:12" s="464" customFormat="1" ht="11.25" customHeight="1" x14ac:dyDescent="0.25">
      <c r="A54" s="132" t="s">
        <v>115</v>
      </c>
      <c r="B54" s="107"/>
      <c r="C54" s="716"/>
      <c r="D54" s="716"/>
      <c r="E54" s="717"/>
      <c r="F54" s="717"/>
      <c r="G54" s="717"/>
      <c r="H54" s="717"/>
      <c r="I54" s="717"/>
      <c r="J54" s="717"/>
      <c r="K54" s="717"/>
      <c r="L54" s="717"/>
    </row>
    <row r="55" spans="1:12" ht="11.25" customHeight="1" x14ac:dyDescent="0.25">
      <c r="A55" s="133" t="s">
        <v>249</v>
      </c>
      <c r="B55" s="107"/>
      <c r="C55" s="177">
        <f>IF((C42-C48)=0,0,"Unbalanced")</f>
        <v>0</v>
      </c>
      <c r="D55" s="177">
        <f t="shared" ref="D55:L55" si="9">IF((D42-D48)=0,0,"Unbalanced")</f>
        <v>0</v>
      </c>
      <c r="E55" s="177">
        <f t="shared" si="9"/>
        <v>0</v>
      </c>
      <c r="F55" s="177">
        <f t="shared" si="9"/>
        <v>0</v>
      </c>
      <c r="G55" s="177">
        <f t="shared" si="9"/>
        <v>0</v>
      </c>
      <c r="H55" s="177">
        <f t="shared" si="9"/>
        <v>0</v>
      </c>
      <c r="I55" s="177">
        <f t="shared" si="9"/>
        <v>0</v>
      </c>
      <c r="J55" s="177" t="str">
        <f t="shared" si="9"/>
        <v>Unbalanced</v>
      </c>
      <c r="K55" s="177" t="str">
        <f t="shared" si="9"/>
        <v>Unbalanced</v>
      </c>
      <c r="L55" s="177" t="str">
        <f t="shared" si="9"/>
        <v>Unbalanced</v>
      </c>
    </row>
    <row r="56" spans="1:12" ht="11.25" customHeight="1" x14ac:dyDescent="0.25"/>
    <row r="57" spans="1:12" ht="11.25" customHeight="1" x14ac:dyDescent="0.25">
      <c r="B57" s="25"/>
    </row>
    <row r="58" spans="1:12" ht="11.25" customHeight="1" x14ac:dyDescent="0.25">
      <c r="B58" s="25"/>
    </row>
    <row r="59" spans="1:12" ht="11.25" customHeight="1" x14ac:dyDescent="0.25">
      <c r="B59" s="25"/>
    </row>
    <row r="60" spans="1:12" ht="11.25" customHeight="1" x14ac:dyDescent="0.25">
      <c r="B60" s="25"/>
    </row>
    <row r="61" spans="1:12" ht="11.25" customHeight="1" x14ac:dyDescent="0.25"/>
    <row r="62" spans="1:12" ht="11.25" customHeight="1" x14ac:dyDescent="0.25"/>
    <row r="63" spans="1:12" ht="11.25" customHeight="1" x14ac:dyDescent="0.25"/>
    <row r="64" spans="1:12" ht="11.25" customHeight="1" x14ac:dyDescent="0.25"/>
    <row r="65" spans="1:12" ht="11.25" customHeight="1" x14ac:dyDescent="0.25"/>
    <row r="66" spans="1:12" ht="11.25" customHeight="1" x14ac:dyDescent="0.25"/>
    <row r="67" spans="1:12" ht="11.25" customHeight="1" x14ac:dyDescent="0.25"/>
    <row r="68" spans="1:12" ht="11.25" customHeight="1" x14ac:dyDescent="0.25"/>
    <row r="69" spans="1:12" ht="11.25" customHeight="1" x14ac:dyDescent="0.25"/>
    <row r="70" spans="1:12" ht="11.25" customHeight="1" x14ac:dyDescent="0.25"/>
    <row r="71" spans="1:12" s="132" customFormat="1" ht="11.25" customHeight="1" x14ac:dyDescent="0.25">
      <c r="A71" s="132" t="s">
        <v>2041</v>
      </c>
      <c r="B71" s="107"/>
      <c r="C71" s="1299">
        <f>IF(C25&lt;&gt;C40,"Unbalanced",0)</f>
        <v>0</v>
      </c>
      <c r="D71" s="1300" t="str">
        <f t="shared" ref="D71:L71" si="10">IF(D25&lt;&gt;D40,"Unbalanced",0)</f>
        <v>Unbalanced</v>
      </c>
      <c r="E71" s="1300" t="str">
        <f t="shared" si="10"/>
        <v>Unbalanced</v>
      </c>
      <c r="F71" s="1300" t="str">
        <f t="shared" si="10"/>
        <v>Unbalanced</v>
      </c>
      <c r="G71" s="1300" t="str">
        <f t="shared" si="10"/>
        <v>Unbalanced</v>
      </c>
      <c r="H71" s="1300" t="str">
        <f t="shared" si="10"/>
        <v>Unbalanced</v>
      </c>
      <c r="I71" s="1300" t="str">
        <f t="shared" si="10"/>
        <v>Unbalanced</v>
      </c>
      <c r="J71" s="1300" t="str">
        <f t="shared" si="10"/>
        <v>Unbalanced</v>
      </c>
      <c r="K71" s="1300" t="str">
        <f t="shared" si="10"/>
        <v>Unbalanced</v>
      </c>
      <c r="L71" s="1300" t="str">
        <f t="shared" si="10"/>
        <v>Unbalanced</v>
      </c>
    </row>
    <row r="72" spans="1:12" ht="11.25" customHeight="1" x14ac:dyDescent="0.25"/>
    <row r="73" spans="1:12" ht="11.25" customHeight="1" x14ac:dyDescent="0.25"/>
    <row r="74" spans="1:12" ht="11.25" customHeight="1" x14ac:dyDescent="0.25"/>
    <row r="75" spans="1:12" ht="11.25" customHeight="1" x14ac:dyDescent="0.25"/>
    <row r="76" spans="1:12" ht="11.25" customHeight="1" x14ac:dyDescent="0.25"/>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3">
    <mergeCell ref="A50:L50"/>
    <mergeCell ref="J2:L2"/>
    <mergeCell ref="F2:I2"/>
  </mergeCells>
  <phoneticPr fontId="3" type="noConversion"/>
  <conditionalFormatting sqref="C71:L71">
    <cfRule type="cellIs" dxfId="1" priority="2" stopIfTrue="1" operator="greaterThan">
      <formula>" –  "</formula>
    </cfRule>
  </conditionalFormatting>
  <conditionalFormatting sqref="C55:L55">
    <cfRule type="cellIs" dxfId="0" priority="1" stopIfTrue="1" operator="notEqual">
      <formula>0</formula>
    </cfRule>
  </conditionalFormatting>
  <printOptions horizontalCentered="1"/>
  <pageMargins left="0" right="0" top="0.78740157480314965" bottom="0.59055118110236227" header="0.51181102362204722" footer="0.39370078740157483"/>
  <pageSetup paperSize="9" scale="81"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P79"/>
  <sheetViews>
    <sheetView showGridLines="0" zoomScaleNormal="100" workbookViewId="0">
      <pane xSplit="2" ySplit="3" topLeftCell="C13" activePane="bottomRight" state="frozen"/>
      <selection pane="topRight"/>
      <selection pane="bottomLeft"/>
      <selection pane="bottomRight" activeCell="J39" sqref="J39"/>
    </sheetView>
  </sheetViews>
  <sheetFormatPr defaultRowHeight="12.75" x14ac:dyDescent="0.25"/>
  <cols>
    <col min="1" max="1" width="30.7109375" style="25" customWidth="1"/>
    <col min="2" max="2" width="3" style="102" customWidth="1"/>
    <col min="3" max="3" width="6.85546875" style="25" customWidth="1"/>
    <col min="4" max="4" width="8" style="25" customWidth="1"/>
    <col min="5" max="8" width="9.28515625" style="25" customWidth="1"/>
    <col min="9" max="9" width="9.140625" style="25" customWidth="1"/>
    <col min="10"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s="52" customFormat="1" x14ac:dyDescent="0.2">
      <c r="A1" s="23" t="str">
        <f>muni&amp;" - "&amp;Approve7</f>
        <v>EC101 Dr Beyers Naude - Table A7 Budgeted Cash Flows</v>
      </c>
      <c r="B1" s="23"/>
      <c r="C1" s="23"/>
      <c r="D1" s="23"/>
      <c r="E1" s="23"/>
      <c r="F1" s="23"/>
      <c r="G1" s="23"/>
      <c r="H1" s="23"/>
      <c r="I1" s="23"/>
      <c r="J1" s="23"/>
      <c r="K1" s="23"/>
      <c r="L1" s="23"/>
    </row>
    <row r="2" spans="1:12" ht="28.5" customHeight="1" x14ac:dyDescent="0.25">
      <c r="A2" s="609" t="str">
        <f>desc</f>
        <v>Description</v>
      </c>
      <c r="B2" s="22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2" ht="25.5" x14ac:dyDescent="0.25">
      <c r="A3" s="53" t="s">
        <v>573</v>
      </c>
      <c r="B3" s="619"/>
      <c r="C3" s="203" t="str">
        <f>Head5</f>
        <v>Audited Outcome</v>
      </c>
      <c r="D3" s="203" t="str">
        <f>Head5</f>
        <v>Audited Outcome</v>
      </c>
      <c r="E3" s="204" t="str">
        <f>Head5</f>
        <v>Audited Outcome</v>
      </c>
      <c r="F3" s="1298" t="str">
        <f>Head6</f>
        <v>Original Budget</v>
      </c>
      <c r="G3" s="585" t="str">
        <f>Head7</f>
        <v>Adjusted Budget</v>
      </c>
      <c r="H3" s="585" t="str">
        <f>Head8</f>
        <v>Full Year Forecast</v>
      </c>
      <c r="I3" s="1281" t="str">
        <f>Head5b</f>
        <v>Pre-audit outcome</v>
      </c>
      <c r="J3" s="1298" t="str">
        <f>Head9</f>
        <v>Budget Year 2019/20</v>
      </c>
      <c r="K3" s="585" t="str">
        <f>Head10</f>
        <v>Budget Year +1 2020/21</v>
      </c>
      <c r="L3" s="586" t="str">
        <f>Head11</f>
        <v>Budget Year +2 2021/22</v>
      </c>
    </row>
    <row r="4" spans="1:12" ht="11.25" customHeight="1" x14ac:dyDescent="0.25">
      <c r="A4" s="118" t="s">
        <v>816</v>
      </c>
      <c r="B4" s="136"/>
      <c r="C4" s="149"/>
      <c r="D4" s="149"/>
      <c r="E4" s="541"/>
      <c r="F4" s="174"/>
      <c r="G4" s="149"/>
      <c r="H4" s="149"/>
      <c r="I4" s="152"/>
      <c r="J4" s="174"/>
      <c r="K4" s="149"/>
      <c r="L4" s="541"/>
    </row>
    <row r="5" spans="1:12" ht="11.25" customHeight="1" x14ac:dyDescent="0.25">
      <c r="A5" s="118" t="s">
        <v>720</v>
      </c>
      <c r="B5" s="55"/>
      <c r="C5" s="76"/>
      <c r="D5" s="76"/>
      <c r="E5" s="333"/>
      <c r="F5" s="79"/>
      <c r="G5" s="76"/>
      <c r="H5" s="76"/>
      <c r="I5" s="77"/>
      <c r="J5" s="79"/>
      <c r="K5" s="76"/>
      <c r="L5" s="333"/>
    </row>
    <row r="6" spans="1:12" ht="11.25" customHeight="1" x14ac:dyDescent="0.25">
      <c r="A6" s="63" t="s">
        <v>470</v>
      </c>
      <c r="B6" s="55"/>
      <c r="C6" s="1316"/>
      <c r="D6" s="1316">
        <v>21625697</v>
      </c>
      <c r="E6" s="1319">
        <v>31809377</v>
      </c>
      <c r="F6" s="1318">
        <v>27508716.450000003</v>
      </c>
      <c r="G6" s="1316">
        <v>24157684.343100004</v>
      </c>
      <c r="H6" s="1316">
        <v>24157684.343100004</v>
      </c>
      <c r="I6" s="1325">
        <v>24157684.343100004</v>
      </c>
      <c r="J6" s="79">
        <f>'SA30'!N5</f>
        <v>38943029.118499994</v>
      </c>
      <c r="K6" s="76">
        <f>'SA30'!O5</f>
        <v>41279610.865609996</v>
      </c>
      <c r="L6" s="333">
        <f>'SA30'!P5</f>
        <v>43756387.517546602</v>
      </c>
    </row>
    <row r="7" spans="1:12" ht="11.25" customHeight="1" x14ac:dyDescent="0.25">
      <c r="A7" s="63" t="s">
        <v>1428</v>
      </c>
      <c r="B7" s="55"/>
      <c r="C7" s="1316"/>
      <c r="D7" s="1316">
        <v>110859498</v>
      </c>
      <c r="E7" s="1319">
        <v>128935598</v>
      </c>
      <c r="F7" s="1318">
        <v>142100588.90880001</v>
      </c>
      <c r="G7" s="1316">
        <v>159657334.29000002</v>
      </c>
      <c r="H7" s="1316">
        <v>159657334.29000002</v>
      </c>
      <c r="I7" s="1325">
        <v>159657334.29000002</v>
      </c>
      <c r="J7" s="79">
        <f>'SA30'!N6+'SA30'!N7+'SA30'!N8+'SA30'!N9</f>
        <v>187027620.87079999</v>
      </c>
      <c r="K7" s="76">
        <f>'SA30'!O6+'SA30'!O7+'SA30'!O8+'SA30'!O9</f>
        <v>198249278.12304801</v>
      </c>
      <c r="L7" s="333">
        <f>'SA30'!P6+'SA30'!P7+'SA30'!P8+'SA30'!P9</f>
        <v>210144234.81043088</v>
      </c>
    </row>
    <row r="8" spans="1:12" ht="11.25" customHeight="1" x14ac:dyDescent="0.25">
      <c r="A8" s="63" t="s">
        <v>1384</v>
      </c>
      <c r="B8" s="55"/>
      <c r="C8" s="1316"/>
      <c r="D8" s="1316">
        <v>5880007</v>
      </c>
      <c r="E8" s="1319">
        <v>8892879</v>
      </c>
      <c r="F8" s="1318">
        <v>6256490.1799999997</v>
      </c>
      <c r="G8" s="1316">
        <v>6116044</v>
      </c>
      <c r="H8" s="1316">
        <v>6116044</v>
      </c>
      <c r="I8" s="1325">
        <v>6116044</v>
      </c>
      <c r="J8" s="79">
        <f>'SA30'!N11+'SA30'!N15+'SA30'!N16+'SA30'!N17+'SA30'!N19</f>
        <v>11624657.513799999</v>
      </c>
      <c r="K8" s="76">
        <f>'SA30'!O11+'SA30'!O15+'SA30'!O16+'SA30'!O17+'SA30'!O19</f>
        <v>12322136.964628</v>
      </c>
      <c r="L8" s="333">
        <f>'SA30'!P11+'SA30'!P15+'SA30'!P16+'SA30'!P17+'SA30'!P19</f>
        <v>13061465.182505682</v>
      </c>
    </row>
    <row r="9" spans="1:12" ht="11.25" customHeight="1" x14ac:dyDescent="0.25">
      <c r="A9" s="63" t="s">
        <v>1315</v>
      </c>
      <c r="B9" s="55">
        <v>1</v>
      </c>
      <c r="C9" s="1316"/>
      <c r="D9" s="1316">
        <v>109040331</v>
      </c>
      <c r="E9" s="1319">
        <v>114723194</v>
      </c>
      <c r="F9" s="1318">
        <v>97441111</v>
      </c>
      <c r="G9" s="1316">
        <v>101162356</v>
      </c>
      <c r="H9" s="1316">
        <v>101162356</v>
      </c>
      <c r="I9" s="1325">
        <v>101162356</v>
      </c>
      <c r="J9" s="79">
        <f>'SA30'!N18</f>
        <v>102332054.5</v>
      </c>
      <c r="K9" s="76">
        <f>'SA30'!O18</f>
        <v>108471977.77000001</v>
      </c>
      <c r="L9" s="333">
        <f>'SA30'!P18</f>
        <v>114980296.43620002</v>
      </c>
    </row>
    <row r="10" spans="1:12" ht="11.25" customHeight="1" x14ac:dyDescent="0.25">
      <c r="A10" s="63" t="s">
        <v>1316</v>
      </c>
      <c r="B10" s="55">
        <v>1</v>
      </c>
      <c r="C10" s="1316"/>
      <c r="D10" s="1316">
        <v>66635389</v>
      </c>
      <c r="E10" s="1319">
        <v>55463982</v>
      </c>
      <c r="F10" s="1318">
        <v>44517000</v>
      </c>
      <c r="G10" s="1316">
        <v>64336474</v>
      </c>
      <c r="H10" s="1316">
        <v>64336474</v>
      </c>
      <c r="I10" s="1325">
        <v>64336474</v>
      </c>
      <c r="J10" s="79">
        <f>'SA30'!N23</f>
        <v>33818000</v>
      </c>
      <c r="K10" s="76">
        <f>'SA30'!O23</f>
        <v>35847080</v>
      </c>
      <c r="L10" s="333">
        <f>'SA30'!P23</f>
        <v>37997904.800000004</v>
      </c>
    </row>
    <row r="11" spans="1:12" ht="11.25" customHeight="1" x14ac:dyDescent="0.25">
      <c r="A11" s="63" t="s">
        <v>293</v>
      </c>
      <c r="B11" s="55"/>
      <c r="C11" s="1316"/>
      <c r="D11" s="1316">
        <v>7586037</v>
      </c>
      <c r="E11" s="1319">
        <v>11469497</v>
      </c>
      <c r="F11" s="1318">
        <v>11048775.370000001</v>
      </c>
      <c r="G11" s="1316">
        <v>6105933</v>
      </c>
      <c r="H11" s="1316">
        <v>6105933</v>
      </c>
      <c r="I11" s="1325">
        <v>6105933</v>
      </c>
      <c r="J11" s="79">
        <f>'SA30'!N12+'SA30'!N13</f>
        <v>7166464</v>
      </c>
      <c r="K11" s="76">
        <f>'SA30'!O12+'SA30'!O13</f>
        <v>7596451.8399999999</v>
      </c>
      <c r="L11" s="333">
        <f>'SA30'!P12+'SA30'!P13</f>
        <v>8052238.9504000004</v>
      </c>
    </row>
    <row r="12" spans="1:12" ht="11.25" customHeight="1" x14ac:dyDescent="0.25">
      <c r="A12" s="63" t="s">
        <v>529</v>
      </c>
      <c r="B12" s="55"/>
      <c r="C12" s="1316"/>
      <c r="D12" s="1316"/>
      <c r="E12" s="1319"/>
      <c r="F12" s="1318">
        <v>0</v>
      </c>
      <c r="G12" s="1316">
        <v>0</v>
      </c>
      <c r="H12" s="1316">
        <v>0</v>
      </c>
      <c r="I12" s="1325">
        <v>0</v>
      </c>
      <c r="J12" s="79">
        <f>'SA30'!N14</f>
        <v>0</v>
      </c>
      <c r="K12" s="76">
        <f>'SA30'!O14</f>
        <v>0</v>
      </c>
      <c r="L12" s="333">
        <f>'SA30'!P14</f>
        <v>0</v>
      </c>
    </row>
    <row r="13" spans="1:12" ht="11.25" customHeight="1" x14ac:dyDescent="0.25">
      <c r="A13" s="118" t="s">
        <v>721</v>
      </c>
      <c r="B13" s="55"/>
      <c r="C13" s="76"/>
      <c r="D13" s="76"/>
      <c r="E13" s="333"/>
      <c r="F13" s="79"/>
      <c r="G13" s="76"/>
      <c r="H13" s="76"/>
      <c r="I13" s="77"/>
      <c r="J13" s="79"/>
      <c r="K13" s="76"/>
      <c r="L13" s="333"/>
    </row>
    <row r="14" spans="1:12" ht="11.25" customHeight="1" x14ac:dyDescent="0.25">
      <c r="A14" s="63" t="s">
        <v>1317</v>
      </c>
      <c r="B14" s="55"/>
      <c r="C14" s="1316"/>
      <c r="D14" s="1316">
        <v>-232142903</v>
      </c>
      <c r="E14" s="1319">
        <f>-328960039</f>
        <v>-328960039</v>
      </c>
      <c r="F14" s="1318">
        <v>-295283567.53109163</v>
      </c>
      <c r="G14" s="1316">
        <v>-313917567.53109163</v>
      </c>
      <c r="H14" s="1316">
        <v>-313917567.53109163</v>
      </c>
      <c r="I14" s="1325">
        <v>-313917567.53109163</v>
      </c>
      <c r="J14" s="79">
        <f>-('SA30'!N35+'SA30'!N36+'SA30'!N38+'SA30'!N39+'SA30'!N40+'SA30'!N41+'SA30'!N44+'SA30'!N50)</f>
        <v>-344509861.73979998</v>
      </c>
      <c r="K14" s="76">
        <f>-('SA30'!O35+'SA30'!O36+'SA30'!O38+'SA30'!O39+'SA30'!O40+'SA30'!O41+'SA30'!O44+'SA30'!O50)</f>
        <v>-364655493.44418794</v>
      </c>
      <c r="L14" s="333">
        <f>-('SA30'!P35+'SA30'!P36+'SA30'!P38+'SA30'!P39+'SA30'!P40+'SA30'!P41+'SA30'!P44+'SA30'!P50)</f>
        <v>-375533863.05083925</v>
      </c>
    </row>
    <row r="15" spans="1:12" ht="11.25" customHeight="1" x14ac:dyDescent="0.25">
      <c r="A15" s="63" t="s">
        <v>1383</v>
      </c>
      <c r="B15" s="55"/>
      <c r="C15" s="1316"/>
      <c r="D15" s="1316">
        <f>-6160131</f>
        <v>-6160131</v>
      </c>
      <c r="E15" s="1319">
        <f>-7228759</f>
        <v>-7228759</v>
      </c>
      <c r="F15" s="1318">
        <v>-5575600</v>
      </c>
      <c r="G15" s="1316">
        <v>-2787800</v>
      </c>
      <c r="H15" s="1316">
        <v>-2787800</v>
      </c>
      <c r="I15" s="1325">
        <v>-2787800</v>
      </c>
      <c r="J15" s="79">
        <f>-('SA30'!N37)</f>
        <v>-3787800</v>
      </c>
      <c r="K15" s="76">
        <f>-('SA30'!O37)</f>
        <v>-4015068</v>
      </c>
      <c r="L15" s="333">
        <f>-('SA30'!P37)</f>
        <v>-4255972.08</v>
      </c>
    </row>
    <row r="16" spans="1:12" ht="11.25" customHeight="1" x14ac:dyDescent="0.25">
      <c r="A16" s="63" t="s">
        <v>1130</v>
      </c>
      <c r="B16" s="55">
        <v>1</v>
      </c>
      <c r="C16" s="1346"/>
      <c r="D16" s="1346"/>
      <c r="E16" s="1347"/>
      <c r="F16" s="1348">
        <v>-239188.76</v>
      </c>
      <c r="G16" s="1346">
        <v>-202593.76</v>
      </c>
      <c r="H16" s="1346">
        <v>-202593.76</v>
      </c>
      <c r="I16" s="1349">
        <v>-202593.76</v>
      </c>
      <c r="J16" s="698">
        <f>-('SA30'!N42+'SA30'!N43)</f>
        <v>-35394</v>
      </c>
      <c r="K16" s="694">
        <f>-('SA30'!O42+'SA30'!O43)</f>
        <v>-37517.64</v>
      </c>
      <c r="L16" s="766">
        <f>-('SA30'!P42+'SA30'!P43)</f>
        <v>-39768.698400000001</v>
      </c>
    </row>
    <row r="17" spans="1:12" ht="11.25" customHeight="1" x14ac:dyDescent="0.25">
      <c r="A17" s="175" t="s">
        <v>602</v>
      </c>
      <c r="B17" s="176"/>
      <c r="C17" s="122">
        <f t="shared" ref="C17:L17" si="0">SUM(C6:C12)+SUM(C14:C16)</f>
        <v>0</v>
      </c>
      <c r="D17" s="122">
        <f t="shared" si="0"/>
        <v>83323925</v>
      </c>
      <c r="E17" s="123">
        <f t="shared" si="0"/>
        <v>15105729</v>
      </c>
      <c r="F17" s="124">
        <f t="shared" si="0"/>
        <v>27774325.617708385</v>
      </c>
      <c r="G17" s="122">
        <f t="shared" si="0"/>
        <v>44627864.342008412</v>
      </c>
      <c r="H17" s="122">
        <f t="shared" si="0"/>
        <v>44627864.342008412</v>
      </c>
      <c r="I17" s="121">
        <f t="shared" si="0"/>
        <v>44627864.342008412</v>
      </c>
      <c r="J17" s="125">
        <f t="shared" si="0"/>
        <v>32578770.263300002</v>
      </c>
      <c r="K17" s="122">
        <f t="shared" si="0"/>
        <v>35058456.479098082</v>
      </c>
      <c r="L17" s="507">
        <f t="shared" si="0"/>
        <v>48162923.867843926</v>
      </c>
    </row>
    <row r="18" spans="1:12" ht="4.9000000000000004" customHeight="1" x14ac:dyDescent="0.25">
      <c r="A18" s="74"/>
      <c r="B18" s="55"/>
      <c r="C18" s="76"/>
      <c r="D18" s="76"/>
      <c r="E18" s="77"/>
      <c r="F18" s="78"/>
      <c r="G18" s="76"/>
      <c r="H18" s="76"/>
      <c r="I18" s="75"/>
      <c r="J18" s="79"/>
      <c r="K18" s="76"/>
      <c r="L18" s="333"/>
    </row>
    <row r="19" spans="1:12" ht="11.25" customHeight="1" x14ac:dyDescent="0.25">
      <c r="A19" s="118" t="s">
        <v>250</v>
      </c>
      <c r="B19" s="55"/>
      <c r="C19" s="76"/>
      <c r="D19" s="76"/>
      <c r="E19" s="77"/>
      <c r="F19" s="78"/>
      <c r="G19" s="76"/>
      <c r="H19" s="76"/>
      <c r="I19" s="75"/>
      <c r="J19" s="79"/>
      <c r="K19" s="76"/>
      <c r="L19" s="333"/>
    </row>
    <row r="20" spans="1:12" ht="11.25" customHeight="1" x14ac:dyDescent="0.25">
      <c r="A20" s="118" t="s">
        <v>720</v>
      </c>
      <c r="B20" s="55"/>
      <c r="C20" s="86"/>
      <c r="D20" s="86"/>
      <c r="E20" s="87"/>
      <c r="F20" s="88"/>
      <c r="G20" s="86"/>
      <c r="H20" s="86"/>
      <c r="I20" s="85"/>
      <c r="J20" s="89"/>
      <c r="K20" s="86"/>
      <c r="L20" s="392"/>
    </row>
    <row r="21" spans="1:12" ht="11.25" customHeight="1" x14ac:dyDescent="0.25">
      <c r="A21" s="63" t="s">
        <v>1360</v>
      </c>
      <c r="B21" s="55"/>
      <c r="C21" s="1316"/>
      <c r="D21" s="1316">
        <v>3659821</v>
      </c>
      <c r="E21" s="1325">
        <v>10100</v>
      </c>
      <c r="F21" s="1333"/>
      <c r="G21" s="1329"/>
      <c r="H21" s="1329"/>
      <c r="I21" s="1327"/>
      <c r="J21" s="117">
        <f>'SA30'!N24+'SA30'!N25</f>
        <v>0</v>
      </c>
      <c r="K21" s="114">
        <f>'SA30'!O24+'SA30'!O25</f>
        <v>0</v>
      </c>
      <c r="L21" s="1291">
        <f>'SA30'!P24+'SA30'!P25</f>
        <v>0</v>
      </c>
    </row>
    <row r="22" spans="1:12" ht="11.25" customHeight="1" x14ac:dyDescent="0.25">
      <c r="A22" s="63" t="s">
        <v>1093</v>
      </c>
      <c r="B22" s="55"/>
      <c r="C22" s="1316"/>
      <c r="D22" s="1329"/>
      <c r="E22" s="1332"/>
      <c r="F22" s="1326"/>
      <c r="G22" s="1316"/>
      <c r="H22" s="1316"/>
      <c r="I22" s="1327"/>
      <c r="J22" s="79">
        <f>'SA30'!N29</f>
        <v>0</v>
      </c>
      <c r="K22" s="76">
        <f>'SA30'!O29</f>
        <v>0</v>
      </c>
      <c r="L22" s="333">
        <f>'SA30'!P29</f>
        <v>0</v>
      </c>
    </row>
    <row r="23" spans="1:12" ht="11.25" customHeight="1" x14ac:dyDescent="0.25">
      <c r="A23" s="63" t="s">
        <v>600</v>
      </c>
      <c r="B23" s="55"/>
      <c r="C23" s="1329"/>
      <c r="D23" s="1316"/>
      <c r="E23" s="1325"/>
      <c r="F23" s="1333"/>
      <c r="G23" s="1329"/>
      <c r="H23" s="1329"/>
      <c r="I23" s="1327"/>
      <c r="J23" s="117">
        <f>'SA30'!N30</f>
        <v>0</v>
      </c>
      <c r="K23" s="114">
        <f>'SA30'!O30</f>
        <v>0</v>
      </c>
      <c r="L23" s="1291">
        <f>'SA30'!P30</f>
        <v>0</v>
      </c>
    </row>
    <row r="24" spans="1:12" ht="11.25" customHeight="1" x14ac:dyDescent="0.25">
      <c r="A24" s="63" t="s">
        <v>601</v>
      </c>
      <c r="B24" s="55"/>
      <c r="C24" s="1316"/>
      <c r="D24" s="1316"/>
      <c r="E24" s="1325"/>
      <c r="F24" s="1326"/>
      <c r="G24" s="1316"/>
      <c r="H24" s="1316"/>
      <c r="I24" s="1327"/>
      <c r="J24" s="79">
        <f>'SA30'!N31</f>
        <v>0</v>
      </c>
      <c r="K24" s="76">
        <f>'SA30'!O31</f>
        <v>0</v>
      </c>
      <c r="L24" s="333">
        <f>'SA30'!P31</f>
        <v>0</v>
      </c>
    </row>
    <row r="25" spans="1:12" ht="11.25" customHeight="1" x14ac:dyDescent="0.25">
      <c r="A25" s="118" t="s">
        <v>721</v>
      </c>
      <c r="B25" s="55"/>
      <c r="C25" s="745"/>
      <c r="D25" s="745"/>
      <c r="E25" s="768"/>
      <c r="F25" s="769"/>
      <c r="G25" s="745"/>
      <c r="H25" s="745"/>
      <c r="I25" s="770"/>
      <c r="J25" s="79"/>
      <c r="K25" s="76"/>
      <c r="L25" s="333"/>
    </row>
    <row r="26" spans="1:12" ht="11.25" customHeight="1" x14ac:dyDescent="0.25">
      <c r="A26" s="63" t="s">
        <v>1318</v>
      </c>
      <c r="B26" s="55"/>
      <c r="C26" s="1316"/>
      <c r="D26" s="1316">
        <f>-62499090</f>
        <v>-62499090</v>
      </c>
      <c r="E26" s="1325">
        <f>-53459027</f>
        <v>-53459027</v>
      </c>
      <c r="F26" s="1326">
        <v>-31817000</v>
      </c>
      <c r="G26" s="1316">
        <v>-47615289</v>
      </c>
      <c r="H26" s="1316">
        <v>-47615289</v>
      </c>
      <c r="I26" s="1327">
        <v>-47615289</v>
      </c>
      <c r="J26" s="79">
        <f>-('SA30'!N48)</f>
        <v>-32447438.100000001</v>
      </c>
      <c r="K26" s="76">
        <f>-('SA30'!O48)</f>
        <v>-32447438.100000001</v>
      </c>
      <c r="L26" s="333">
        <f>-('SA30'!P48)</f>
        <v>-49972500</v>
      </c>
    </row>
    <row r="27" spans="1:12" ht="11.25" customHeight="1" x14ac:dyDescent="0.25">
      <c r="A27" s="175" t="s">
        <v>603</v>
      </c>
      <c r="B27" s="176"/>
      <c r="C27" s="122">
        <f>SUM(C21:C24)+C26</f>
        <v>0</v>
      </c>
      <c r="D27" s="122">
        <f t="shared" ref="D27:L27" si="1">SUM(D21:D24)+D26</f>
        <v>-58839269</v>
      </c>
      <c r="E27" s="123">
        <f t="shared" si="1"/>
        <v>-53448927</v>
      </c>
      <c r="F27" s="124">
        <f t="shared" si="1"/>
        <v>-31817000</v>
      </c>
      <c r="G27" s="122">
        <f t="shared" si="1"/>
        <v>-47615289</v>
      </c>
      <c r="H27" s="122">
        <f t="shared" si="1"/>
        <v>-47615289</v>
      </c>
      <c r="I27" s="121">
        <f t="shared" si="1"/>
        <v>-47615289</v>
      </c>
      <c r="J27" s="125">
        <f t="shared" si="1"/>
        <v>-32447438.100000001</v>
      </c>
      <c r="K27" s="122">
        <f t="shared" si="1"/>
        <v>-32447438.100000001</v>
      </c>
      <c r="L27" s="507">
        <f t="shared" si="1"/>
        <v>-49972500</v>
      </c>
    </row>
    <row r="28" spans="1:12" ht="4.9000000000000004" customHeight="1" x14ac:dyDescent="0.25">
      <c r="A28" s="74"/>
      <c r="B28" s="55"/>
      <c r="C28" s="76"/>
      <c r="D28" s="76"/>
      <c r="E28" s="77"/>
      <c r="F28" s="78"/>
      <c r="G28" s="76"/>
      <c r="H28" s="76"/>
      <c r="I28" s="75"/>
      <c r="J28" s="79"/>
      <c r="K28" s="76"/>
      <c r="L28" s="333"/>
    </row>
    <row r="29" spans="1:12" ht="11.25" customHeight="1" x14ac:dyDescent="0.25">
      <c r="A29" s="118" t="s">
        <v>1143</v>
      </c>
      <c r="B29" s="55"/>
      <c r="C29" s="76"/>
      <c r="D29" s="76"/>
      <c r="E29" s="77"/>
      <c r="F29" s="78"/>
      <c r="G29" s="76"/>
      <c r="H29" s="76"/>
      <c r="I29" s="75"/>
      <c r="J29" s="79"/>
      <c r="K29" s="76"/>
      <c r="L29" s="333"/>
    </row>
    <row r="30" spans="1:12" ht="11.25" customHeight="1" x14ac:dyDescent="0.25">
      <c r="A30" s="118" t="s">
        <v>720</v>
      </c>
      <c r="B30" s="55"/>
      <c r="C30" s="76"/>
      <c r="D30" s="76"/>
      <c r="E30" s="77"/>
      <c r="F30" s="78"/>
      <c r="G30" s="76"/>
      <c r="H30" s="76"/>
      <c r="I30" s="75"/>
      <c r="J30" s="79"/>
      <c r="K30" s="76"/>
      <c r="L30" s="333"/>
    </row>
    <row r="31" spans="1:12" ht="11.25" customHeight="1" x14ac:dyDescent="0.25">
      <c r="A31" s="63" t="s">
        <v>723</v>
      </c>
      <c r="B31" s="55"/>
      <c r="C31" s="1316"/>
      <c r="D31" s="1316"/>
      <c r="E31" s="1325"/>
      <c r="F31" s="1326"/>
      <c r="G31" s="1316"/>
      <c r="H31" s="1316"/>
      <c r="I31" s="1327"/>
      <c r="J31" s="79">
        <f>'SA30'!N26</f>
        <v>0</v>
      </c>
      <c r="K31" s="76">
        <f>'SA30'!O26</f>
        <v>0</v>
      </c>
      <c r="L31" s="333">
        <f>'SA30'!P26</f>
        <v>0</v>
      </c>
    </row>
    <row r="32" spans="1:12" ht="11.25" customHeight="1" x14ac:dyDescent="0.25">
      <c r="A32" s="63" t="s">
        <v>693</v>
      </c>
      <c r="B32" s="55"/>
      <c r="C32" s="1316"/>
      <c r="D32" s="1316"/>
      <c r="E32" s="1325"/>
      <c r="F32" s="1326"/>
      <c r="G32" s="1316"/>
      <c r="H32" s="1316"/>
      <c r="I32" s="1327"/>
      <c r="J32" s="79">
        <f>'SA30'!N27</f>
        <v>0</v>
      </c>
      <c r="K32" s="76">
        <f>'SA30'!O27</f>
        <v>0</v>
      </c>
      <c r="L32" s="333">
        <f>'SA30'!P27</f>
        <v>0</v>
      </c>
    </row>
    <row r="33" spans="1:16" ht="11.25" customHeight="1" x14ac:dyDescent="0.25">
      <c r="A33" s="63" t="s">
        <v>330</v>
      </c>
      <c r="B33" s="55"/>
      <c r="C33" s="1316"/>
      <c r="D33" s="1316"/>
      <c r="E33" s="1325"/>
      <c r="F33" s="1326">
        <v>100000</v>
      </c>
      <c r="G33" s="1329">
        <v>100000</v>
      </c>
      <c r="H33" s="1329">
        <v>100000</v>
      </c>
      <c r="I33" s="1334">
        <v>100000</v>
      </c>
      <c r="J33" s="79">
        <f>'SA30'!N28</f>
        <v>0</v>
      </c>
      <c r="K33" s="76">
        <f>'SA30'!O28</f>
        <v>0</v>
      </c>
      <c r="L33" s="333">
        <f>'SA30'!P28</f>
        <v>0</v>
      </c>
    </row>
    <row r="34" spans="1:16" ht="11.25" customHeight="1" x14ac:dyDescent="0.25">
      <c r="A34" s="118" t="s">
        <v>721</v>
      </c>
      <c r="B34" s="55"/>
      <c r="C34" s="745"/>
      <c r="D34" s="745"/>
      <c r="E34" s="768"/>
      <c r="F34" s="769"/>
      <c r="G34" s="745"/>
      <c r="H34" s="745"/>
      <c r="I34" s="770"/>
      <c r="J34" s="79"/>
      <c r="K34" s="76"/>
      <c r="L34" s="333"/>
    </row>
    <row r="35" spans="1:16" ht="11.25" customHeight="1" x14ac:dyDescent="0.25">
      <c r="A35" s="63" t="s">
        <v>722</v>
      </c>
      <c r="B35" s="55"/>
      <c r="C35" s="1316"/>
      <c r="D35" s="1316"/>
      <c r="E35" s="1325"/>
      <c r="F35" s="1326"/>
      <c r="G35" s="1316"/>
      <c r="H35" s="1316"/>
      <c r="I35" s="1327"/>
      <c r="J35" s="79">
        <f>-('SA30'!N49)</f>
        <v>0</v>
      </c>
      <c r="K35" s="76">
        <f>-('SA30'!O49)</f>
        <v>0</v>
      </c>
      <c r="L35" s="333">
        <f>-('SA30'!P49)</f>
        <v>0</v>
      </c>
    </row>
    <row r="36" spans="1:16" ht="11.25" customHeight="1" x14ac:dyDescent="0.25">
      <c r="A36" s="175" t="s">
        <v>719</v>
      </c>
      <c r="B36" s="176"/>
      <c r="C36" s="122">
        <f>SUM(C31:C33)+C35</f>
        <v>0</v>
      </c>
      <c r="D36" s="122">
        <f t="shared" ref="D36:L36" si="2">SUM(D31:D33)+D35</f>
        <v>0</v>
      </c>
      <c r="E36" s="123">
        <f t="shared" si="2"/>
        <v>0</v>
      </c>
      <c r="F36" s="124">
        <f t="shared" si="2"/>
        <v>100000</v>
      </c>
      <c r="G36" s="122">
        <f t="shared" si="2"/>
        <v>100000</v>
      </c>
      <c r="H36" s="122">
        <f t="shared" si="2"/>
        <v>100000</v>
      </c>
      <c r="I36" s="121">
        <f t="shared" si="2"/>
        <v>100000</v>
      </c>
      <c r="J36" s="125">
        <f t="shared" si="2"/>
        <v>0</v>
      </c>
      <c r="K36" s="122">
        <f t="shared" si="2"/>
        <v>0</v>
      </c>
      <c r="L36" s="507">
        <f t="shared" si="2"/>
        <v>0</v>
      </c>
    </row>
    <row r="37" spans="1:16" ht="4.9000000000000004" customHeight="1" x14ac:dyDescent="0.25">
      <c r="A37" s="74"/>
      <c r="B37" s="55"/>
      <c r="C37" s="76"/>
      <c r="D37" s="76"/>
      <c r="E37" s="77"/>
      <c r="F37" s="78"/>
      <c r="G37" s="76"/>
      <c r="H37" s="76"/>
      <c r="I37" s="75"/>
      <c r="J37" s="79"/>
      <c r="K37" s="76"/>
      <c r="L37" s="333"/>
    </row>
    <row r="38" spans="1:16" ht="11.25" customHeight="1" x14ac:dyDescent="0.25">
      <c r="A38" s="118" t="s">
        <v>1391</v>
      </c>
      <c r="B38" s="55"/>
      <c r="C38" s="86">
        <f>C17+C27+C36</f>
        <v>0</v>
      </c>
      <c r="D38" s="86">
        <f t="shared" ref="D38:L38" si="3">D17+D27+D36</f>
        <v>24484656</v>
      </c>
      <c r="E38" s="87">
        <f t="shared" si="3"/>
        <v>-38343198</v>
      </c>
      <c r="F38" s="88">
        <f t="shared" si="3"/>
        <v>-3942674.382291615</v>
      </c>
      <c r="G38" s="86">
        <f t="shared" si="3"/>
        <v>-2887424.6579915881</v>
      </c>
      <c r="H38" s="86">
        <f t="shared" si="3"/>
        <v>-2887424.6579915881</v>
      </c>
      <c r="I38" s="85">
        <f t="shared" si="3"/>
        <v>-2887424.6579915881</v>
      </c>
      <c r="J38" s="89">
        <f t="shared" si="3"/>
        <v>131332.16330000013</v>
      </c>
      <c r="K38" s="86">
        <f t="shared" si="3"/>
        <v>2611018.3790980801</v>
      </c>
      <c r="L38" s="392">
        <f t="shared" si="3"/>
        <v>-1809576.132156074</v>
      </c>
    </row>
    <row r="39" spans="1:16" ht="11.25" customHeight="1" x14ac:dyDescent="0.25">
      <c r="A39" s="63" t="s">
        <v>817</v>
      </c>
      <c r="B39" s="55">
        <v>2</v>
      </c>
      <c r="C39" s="1340"/>
      <c r="D39" s="1340">
        <v>2969955</v>
      </c>
      <c r="E39" s="1340">
        <v>27454611</v>
      </c>
      <c r="F39" s="1340">
        <v>5764260.5225000381</v>
      </c>
      <c r="G39" s="1340">
        <v>5764260.5225000381</v>
      </c>
      <c r="H39" s="1340">
        <v>5764260.5225000381</v>
      </c>
      <c r="I39" s="1340">
        <v>5764260.5225000381</v>
      </c>
      <c r="J39" s="89">
        <f>'SA30'!N54</f>
        <v>0</v>
      </c>
      <c r="K39" s="86">
        <f>J40</f>
        <v>131332.16330000013</v>
      </c>
      <c r="L39" s="392">
        <f>K40</f>
        <v>2742350.5423980802</v>
      </c>
    </row>
    <row r="40" spans="1:16" ht="11.25" customHeight="1" x14ac:dyDescent="0.25">
      <c r="A40" s="758" t="s">
        <v>1131</v>
      </c>
      <c r="B40" s="179">
        <v>2</v>
      </c>
      <c r="C40" s="128">
        <f>C38+C39</f>
        <v>0</v>
      </c>
      <c r="D40" s="128">
        <f>D38+D39</f>
        <v>27454611</v>
      </c>
      <c r="E40" s="129">
        <f>E38+E39</f>
        <v>-10888587</v>
      </c>
      <c r="F40" s="130">
        <f t="shared" ref="F40:L40" si="4">F38+F39</f>
        <v>1821586.1402084231</v>
      </c>
      <c r="G40" s="128">
        <f t="shared" si="4"/>
        <v>2876835.86450845</v>
      </c>
      <c r="H40" s="128">
        <f t="shared" si="4"/>
        <v>2876835.86450845</v>
      </c>
      <c r="I40" s="127">
        <f t="shared" si="4"/>
        <v>2876835.86450845</v>
      </c>
      <c r="J40" s="131">
        <f t="shared" si="4"/>
        <v>131332.16330000013</v>
      </c>
      <c r="K40" s="128">
        <f t="shared" si="4"/>
        <v>2742350.5423980802</v>
      </c>
      <c r="L40" s="1305">
        <f t="shared" si="4"/>
        <v>932774.41024200618</v>
      </c>
    </row>
    <row r="41" spans="1:16" s="464" customFormat="1" ht="11.25" customHeight="1" x14ac:dyDescent="0.25">
      <c r="A41" s="101" t="str">
        <f>head27a</f>
        <v>References</v>
      </c>
      <c r="B41" s="102"/>
      <c r="C41" s="104"/>
      <c r="D41" s="104"/>
      <c r="E41" s="104"/>
      <c r="F41" s="104"/>
      <c r="G41" s="104"/>
      <c r="H41" s="104"/>
      <c r="I41" s="104"/>
      <c r="J41" s="104"/>
      <c r="K41" s="104"/>
      <c r="L41" s="104"/>
      <c r="M41" s="25"/>
      <c r="N41" s="25"/>
      <c r="O41" s="25"/>
      <c r="P41" s="25"/>
    </row>
    <row r="42" spans="1:16" s="464" customFormat="1" ht="11.25" customHeight="1" x14ac:dyDescent="0.25">
      <c r="A42" s="132" t="s">
        <v>995</v>
      </c>
      <c r="B42" s="102"/>
      <c r="C42" s="104"/>
      <c r="D42" s="104"/>
      <c r="E42" s="104"/>
      <c r="F42" s="104"/>
      <c r="G42" s="104"/>
      <c r="H42" s="104"/>
      <c r="I42" s="104"/>
      <c r="J42" s="104"/>
      <c r="K42" s="104"/>
      <c r="L42" s="104"/>
      <c r="M42" s="25"/>
      <c r="N42" s="25"/>
      <c r="O42" s="25"/>
      <c r="P42" s="25"/>
    </row>
    <row r="43" spans="1:16" s="464" customFormat="1" ht="11.25" customHeight="1" x14ac:dyDescent="0.25">
      <c r="A43" s="132" t="s">
        <v>818</v>
      </c>
      <c r="B43" s="102"/>
      <c r="C43" s="103"/>
      <c r="D43" s="103"/>
      <c r="E43" s="104"/>
      <c r="F43" s="104"/>
      <c r="G43" s="104"/>
      <c r="H43" s="104"/>
      <c r="I43" s="104"/>
      <c r="J43" s="104"/>
      <c r="K43" s="104"/>
      <c r="L43" s="104"/>
      <c r="N43" s="25"/>
      <c r="O43" s="25"/>
      <c r="P43" s="25"/>
    </row>
    <row r="44" spans="1:16" ht="11.25" customHeight="1" x14ac:dyDescent="0.25">
      <c r="A44" s="1303" t="s">
        <v>2043</v>
      </c>
      <c r="B44" s="107"/>
      <c r="C44" s="108"/>
      <c r="D44" s="108"/>
      <c r="E44" s="148"/>
      <c r="F44" s="109"/>
      <c r="G44" s="109"/>
      <c r="H44" s="109"/>
      <c r="I44" s="109"/>
      <c r="J44" s="109"/>
      <c r="K44" s="109"/>
      <c r="L44" s="109"/>
    </row>
    <row r="45" spans="1:16" ht="11.25" customHeight="1" x14ac:dyDescent="0.25">
      <c r="A45" s="25" t="s">
        <v>531</v>
      </c>
      <c r="C45" s="75">
        <f t="shared" ref="C45:L45" si="5">SUM(C6:C12)+SUM(C21:C23)</f>
        <v>0</v>
      </c>
      <c r="D45" s="75">
        <f t="shared" si="5"/>
        <v>325286780</v>
      </c>
      <c r="E45" s="75">
        <f t="shared" si="5"/>
        <v>351304627</v>
      </c>
      <c r="F45" s="75">
        <f t="shared" si="5"/>
        <v>328872681.90880001</v>
      </c>
      <c r="G45" s="75">
        <f t="shared" si="5"/>
        <v>361535825.63310003</v>
      </c>
      <c r="H45" s="75">
        <f t="shared" si="5"/>
        <v>361535825.63310003</v>
      </c>
      <c r="I45" s="75">
        <f t="shared" si="5"/>
        <v>361535825.63310003</v>
      </c>
      <c r="J45" s="75">
        <f t="shared" si="5"/>
        <v>380911826.00309998</v>
      </c>
      <c r="K45" s="75">
        <f t="shared" si="5"/>
        <v>403766535.56328601</v>
      </c>
      <c r="L45" s="75">
        <f t="shared" si="5"/>
        <v>427992527.69708318</v>
      </c>
    </row>
    <row r="46" spans="1:16" ht="11.25" customHeight="1" x14ac:dyDescent="0.25">
      <c r="A46" s="25" t="s">
        <v>233</v>
      </c>
      <c r="C46" s="75">
        <f>SUM(C14:C16)+C26</f>
        <v>0</v>
      </c>
      <c r="D46" s="75">
        <f t="shared" ref="D46:L46" si="6">SUM(D14:D16)+D26</f>
        <v>-300802124</v>
      </c>
      <c r="E46" s="75">
        <f t="shared" si="6"/>
        <v>-389647825</v>
      </c>
      <c r="F46" s="75">
        <f t="shared" si="6"/>
        <v>-332915356.29109162</v>
      </c>
      <c r="G46" s="75">
        <f t="shared" si="6"/>
        <v>-364523250.29109162</v>
      </c>
      <c r="H46" s="75">
        <f t="shared" si="6"/>
        <v>-364523250.29109162</v>
      </c>
      <c r="I46" s="75">
        <f t="shared" si="6"/>
        <v>-364523250.29109162</v>
      </c>
      <c r="J46" s="75">
        <f t="shared" si="6"/>
        <v>-380780493.8398</v>
      </c>
      <c r="K46" s="75">
        <f t="shared" si="6"/>
        <v>-401155517.18418795</v>
      </c>
      <c r="L46" s="75">
        <f t="shared" si="6"/>
        <v>-429802103.82923925</v>
      </c>
    </row>
    <row r="47" spans="1:16" ht="11.25" customHeight="1" x14ac:dyDescent="0.25">
      <c r="C47" s="75">
        <f>C45+C46</f>
        <v>0</v>
      </c>
      <c r="D47" s="75">
        <f t="shared" ref="D47:L47" si="7">D45+D46</f>
        <v>24484656</v>
      </c>
      <c r="E47" s="75">
        <f t="shared" si="7"/>
        <v>-38343198</v>
      </c>
      <c r="F47" s="75">
        <f t="shared" si="7"/>
        <v>-4042674.382291615</v>
      </c>
      <c r="G47" s="75">
        <f t="shared" si="7"/>
        <v>-2987424.6579915881</v>
      </c>
      <c r="H47" s="75">
        <f t="shared" si="7"/>
        <v>-2987424.6579915881</v>
      </c>
      <c r="I47" s="75">
        <f t="shared" si="7"/>
        <v>-2987424.6579915881</v>
      </c>
      <c r="J47" s="75">
        <f t="shared" si="7"/>
        <v>131332.16329997778</v>
      </c>
      <c r="K47" s="75">
        <f t="shared" si="7"/>
        <v>2611018.3790980577</v>
      </c>
      <c r="L47" s="75">
        <f t="shared" si="7"/>
        <v>-1809576.132156074</v>
      </c>
    </row>
    <row r="48" spans="1:16" ht="11.25" customHeight="1" x14ac:dyDescent="0.25">
      <c r="A48" s="25" t="s">
        <v>292</v>
      </c>
      <c r="C48" s="75">
        <f>C24+C32+C33</f>
        <v>0</v>
      </c>
      <c r="D48" s="75">
        <f t="shared" ref="D48:L48" si="8">D24+D32+D33</f>
        <v>0</v>
      </c>
      <c r="E48" s="75">
        <f t="shared" si="8"/>
        <v>0</v>
      </c>
      <c r="F48" s="75">
        <f t="shared" si="8"/>
        <v>100000</v>
      </c>
      <c r="G48" s="75">
        <f t="shared" si="8"/>
        <v>100000</v>
      </c>
      <c r="H48" s="75">
        <f t="shared" si="8"/>
        <v>100000</v>
      </c>
      <c r="I48" s="75">
        <f t="shared" si="8"/>
        <v>100000</v>
      </c>
      <c r="J48" s="75">
        <f t="shared" si="8"/>
        <v>0</v>
      </c>
      <c r="K48" s="75">
        <f t="shared" si="8"/>
        <v>0</v>
      </c>
      <c r="L48" s="75">
        <f t="shared" si="8"/>
        <v>0</v>
      </c>
    </row>
    <row r="49" spans="1:12" ht="11.25" customHeight="1" x14ac:dyDescent="0.25">
      <c r="A49" s="25" t="str">
        <f>A35</f>
        <v>Repayment of borrowing</v>
      </c>
      <c r="C49" s="75">
        <f>C35</f>
        <v>0</v>
      </c>
      <c r="D49" s="75">
        <f t="shared" ref="D49:L49" si="9">D35</f>
        <v>0</v>
      </c>
      <c r="E49" s="75">
        <f t="shared" si="9"/>
        <v>0</v>
      </c>
      <c r="F49" s="75">
        <f t="shared" si="9"/>
        <v>0</v>
      </c>
      <c r="G49" s="75">
        <f t="shared" si="9"/>
        <v>0</v>
      </c>
      <c r="H49" s="75">
        <f t="shared" si="9"/>
        <v>0</v>
      </c>
      <c r="I49" s="75">
        <f>I35</f>
        <v>0</v>
      </c>
      <c r="J49" s="75">
        <f t="shared" si="9"/>
        <v>0</v>
      </c>
      <c r="K49" s="75">
        <f t="shared" si="9"/>
        <v>0</v>
      </c>
      <c r="L49" s="75">
        <f t="shared" si="9"/>
        <v>0</v>
      </c>
    </row>
    <row r="50" spans="1:12" ht="11.25" customHeight="1" x14ac:dyDescent="0.25">
      <c r="C50" s="75">
        <f>C47+C48+C49</f>
        <v>0</v>
      </c>
      <c r="D50" s="75">
        <f t="shared" ref="D50:L50" si="10">D47+D48+D49</f>
        <v>24484656</v>
      </c>
      <c r="E50" s="75">
        <f t="shared" si="10"/>
        <v>-38343198</v>
      </c>
      <c r="F50" s="75">
        <f t="shared" si="10"/>
        <v>-3942674.382291615</v>
      </c>
      <c r="G50" s="75">
        <f t="shared" si="10"/>
        <v>-2887424.6579915881</v>
      </c>
      <c r="H50" s="75">
        <f t="shared" si="10"/>
        <v>-2887424.6579915881</v>
      </c>
      <c r="I50" s="75">
        <f t="shared" si="10"/>
        <v>-2887424.6579915881</v>
      </c>
      <c r="J50" s="75">
        <f t="shared" si="10"/>
        <v>131332.16329997778</v>
      </c>
      <c r="K50" s="75">
        <f t="shared" si="10"/>
        <v>2611018.3790980577</v>
      </c>
      <c r="L50" s="75">
        <f t="shared" si="10"/>
        <v>-1809576.132156074</v>
      </c>
    </row>
    <row r="51" spans="1:12" ht="11.25" customHeight="1" x14ac:dyDescent="0.25">
      <c r="C51" s="113">
        <f t="shared" ref="C51:L51" si="11">C38-C50</f>
        <v>0</v>
      </c>
      <c r="D51" s="113">
        <f t="shared" si="11"/>
        <v>0</v>
      </c>
      <c r="E51" s="113">
        <f t="shared" si="11"/>
        <v>0</v>
      </c>
      <c r="F51" s="113">
        <f t="shared" si="11"/>
        <v>0</v>
      </c>
      <c r="G51" s="113">
        <f t="shared" si="11"/>
        <v>0</v>
      </c>
      <c r="H51" s="113">
        <f t="shared" si="11"/>
        <v>0</v>
      </c>
      <c r="I51" s="113">
        <f t="shared" si="11"/>
        <v>0</v>
      </c>
      <c r="J51" s="113">
        <f t="shared" si="11"/>
        <v>2.2351741790771484E-8</v>
      </c>
      <c r="K51" s="113">
        <f t="shared" si="11"/>
        <v>2.2351741790771484E-8</v>
      </c>
      <c r="L51" s="113">
        <f t="shared" si="11"/>
        <v>0</v>
      </c>
    </row>
    <row r="52" spans="1:12" ht="11.25" customHeight="1" x14ac:dyDescent="0.25"/>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mergeCells count="2">
    <mergeCell ref="J2:L2"/>
    <mergeCell ref="F2:I2"/>
  </mergeCells>
  <phoneticPr fontId="3" type="noConversion"/>
  <printOptions horizontalCentered="1"/>
  <pageMargins left="0" right="0" top="0.78740157480314965" bottom="0.59055118110236227" header="0.51181102362204722" footer="0.39370078740157483"/>
  <pageSetup paperSize="9" scale="81"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N98"/>
  <sheetViews>
    <sheetView showGridLines="0" zoomScaleNormal="100" workbookViewId="0">
      <pane xSplit="2" ySplit="3" topLeftCell="C4" activePane="bottomRight" state="frozen"/>
      <selection pane="topRight"/>
      <selection pane="bottomLeft"/>
      <selection pane="bottomRight" sqref="A1:L19"/>
    </sheetView>
  </sheetViews>
  <sheetFormatPr defaultRowHeight="12.75" x14ac:dyDescent="0.25"/>
  <cols>
    <col min="1" max="1" width="30.7109375" style="25" customWidth="1"/>
    <col min="2" max="2" width="3" style="102" customWidth="1"/>
    <col min="3" max="5" width="12.7109375" style="25" customWidth="1"/>
    <col min="6" max="8" width="9.28515625" style="25" customWidth="1"/>
    <col min="9" max="9" width="9.140625" style="25" customWidth="1"/>
    <col min="10"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s="52" customFormat="1" x14ac:dyDescent="0.2">
      <c r="A1" s="23" t="str">
        <f>muni&amp;" - "&amp;Approve8</f>
        <v>EC101 Dr Beyers Naude - Table A8 Cash backed reserves/accumulated surplus reconciliation</v>
      </c>
      <c r="B1" s="23"/>
      <c r="C1" s="23"/>
      <c r="D1" s="23"/>
      <c r="E1" s="23"/>
      <c r="F1" s="23"/>
      <c r="G1" s="23"/>
      <c r="H1" s="23"/>
      <c r="I1" s="23"/>
      <c r="J1" s="23"/>
      <c r="K1" s="23"/>
      <c r="L1" s="23"/>
    </row>
    <row r="2" spans="1:12" ht="28.5" customHeight="1" x14ac:dyDescent="0.25">
      <c r="A2" s="609" t="str">
        <f>desc</f>
        <v>Description</v>
      </c>
      <c r="B2" s="220" t="str">
        <f>head27</f>
        <v>Ref</v>
      </c>
      <c r="C2" s="26" t="str">
        <f>head1b</f>
        <v>2015/16</v>
      </c>
      <c r="D2" s="26" t="str">
        <f>head1A</f>
        <v>2016/17</v>
      </c>
      <c r="E2" s="22" t="str">
        <f>Head1</f>
        <v>2017/18</v>
      </c>
      <c r="F2" s="1907" t="str">
        <f>Head2</f>
        <v>Current Year 2018/19</v>
      </c>
      <c r="G2" s="1908"/>
      <c r="H2" s="1908"/>
      <c r="I2" s="1908"/>
      <c r="J2" s="1925" t="str">
        <f>Head3</f>
        <v>2019/20 Medium Term Revenue &amp; Expenditure Framework</v>
      </c>
      <c r="K2" s="1926"/>
      <c r="L2" s="1927"/>
    </row>
    <row r="3" spans="1:12" ht="25.5" x14ac:dyDescent="0.25">
      <c r="A3" s="53" t="s">
        <v>573</v>
      </c>
      <c r="B3" s="619"/>
      <c r="C3" s="203" t="str">
        <f>Head5</f>
        <v>Audited Outcome</v>
      </c>
      <c r="D3" s="203" t="str">
        <f>Head5</f>
        <v>Audited Outcome</v>
      </c>
      <c r="E3" s="204" t="str">
        <f>Head5</f>
        <v>Audited Outcome</v>
      </c>
      <c r="F3" s="141" t="str">
        <f>Head6</f>
        <v>Original Budget</v>
      </c>
      <c r="G3" s="203" t="str">
        <f>Head7</f>
        <v>Adjusted Budget</v>
      </c>
      <c r="H3" s="204" t="str">
        <f>Head8</f>
        <v>Full Year Forecast</v>
      </c>
      <c r="I3" s="202" t="str">
        <f>Head5b</f>
        <v>Pre-audit outcome</v>
      </c>
      <c r="J3" s="617" t="str">
        <f>Head9</f>
        <v>Budget Year 2019/20</v>
      </c>
      <c r="K3" s="203" t="str">
        <f>Head10</f>
        <v>Budget Year +1 2020/21</v>
      </c>
      <c r="L3" s="1836" t="str">
        <f>Head11</f>
        <v>Budget Year +2 2021/22</v>
      </c>
    </row>
    <row r="4" spans="1:12" x14ac:dyDescent="0.25">
      <c r="A4" s="54" t="s">
        <v>1068</v>
      </c>
      <c r="B4" s="55"/>
      <c r="C4" s="76"/>
      <c r="D4" s="76"/>
      <c r="E4" s="77"/>
      <c r="F4" s="78"/>
      <c r="G4" s="76"/>
      <c r="H4" s="77"/>
      <c r="I4" s="75"/>
      <c r="J4" s="180"/>
      <c r="K4" s="76"/>
      <c r="L4" s="333"/>
    </row>
    <row r="5" spans="1:12" ht="11.25" customHeight="1" x14ac:dyDescent="0.25">
      <c r="A5" s="63" t="str">
        <f>LEFT('A7-CFlow'!A40,37)</f>
        <v>Cash/cash equivalents at the year end</v>
      </c>
      <c r="B5" s="55">
        <v>1</v>
      </c>
      <c r="C5" s="76">
        <f>'A7-CFlow'!C40</f>
        <v>0</v>
      </c>
      <c r="D5" s="76">
        <f>'A7-CFlow'!D40</f>
        <v>27454611</v>
      </c>
      <c r="E5" s="77">
        <f>'A7-CFlow'!E40</f>
        <v>-10888587</v>
      </c>
      <c r="F5" s="78">
        <f>'A7-CFlow'!F40</f>
        <v>1821586.1402084231</v>
      </c>
      <c r="G5" s="76">
        <f>'A7-CFlow'!G40</f>
        <v>2876835.86450845</v>
      </c>
      <c r="H5" s="77">
        <f>'A7-CFlow'!H40</f>
        <v>2876835.86450845</v>
      </c>
      <c r="I5" s="75">
        <f>'A7-CFlow'!I40</f>
        <v>2876835.86450845</v>
      </c>
      <c r="J5" s="79">
        <f>'A7-CFlow'!J40</f>
        <v>131332.16330000013</v>
      </c>
      <c r="K5" s="76">
        <f>'A7-CFlow'!K40</f>
        <v>2742350.5423980802</v>
      </c>
      <c r="L5" s="333">
        <f>'A7-CFlow'!L40</f>
        <v>932774.41024200618</v>
      </c>
    </row>
    <row r="6" spans="1:12" ht="11.25" customHeight="1" x14ac:dyDescent="0.25">
      <c r="A6" s="63" t="s">
        <v>1388</v>
      </c>
      <c r="B6" s="55"/>
      <c r="C6" s="76">
        <f>'A6-FinPos'!C6+'A6-FinPos'!C7-'A6-FinPos'!C29-'A8-ResRecon'!C5</f>
        <v>0</v>
      </c>
      <c r="D6" s="76">
        <f>'A6-FinPos'!D6+'A6-FinPos'!D7-'A6-FinPos'!D29-'A8-ResRecon'!D5</f>
        <v>0</v>
      </c>
      <c r="E6" s="77">
        <f>'A6-FinPos'!E6+'A6-FinPos'!E7-'A6-FinPos'!E29-'A8-ResRecon'!E5</f>
        <v>0</v>
      </c>
      <c r="F6" s="78">
        <f>'A6-FinPos'!F6+'A6-FinPos'!F7-'A6-FinPos'!F29-'A8-ResRecon'!F5</f>
        <v>1050411</v>
      </c>
      <c r="G6" s="76">
        <f>'A6-FinPos'!G6+'A6-FinPos'!G7-'A6-FinPos'!G29-'A8-ResRecon'!G5</f>
        <v>-4838.7243000268936</v>
      </c>
      <c r="H6" s="77">
        <f>'A6-FinPos'!H6+'A6-FinPos'!H7-'A6-FinPos'!H29-'A8-ResRecon'!H5</f>
        <v>-4838.7243000268936</v>
      </c>
      <c r="I6" s="75">
        <f>'A6-FinPos'!I6+'A6-FinPos'!I7-'A6-FinPos'!I29-'A8-ResRecon'!I5</f>
        <v>-4838.7243000268936</v>
      </c>
      <c r="J6" s="79">
        <f>'A6-FinPos'!J6+'A6-FinPos'!J7-'A6-FinPos'!J29-'A8-ResRecon'!J5</f>
        <v>1000000</v>
      </c>
      <c r="K6" s="76">
        <f>'A6-FinPos'!K6+'A6-FinPos'!K7-'A6-FinPos'!K29-'A8-ResRecon'!K5</f>
        <v>1000000</v>
      </c>
      <c r="L6" s="333">
        <f>'A6-FinPos'!L6+'A6-FinPos'!L7-'A6-FinPos'!L29-'A8-ResRecon'!L5</f>
        <v>1000000</v>
      </c>
    </row>
    <row r="7" spans="1:12" ht="11.25" customHeight="1" x14ac:dyDescent="0.25">
      <c r="A7" s="63" t="str">
        <f>'A6-FinPos'!A14&amp;" - "&amp;'A6-FinPos'!A16</f>
        <v>Non current assets - Investments</v>
      </c>
      <c r="B7" s="55">
        <v>1</v>
      </c>
      <c r="C7" s="76">
        <f>'A6-FinPos'!C16</f>
        <v>0</v>
      </c>
      <c r="D7" s="76">
        <f>'A6-FinPos'!D16</f>
        <v>0</v>
      </c>
      <c r="E7" s="77">
        <f>'A6-FinPos'!E16</f>
        <v>0</v>
      </c>
      <c r="F7" s="115">
        <f>'A6-FinPos'!F16</f>
        <v>2648000</v>
      </c>
      <c r="G7" s="114">
        <f>'A6-FinPos'!G16</f>
        <v>2648000</v>
      </c>
      <c r="H7" s="116">
        <f>'A6-FinPos'!H16</f>
        <v>2648000</v>
      </c>
      <c r="I7" s="75">
        <f>'A6-FinPos'!I16</f>
        <v>2648000</v>
      </c>
      <c r="J7" s="117">
        <f>'A6-FinPos'!J16</f>
        <v>2648000</v>
      </c>
      <c r="K7" s="114">
        <f>'A6-FinPos'!K16</f>
        <v>2648000</v>
      </c>
      <c r="L7" s="1291">
        <f>'A6-FinPos'!L16</f>
        <v>2648000</v>
      </c>
    </row>
    <row r="8" spans="1:12" ht="11.25" customHeight="1" x14ac:dyDescent="0.25">
      <c r="A8" s="175" t="s">
        <v>1069</v>
      </c>
      <c r="B8" s="176"/>
      <c r="C8" s="122">
        <f>SUM(C5:C7)</f>
        <v>0</v>
      </c>
      <c r="D8" s="122">
        <f t="shared" ref="D8:L8" si="0">SUM(D5:D7)</f>
        <v>27454611</v>
      </c>
      <c r="E8" s="123">
        <f t="shared" si="0"/>
        <v>-10888587</v>
      </c>
      <c r="F8" s="124">
        <f t="shared" si="0"/>
        <v>5519997.1402084231</v>
      </c>
      <c r="G8" s="122">
        <f t="shared" si="0"/>
        <v>5519997.1402084231</v>
      </c>
      <c r="H8" s="123">
        <f t="shared" si="0"/>
        <v>5519997.1402084231</v>
      </c>
      <c r="I8" s="121">
        <f t="shared" si="0"/>
        <v>5519997.1402084231</v>
      </c>
      <c r="J8" s="125">
        <f t="shared" si="0"/>
        <v>3779332.1633000001</v>
      </c>
      <c r="K8" s="122">
        <f t="shared" si="0"/>
        <v>6390350.5423980802</v>
      </c>
      <c r="L8" s="507">
        <f t="shared" si="0"/>
        <v>4580774.4102420062</v>
      </c>
    </row>
    <row r="9" spans="1:12" ht="4.9000000000000004" customHeight="1" x14ac:dyDescent="0.25">
      <c r="A9" s="74"/>
      <c r="B9" s="55"/>
      <c r="C9" s="76"/>
      <c r="D9" s="76"/>
      <c r="E9" s="77"/>
      <c r="F9" s="78"/>
      <c r="G9" s="76"/>
      <c r="H9" s="77"/>
      <c r="I9" s="75"/>
      <c r="J9" s="79"/>
      <c r="K9" s="76"/>
      <c r="L9" s="333"/>
    </row>
    <row r="10" spans="1:12" ht="11.25" customHeight="1" x14ac:dyDescent="0.25">
      <c r="A10" s="54" t="s">
        <v>996</v>
      </c>
      <c r="B10" s="55"/>
      <c r="C10" s="76"/>
      <c r="D10" s="76"/>
      <c r="E10" s="77"/>
      <c r="F10" s="78"/>
      <c r="G10" s="76"/>
      <c r="H10" s="77"/>
      <c r="I10" s="75"/>
      <c r="J10" s="79"/>
      <c r="K10" s="76"/>
      <c r="L10" s="333"/>
    </row>
    <row r="11" spans="1:12" ht="11.25" customHeight="1" x14ac:dyDescent="0.25">
      <c r="A11" s="63" t="str">
        <f>'SA3'!A37</f>
        <v>Unspent conditional transfers</v>
      </c>
      <c r="B11" s="55"/>
      <c r="C11" s="114">
        <f>'SA3'!C37</f>
        <v>0</v>
      </c>
      <c r="D11" s="76">
        <f>'SA3'!D37</f>
        <v>26295463</v>
      </c>
      <c r="E11" s="77">
        <f>'SA3'!E37</f>
        <v>2535507</v>
      </c>
      <c r="F11" s="78">
        <f>'SA3'!F37</f>
        <v>0</v>
      </c>
      <c r="G11" s="76">
        <f>'SA3'!G37</f>
        <v>0</v>
      </c>
      <c r="H11" s="77">
        <f>'SA3'!H37</f>
        <v>0</v>
      </c>
      <c r="I11" s="75">
        <f>'SA3'!I37</f>
        <v>0</v>
      </c>
      <c r="J11" s="79">
        <f>'SA3'!J37</f>
        <v>0</v>
      </c>
      <c r="K11" s="76">
        <f>'SA3'!K37</f>
        <v>0</v>
      </c>
      <c r="L11" s="333">
        <f>'SA3'!L37</f>
        <v>0</v>
      </c>
    </row>
    <row r="12" spans="1:12" ht="11.25" customHeight="1" x14ac:dyDescent="0.25">
      <c r="A12" s="63" t="s">
        <v>133</v>
      </c>
      <c r="B12" s="55"/>
      <c r="C12" s="114">
        <f>'SA17'!C67</f>
        <v>0</v>
      </c>
      <c r="D12" s="114">
        <f>'SA17'!D67</f>
        <v>0</v>
      </c>
      <c r="E12" s="116">
        <f>'SA17'!E67</f>
        <v>0</v>
      </c>
      <c r="F12" s="115">
        <f>'SA17'!F67</f>
        <v>0</v>
      </c>
      <c r="G12" s="114">
        <f>'SA17'!G67</f>
        <v>0</v>
      </c>
      <c r="H12" s="116">
        <f>'SA17'!H67</f>
        <v>0</v>
      </c>
      <c r="I12" s="1113"/>
      <c r="J12" s="117">
        <f>'SA17'!I67</f>
        <v>0</v>
      </c>
      <c r="K12" s="114">
        <f>'SA17'!J67</f>
        <v>0</v>
      </c>
      <c r="L12" s="1291">
        <f>'SA17'!K67</f>
        <v>0</v>
      </c>
    </row>
    <row r="13" spans="1:12" ht="11.25" customHeight="1" x14ac:dyDescent="0.25">
      <c r="A13" s="63" t="s">
        <v>997</v>
      </c>
      <c r="B13" s="55">
        <v>2</v>
      </c>
      <c r="C13" s="1329"/>
      <c r="D13" s="1329"/>
      <c r="E13" s="1332"/>
      <c r="F13" s="1333"/>
      <c r="G13" s="1329"/>
      <c r="H13" s="1332"/>
      <c r="I13" s="1334"/>
      <c r="J13" s="1335"/>
      <c r="K13" s="1329"/>
      <c r="L13" s="1330"/>
    </row>
    <row r="14" spans="1:12" ht="11.25" customHeight="1" x14ac:dyDescent="0.25">
      <c r="A14" s="63" t="s">
        <v>335</v>
      </c>
      <c r="B14" s="55">
        <v>3</v>
      </c>
      <c r="C14" s="76">
        <f>-C32</f>
        <v>0</v>
      </c>
      <c r="D14" s="76">
        <f t="shared" ref="D14:L14" si="1">-D32</f>
        <v>79825362</v>
      </c>
      <c r="E14" s="77">
        <f t="shared" si="1"/>
        <v>95759900</v>
      </c>
      <c r="F14" s="78">
        <f>-F32</f>
        <v>43296914</v>
      </c>
      <c r="G14" s="76">
        <f t="shared" si="1"/>
        <v>43938914</v>
      </c>
      <c r="H14" s="77">
        <f t="shared" si="1"/>
        <v>43938914</v>
      </c>
      <c r="I14" s="75">
        <f t="shared" si="1"/>
        <v>43938914</v>
      </c>
      <c r="J14" s="79">
        <f t="shared" si="1"/>
        <v>-49941000</v>
      </c>
      <c r="K14" s="76">
        <f t="shared" si="1"/>
        <v>-52806000</v>
      </c>
      <c r="L14" s="333">
        <f t="shared" si="1"/>
        <v>-111108000</v>
      </c>
    </row>
    <row r="15" spans="1:12" ht="11.25" customHeight="1" x14ac:dyDescent="0.25">
      <c r="A15" s="63" t="s">
        <v>512</v>
      </c>
      <c r="B15" s="55"/>
      <c r="C15" s="1329"/>
      <c r="D15" s="1329"/>
      <c r="E15" s="1332"/>
      <c r="F15" s="1333"/>
      <c r="G15" s="1329"/>
      <c r="H15" s="1332"/>
      <c r="I15" s="1334"/>
      <c r="J15" s="1335"/>
      <c r="K15" s="1329"/>
      <c r="L15" s="1330"/>
    </row>
    <row r="16" spans="1:12" ht="11.25" customHeight="1" x14ac:dyDescent="0.25">
      <c r="A16" s="63" t="s">
        <v>336</v>
      </c>
      <c r="B16" s="55">
        <v>4</v>
      </c>
      <c r="C16" s="76">
        <f>C52</f>
        <v>0</v>
      </c>
      <c r="D16" s="76">
        <f t="shared" ref="D16:L16" si="2">D52</f>
        <v>0</v>
      </c>
      <c r="E16" s="77">
        <f t="shared" si="2"/>
        <v>0</v>
      </c>
      <c r="F16" s="115">
        <f t="shared" si="2"/>
        <v>0</v>
      </c>
      <c r="G16" s="114">
        <f t="shared" si="2"/>
        <v>0</v>
      </c>
      <c r="H16" s="116">
        <f t="shared" si="2"/>
        <v>0</v>
      </c>
      <c r="I16" s="113">
        <f t="shared" si="2"/>
        <v>0</v>
      </c>
      <c r="J16" s="117">
        <f t="shared" si="2"/>
        <v>0</v>
      </c>
      <c r="K16" s="114">
        <f t="shared" si="2"/>
        <v>0</v>
      </c>
      <c r="L16" s="1291">
        <f t="shared" si="2"/>
        <v>0</v>
      </c>
    </row>
    <row r="17" spans="1:14" ht="11.25" customHeight="1" x14ac:dyDescent="0.25">
      <c r="A17" s="63" t="s">
        <v>1070</v>
      </c>
      <c r="B17" s="55">
        <v>5</v>
      </c>
      <c r="C17" s="1316"/>
      <c r="D17" s="1316"/>
      <c r="E17" s="1325"/>
      <c r="F17" s="1326"/>
      <c r="G17" s="1316"/>
      <c r="H17" s="1325"/>
      <c r="I17" s="1327"/>
      <c r="J17" s="1318"/>
      <c r="K17" s="1316"/>
      <c r="L17" s="1319"/>
    </row>
    <row r="18" spans="1:14" ht="11.25" customHeight="1" x14ac:dyDescent="0.25">
      <c r="A18" s="175" t="str">
        <f>"Total "&amp;A10&amp;":"</f>
        <v>Total Application of cash and investments:</v>
      </c>
      <c r="B18" s="176"/>
      <c r="C18" s="122">
        <f>SUM(C11:C17)</f>
        <v>0</v>
      </c>
      <c r="D18" s="122">
        <f t="shared" ref="D18:L18" si="3">SUM(D11:D17)</f>
        <v>106120825</v>
      </c>
      <c r="E18" s="123">
        <f t="shared" si="3"/>
        <v>98295407</v>
      </c>
      <c r="F18" s="124">
        <f t="shared" si="3"/>
        <v>43296914</v>
      </c>
      <c r="G18" s="122">
        <f t="shared" si="3"/>
        <v>43938914</v>
      </c>
      <c r="H18" s="123">
        <f t="shared" si="3"/>
        <v>43938914</v>
      </c>
      <c r="I18" s="121">
        <f t="shared" si="3"/>
        <v>43938914</v>
      </c>
      <c r="J18" s="125">
        <f t="shared" si="3"/>
        <v>-49941000</v>
      </c>
      <c r="K18" s="122">
        <f t="shared" si="3"/>
        <v>-52806000</v>
      </c>
      <c r="L18" s="507">
        <f t="shared" si="3"/>
        <v>-111108000</v>
      </c>
      <c r="N18" s="181"/>
    </row>
    <row r="19" spans="1:14" ht="11.25" customHeight="1" x14ac:dyDescent="0.25">
      <c r="A19" s="178" t="s">
        <v>245</v>
      </c>
      <c r="B19" s="179"/>
      <c r="C19" s="128">
        <f>C8-C18</f>
        <v>0</v>
      </c>
      <c r="D19" s="128">
        <f t="shared" ref="D19:L19" si="4">D8-D18</f>
        <v>-78666214</v>
      </c>
      <c r="E19" s="129">
        <f t="shared" si="4"/>
        <v>-109183994</v>
      </c>
      <c r="F19" s="130">
        <f t="shared" si="4"/>
        <v>-37776916.859791577</v>
      </c>
      <c r="G19" s="128">
        <f t="shared" si="4"/>
        <v>-38418916.859791577</v>
      </c>
      <c r="H19" s="129">
        <f t="shared" si="4"/>
        <v>-38418916.859791577</v>
      </c>
      <c r="I19" s="127">
        <f t="shared" si="4"/>
        <v>-38418916.859791577</v>
      </c>
      <c r="J19" s="131">
        <f t="shared" si="4"/>
        <v>53720332.1633</v>
      </c>
      <c r="K19" s="128">
        <f t="shared" si="4"/>
        <v>59196350.54239808</v>
      </c>
      <c r="L19" s="1305">
        <f t="shared" si="4"/>
        <v>115688774.41024201</v>
      </c>
      <c r="N19" s="181"/>
    </row>
    <row r="20" spans="1:14" ht="11.25" customHeight="1" x14ac:dyDescent="0.25">
      <c r="A20" s="101" t="str">
        <f>head27a</f>
        <v>References</v>
      </c>
      <c r="B20" s="25"/>
      <c r="C20" s="148"/>
      <c r="D20" s="148"/>
      <c r="E20" s="148"/>
      <c r="F20" s="148"/>
      <c r="G20" s="148"/>
      <c r="H20" s="148"/>
      <c r="I20" s="148"/>
      <c r="J20" s="148"/>
      <c r="K20" s="148"/>
      <c r="L20" s="148"/>
    </row>
    <row r="21" spans="1:14" ht="11.25" customHeight="1" x14ac:dyDescent="0.25">
      <c r="A21" s="105" t="s">
        <v>1319</v>
      </c>
      <c r="B21" s="25"/>
    </row>
    <row r="22" spans="1:14" ht="11.25" customHeight="1" x14ac:dyDescent="0.25">
      <c r="A22" s="105" t="s">
        <v>998</v>
      </c>
      <c r="B22" s="25"/>
    </row>
    <row r="23" spans="1:14" ht="11.25" customHeight="1" x14ac:dyDescent="0.25">
      <c r="A23" s="105" t="s">
        <v>251</v>
      </c>
      <c r="B23" s="25"/>
    </row>
    <row r="24" spans="1:14" ht="11.25" customHeight="1" x14ac:dyDescent="0.25">
      <c r="A24" s="105" t="s">
        <v>254</v>
      </c>
      <c r="B24" s="25"/>
    </row>
    <row r="25" spans="1:14" ht="11.25" customHeight="1" x14ac:dyDescent="0.25">
      <c r="A25" s="105" t="s">
        <v>253</v>
      </c>
      <c r="B25" s="25"/>
    </row>
    <row r="26" spans="1:14" ht="6" customHeight="1" x14ac:dyDescent="0.25">
      <c r="B26" s="25"/>
    </row>
    <row r="27" spans="1:14" ht="11.25" customHeight="1" x14ac:dyDescent="0.25">
      <c r="A27" s="182"/>
      <c r="B27" s="25"/>
      <c r="C27" s="85"/>
      <c r="D27" s="85"/>
      <c r="E27" s="85"/>
      <c r="F27" s="85"/>
      <c r="G27" s="85"/>
      <c r="H27" s="85"/>
      <c r="I27" s="85"/>
      <c r="J27" s="85"/>
      <c r="K27" s="85"/>
      <c r="L27" s="85"/>
    </row>
    <row r="28" spans="1:14" ht="11.25" customHeight="1" x14ac:dyDescent="0.25">
      <c r="A28" s="183" t="s">
        <v>335</v>
      </c>
      <c r="B28" s="25"/>
      <c r="C28" s="85"/>
      <c r="D28" s="85"/>
      <c r="E28" s="85"/>
      <c r="F28" s="85"/>
      <c r="G28" s="85"/>
      <c r="H28" s="85"/>
      <c r="I28" s="85"/>
      <c r="J28" s="85"/>
      <c r="K28" s="85"/>
      <c r="L28" s="85"/>
    </row>
    <row r="29" spans="1:14" ht="11.25" customHeight="1" x14ac:dyDescent="0.25">
      <c r="A29" s="25" t="s">
        <v>1988</v>
      </c>
      <c r="B29" s="25"/>
      <c r="C29" s="75">
        <f>IF(ISERROR(ROUND(C35*C36,-3)),0,(ROUND(C35*C36,-3)))</f>
        <v>0</v>
      </c>
      <c r="D29" s="75">
        <f t="shared" ref="D29:L29" si="5">IF(ISERROR(ROUND(D35*D36,-3)),0,(ROUND(D35*D36,-3)))</f>
        <v>17617000</v>
      </c>
      <c r="E29" s="75">
        <f t="shared" si="5"/>
        <v>34131000</v>
      </c>
      <c r="F29" s="75">
        <f t="shared" si="5"/>
        <v>46391000</v>
      </c>
      <c r="G29" s="75">
        <f t="shared" si="5"/>
        <v>67470000</v>
      </c>
      <c r="H29" s="75">
        <f t="shared" si="5"/>
        <v>67470000</v>
      </c>
      <c r="I29" s="75">
        <f t="shared" si="5"/>
        <v>67470000</v>
      </c>
      <c r="J29" s="75">
        <f t="shared" si="5"/>
        <v>100191000</v>
      </c>
      <c r="K29" s="75">
        <f t="shared" si="5"/>
        <v>97056000</v>
      </c>
      <c r="L29" s="75">
        <f t="shared" si="5"/>
        <v>158013000</v>
      </c>
    </row>
    <row r="30" spans="1:14" ht="3" customHeight="1" x14ac:dyDescent="0.25">
      <c r="B30" s="25"/>
      <c r="C30" s="75"/>
      <c r="D30" s="75"/>
      <c r="E30" s="75"/>
      <c r="F30" s="75"/>
      <c r="G30" s="75"/>
      <c r="H30" s="75"/>
      <c r="I30" s="75"/>
      <c r="J30" s="75"/>
      <c r="K30" s="75"/>
      <c r="L30" s="75"/>
    </row>
    <row r="31" spans="1:14" ht="11.25" customHeight="1" x14ac:dyDescent="0.25">
      <c r="A31" s="1862" t="s">
        <v>1986</v>
      </c>
      <c r="B31" s="25"/>
      <c r="C31" s="75">
        <f>'SA3'!C35+'SA3'!C36</f>
        <v>0</v>
      </c>
      <c r="D31" s="75">
        <f>'SA3'!D35+'SA3'!D36</f>
        <v>97442362</v>
      </c>
      <c r="E31" s="75">
        <f>'SA3'!E35+'SA3'!E36</f>
        <v>129890900</v>
      </c>
      <c r="F31" s="75">
        <f>'SA3'!F35+'SA3'!F36</f>
        <v>89687914</v>
      </c>
      <c r="G31" s="75">
        <f>'SA3'!G35+'SA3'!G36</f>
        <v>111408914</v>
      </c>
      <c r="H31" s="75">
        <f>'SA3'!H35+'SA3'!H36</f>
        <v>111408914</v>
      </c>
      <c r="I31" s="75">
        <f>'SA3'!I35+'SA3'!I36</f>
        <v>111408914</v>
      </c>
      <c r="J31" s="75">
        <f>'SA3'!J35+'SA3'!J36</f>
        <v>50250000</v>
      </c>
      <c r="K31" s="75">
        <f>'SA3'!K35+'SA3'!K36</f>
        <v>44250000</v>
      </c>
      <c r="L31" s="75">
        <f>'SA3'!L35+'SA3'!L36</f>
        <v>46905000</v>
      </c>
    </row>
    <row r="32" spans="1:14" ht="11.25" customHeight="1" x14ac:dyDescent="0.25">
      <c r="A32" s="25" t="s">
        <v>670</v>
      </c>
      <c r="B32" s="25"/>
      <c r="C32" s="1210">
        <f>C29-C31</f>
        <v>0</v>
      </c>
      <c r="D32" s="1210">
        <f t="shared" ref="D32:L32" si="6">D29-D31</f>
        <v>-79825362</v>
      </c>
      <c r="E32" s="1210">
        <f t="shared" si="6"/>
        <v>-95759900</v>
      </c>
      <c r="F32" s="1210">
        <f t="shared" si="6"/>
        <v>-43296914</v>
      </c>
      <c r="G32" s="1210">
        <f t="shared" si="6"/>
        <v>-43938914</v>
      </c>
      <c r="H32" s="1210">
        <f t="shared" si="6"/>
        <v>-43938914</v>
      </c>
      <c r="I32" s="1210">
        <f t="shared" si="6"/>
        <v>-43938914</v>
      </c>
      <c r="J32" s="1210">
        <f t="shared" si="6"/>
        <v>49941000</v>
      </c>
      <c r="K32" s="1210">
        <f t="shared" si="6"/>
        <v>52806000</v>
      </c>
      <c r="L32" s="1210">
        <f t="shared" si="6"/>
        <v>111108000</v>
      </c>
    </row>
    <row r="33" spans="1:12" ht="6" customHeight="1" x14ac:dyDescent="0.25">
      <c r="B33" s="25"/>
      <c r="C33" s="75"/>
      <c r="D33" s="75"/>
      <c r="E33" s="75"/>
      <c r="F33" s="75"/>
      <c r="G33" s="75"/>
      <c r="H33" s="75"/>
      <c r="I33" s="75"/>
      <c r="J33" s="75"/>
      <c r="K33" s="75"/>
      <c r="L33" s="75"/>
    </row>
    <row r="34" spans="1:12" ht="11.25" customHeight="1" x14ac:dyDescent="0.25">
      <c r="A34" s="183" t="s">
        <v>1981</v>
      </c>
      <c r="B34" s="25"/>
      <c r="C34" s="75"/>
      <c r="D34" s="75"/>
      <c r="E34" s="75"/>
      <c r="F34" s="75"/>
      <c r="G34" s="75"/>
      <c r="H34" s="75"/>
      <c r="I34" s="75"/>
      <c r="J34" s="75"/>
      <c r="K34" s="75"/>
      <c r="L34" s="75"/>
    </row>
    <row r="35" spans="1:12" ht="11.25" customHeight="1" x14ac:dyDescent="0.25">
      <c r="A35" s="25" t="s">
        <v>1984</v>
      </c>
      <c r="B35" s="25"/>
      <c r="C35" s="75">
        <f>'A6-FinPos'!C8+'A6-FinPos'!C9+'A6-FinPos'!C15</f>
        <v>0</v>
      </c>
      <c r="D35" s="75">
        <f>'A6-FinPos'!D8+'A6-FinPos'!D9+'A6-FinPos'!D15</f>
        <v>19050975</v>
      </c>
      <c r="E35" s="75">
        <f>'A6-FinPos'!E8+'A6-FinPos'!E9+'A6-FinPos'!E15</f>
        <v>41075877</v>
      </c>
      <c r="F35" s="75">
        <f>'A6-FinPos'!F8+'A6-FinPos'!F9+'A6-FinPos'!F15</f>
        <v>52321286</v>
      </c>
      <c r="G35" s="75">
        <f>'A6-FinPos'!G8+'A6-FinPos'!G9+'A6-FinPos'!G15</f>
        <v>73758091</v>
      </c>
      <c r="H35" s="75">
        <f>'A6-FinPos'!H8+'A6-FinPos'!H9+'A6-FinPos'!H15</f>
        <v>73758091</v>
      </c>
      <c r="I35" s="75">
        <f>'A6-FinPos'!I8+'A6-FinPos'!I9+'A6-FinPos'!I15</f>
        <v>73758091</v>
      </c>
      <c r="J35" s="75">
        <f>'A6-FinPos'!J8+'A6-FinPos'!J9+'A6-FinPos'!J15</f>
        <v>107021609.79000002</v>
      </c>
      <c r="K35" s="75">
        <f>'A6-FinPos'!K8+'A6-FinPos'!K9+'A6-FinPos'!K15</f>
        <v>103673189.56660002</v>
      </c>
      <c r="L35" s="75">
        <f>'A6-FinPos'!L8+'A6-FinPos'!L9+'A6-FinPos'!L15</f>
        <v>168786555.18735605</v>
      </c>
    </row>
    <row r="36" spans="1:12" ht="11.25" customHeight="1" x14ac:dyDescent="0.25">
      <c r="A36" s="25" t="s">
        <v>1985</v>
      </c>
      <c r="B36" s="25"/>
      <c r="C36" s="112">
        <f>IF(ISERROR('SA10'!D10),0,('SA10'!D10))</f>
        <v>0</v>
      </c>
      <c r="D36" s="112">
        <f>IF(ISERROR('SA10'!E10),0,('SA10'!E10))</f>
        <v>0.92472841952578466</v>
      </c>
      <c r="E36" s="112">
        <f>IF(ISERROR('SA10'!F10),0,('SA10'!F10))</f>
        <v>0.83091784898235599</v>
      </c>
      <c r="F36" s="112">
        <f>IF(ISERROR('SA10'!G10),0,('SA10'!G10))</f>
        <v>0.88666436823839412</v>
      </c>
      <c r="G36" s="112">
        <f>IF(ISERROR('SA10'!H10),0,('SA10'!H10))</f>
        <v>0.91475205431715823</v>
      </c>
      <c r="H36" s="112">
        <f>IF(ISERROR('SA10'!I10),0,('SA10'!I10))</f>
        <v>0.91475205431715823</v>
      </c>
      <c r="I36" s="112">
        <f>IF(ISERROR('SA10'!J10),0,('SA10'!J10))</f>
        <v>0.91475205431715823</v>
      </c>
      <c r="J36" s="112">
        <f>IF(ISERROR('SA10'!K10),0,('SA10'!K10))</f>
        <v>0.93617342940825632</v>
      </c>
      <c r="K36" s="112">
        <f>IF(ISERROR('SA10'!L10),0,('SA10'!L10))</f>
        <v>0.93617342940825632</v>
      </c>
      <c r="L36" s="112">
        <f>IF(ISERROR('SA10'!M10),0,('SA10'!M10))</f>
        <v>0.93617342940825599</v>
      </c>
    </row>
    <row r="37" spans="1:12" ht="3" customHeight="1" x14ac:dyDescent="0.25">
      <c r="B37" s="25"/>
      <c r="C37" s="75"/>
      <c r="D37" s="75"/>
      <c r="E37" s="75"/>
      <c r="F37" s="75"/>
      <c r="G37" s="75"/>
      <c r="H37" s="75"/>
      <c r="I37" s="75"/>
      <c r="J37" s="75"/>
      <c r="K37" s="75"/>
      <c r="L37" s="75"/>
    </row>
    <row r="38" spans="1:12" ht="3" customHeight="1" x14ac:dyDescent="0.25">
      <c r="B38" s="25"/>
      <c r="C38" s="1202"/>
      <c r="D38" s="353"/>
      <c r="E38" s="353"/>
      <c r="F38" s="353"/>
      <c r="G38" s="353"/>
      <c r="H38" s="353"/>
      <c r="I38" s="353"/>
      <c r="J38" s="353"/>
      <c r="K38" s="353"/>
      <c r="L38" s="353"/>
    </row>
    <row r="39" spans="1:12" ht="11.25" customHeight="1" x14ac:dyDescent="0.25">
      <c r="B39" s="25"/>
      <c r="K39" s="25" t="s">
        <v>1983</v>
      </c>
    </row>
    <row r="40" spans="1:12" ht="11.25" customHeight="1" x14ac:dyDescent="0.25">
      <c r="A40" s="183" t="str">
        <f>A16</f>
        <v>Long term investments committed</v>
      </c>
      <c r="B40" s="25"/>
      <c r="I40" s="148"/>
    </row>
    <row r="41" spans="1:12" ht="11.25" customHeight="1" x14ac:dyDescent="0.25">
      <c r="A41" s="1350" t="s">
        <v>832</v>
      </c>
      <c r="B41" s="25"/>
      <c r="C41" s="1327"/>
      <c r="D41" s="1327"/>
      <c r="E41" s="1327"/>
      <c r="F41" s="1327"/>
      <c r="G41" s="1327"/>
      <c r="H41" s="1327"/>
      <c r="I41" s="1327"/>
      <c r="J41" s="1327"/>
      <c r="K41" s="1327"/>
      <c r="L41" s="1327"/>
    </row>
    <row r="42" spans="1:12" ht="11.25" customHeight="1" x14ac:dyDescent="0.25">
      <c r="A42" s="1351"/>
      <c r="B42" s="25"/>
      <c r="C42" s="1327"/>
      <c r="D42" s="1327"/>
      <c r="E42" s="1327"/>
      <c r="F42" s="1327"/>
      <c r="G42" s="1327"/>
      <c r="H42" s="1327"/>
      <c r="I42" s="1327"/>
      <c r="J42" s="1327"/>
      <c r="K42" s="1327"/>
      <c r="L42" s="1327"/>
    </row>
    <row r="43" spans="1:12" ht="11.25" customHeight="1" x14ac:dyDescent="0.25">
      <c r="A43" s="1351"/>
      <c r="B43" s="25"/>
      <c r="C43" s="1327"/>
      <c r="D43" s="1327"/>
      <c r="E43" s="1327"/>
      <c r="F43" s="1327"/>
      <c r="G43" s="1327"/>
      <c r="H43" s="1327"/>
      <c r="I43" s="1327"/>
      <c r="J43" s="1327"/>
      <c r="K43" s="1327"/>
      <c r="L43" s="1327"/>
    </row>
    <row r="44" spans="1:12" ht="11.25" customHeight="1" x14ac:dyDescent="0.25">
      <c r="A44" s="1351"/>
      <c r="B44" s="25"/>
      <c r="C44" s="1327"/>
      <c r="D44" s="1327"/>
      <c r="E44" s="1327"/>
      <c r="F44" s="1327"/>
      <c r="G44" s="1327"/>
      <c r="H44" s="1327"/>
      <c r="I44" s="1327"/>
      <c r="J44" s="1327"/>
      <c r="K44" s="1327"/>
      <c r="L44" s="1327"/>
    </row>
    <row r="45" spans="1:12" ht="11.25" customHeight="1" x14ac:dyDescent="0.25">
      <c r="A45" s="1351"/>
      <c r="B45" s="25"/>
      <c r="C45" s="1327"/>
      <c r="D45" s="1327"/>
      <c r="E45" s="1327"/>
      <c r="F45" s="1327"/>
      <c r="G45" s="1327"/>
      <c r="H45" s="1327"/>
      <c r="I45" s="1327"/>
      <c r="J45" s="1327"/>
      <c r="K45" s="1327"/>
      <c r="L45" s="1327"/>
    </row>
    <row r="46" spans="1:12" ht="11.25" customHeight="1" x14ac:dyDescent="0.25">
      <c r="A46" s="1351"/>
      <c r="B46" s="25"/>
      <c r="C46" s="1327"/>
      <c r="D46" s="1327"/>
      <c r="E46" s="1327"/>
      <c r="F46" s="1327"/>
      <c r="G46" s="1327"/>
      <c r="H46" s="1327"/>
      <c r="I46" s="1327"/>
      <c r="J46" s="1327"/>
      <c r="K46" s="1327"/>
      <c r="L46" s="1327"/>
    </row>
    <row r="47" spans="1:12" ht="11.25" customHeight="1" x14ac:dyDescent="0.25">
      <c r="A47" s="1351"/>
      <c r="B47" s="25"/>
      <c r="C47" s="1327"/>
      <c r="D47" s="1327"/>
      <c r="E47" s="1327"/>
      <c r="F47" s="1327"/>
      <c r="G47" s="1327"/>
      <c r="H47" s="1327"/>
      <c r="I47" s="1327"/>
      <c r="J47" s="1327"/>
      <c r="K47" s="1327"/>
      <c r="L47" s="1327"/>
    </row>
    <row r="48" spans="1:12" ht="11.25" customHeight="1" x14ac:dyDescent="0.25">
      <c r="A48" s="1351"/>
      <c r="B48" s="25"/>
      <c r="C48" s="1327"/>
      <c r="D48" s="1327"/>
      <c r="E48" s="1327"/>
      <c r="F48" s="1327"/>
      <c r="G48" s="1327"/>
      <c r="H48" s="1327"/>
      <c r="I48" s="1327"/>
      <c r="J48" s="1327"/>
      <c r="K48" s="1327"/>
      <c r="L48" s="1327"/>
    </row>
    <row r="49" spans="1:12" ht="11.25" customHeight="1" x14ac:dyDescent="0.25">
      <c r="A49" s="1351"/>
      <c r="B49" s="25"/>
      <c r="C49" s="1327"/>
      <c r="D49" s="1327"/>
      <c r="E49" s="1327"/>
      <c r="F49" s="1327"/>
      <c r="G49" s="1327"/>
      <c r="H49" s="1327"/>
      <c r="I49" s="1327"/>
      <c r="J49" s="1327"/>
      <c r="K49" s="1327"/>
      <c r="L49" s="1327"/>
    </row>
    <row r="50" spans="1:12" ht="11.25" customHeight="1" x14ac:dyDescent="0.25">
      <c r="A50" s="1351"/>
      <c r="B50" s="25"/>
      <c r="C50" s="1327"/>
      <c r="D50" s="1327"/>
      <c r="E50" s="1327"/>
      <c r="F50" s="1327"/>
      <c r="G50" s="1327"/>
      <c r="H50" s="1327"/>
      <c r="I50" s="1327"/>
      <c r="J50" s="1327"/>
      <c r="K50" s="1327"/>
      <c r="L50" s="1327"/>
    </row>
    <row r="51" spans="1:12" ht="11.25" customHeight="1" x14ac:dyDescent="0.25">
      <c r="A51" s="1351"/>
      <c r="B51" s="25"/>
      <c r="C51" s="1327"/>
      <c r="D51" s="1327"/>
      <c r="E51" s="1327"/>
      <c r="F51" s="1327"/>
      <c r="G51" s="1327"/>
      <c r="H51" s="1327"/>
      <c r="I51" s="1327"/>
      <c r="J51" s="1327"/>
      <c r="K51" s="1327"/>
      <c r="L51" s="1327"/>
    </row>
    <row r="52" spans="1:12" ht="11.25" customHeight="1" thickBot="1" x14ac:dyDescent="0.3">
      <c r="A52" s="183"/>
      <c r="B52" s="25"/>
      <c r="C52" s="184">
        <f>SUM(C41:C51)</f>
        <v>0</v>
      </c>
      <c r="D52" s="184">
        <f t="shared" ref="D52:L52" si="7">SUM(D41:D51)</f>
        <v>0</v>
      </c>
      <c r="E52" s="184">
        <f t="shared" si="7"/>
        <v>0</v>
      </c>
      <c r="F52" s="184">
        <f t="shared" si="7"/>
        <v>0</v>
      </c>
      <c r="G52" s="184">
        <f t="shared" si="7"/>
        <v>0</v>
      </c>
      <c r="H52" s="184">
        <f t="shared" si="7"/>
        <v>0</v>
      </c>
      <c r="I52" s="184">
        <f t="shared" si="7"/>
        <v>0</v>
      </c>
      <c r="J52" s="184">
        <f t="shared" si="7"/>
        <v>0</v>
      </c>
      <c r="K52" s="184">
        <f t="shared" si="7"/>
        <v>0</v>
      </c>
      <c r="L52" s="184">
        <f t="shared" si="7"/>
        <v>0</v>
      </c>
    </row>
    <row r="53" spans="1:12" ht="11.25" customHeight="1" thickTop="1" x14ac:dyDescent="0.25">
      <c r="A53" s="183" t="str">
        <f>A17</f>
        <v>Reserves to be backed by cash/investments</v>
      </c>
      <c r="B53" s="25"/>
      <c r="I53" s="148"/>
    </row>
    <row r="54" spans="1:12" ht="11.25" customHeight="1" x14ac:dyDescent="0.25">
      <c r="A54" s="25" t="str">
        <f>'SA3'!A65</f>
        <v>Housing Development Fund</v>
      </c>
      <c r="B54" s="25"/>
      <c r="C54" s="75">
        <f>'SA3'!C65</f>
        <v>0</v>
      </c>
      <c r="D54" s="75">
        <f>'SA3'!D65</f>
        <v>0</v>
      </c>
      <c r="E54" s="75">
        <f>'SA3'!E65</f>
        <v>0</v>
      </c>
      <c r="F54" s="75">
        <f>'SA3'!F65</f>
        <v>2533058</v>
      </c>
      <c r="G54" s="75">
        <f>'SA3'!G65</f>
        <v>0</v>
      </c>
      <c r="H54" s="75">
        <f>'SA3'!H65</f>
        <v>0</v>
      </c>
      <c r="I54" s="75">
        <f>'SA3'!I65</f>
        <v>0</v>
      </c>
      <c r="J54" s="75">
        <f>'SA3'!J65</f>
        <v>0</v>
      </c>
      <c r="K54" s="75">
        <f>'SA3'!K65</f>
        <v>0</v>
      </c>
      <c r="L54" s="75">
        <f>'SA3'!L65</f>
        <v>0</v>
      </c>
    </row>
    <row r="55" spans="1:12" ht="11.25" customHeight="1" x14ac:dyDescent="0.25">
      <c r="A55" s="25" t="str">
        <f>'SA3'!A66</f>
        <v>Capital replacement</v>
      </c>
      <c r="B55" s="25"/>
      <c r="C55" s="1327"/>
      <c r="D55" s="1327"/>
      <c r="E55" s="1327"/>
      <c r="F55" s="1327"/>
      <c r="G55" s="1327"/>
      <c r="H55" s="1327"/>
      <c r="I55" s="1327"/>
      <c r="J55" s="1327"/>
      <c r="K55" s="1327"/>
      <c r="L55" s="1327"/>
    </row>
    <row r="56" spans="1:12" ht="11.25" customHeight="1" x14ac:dyDescent="0.25">
      <c r="A56" s="25" t="str">
        <f>'SA3'!A67</f>
        <v>Self-insurance</v>
      </c>
      <c r="B56" s="25"/>
      <c r="C56" s="1327"/>
      <c r="D56" s="1327"/>
      <c r="E56" s="1327"/>
      <c r="F56" s="1327"/>
      <c r="G56" s="1327"/>
      <c r="H56" s="1327"/>
      <c r="I56" s="1327"/>
      <c r="J56" s="1327"/>
      <c r="K56" s="1327"/>
      <c r="L56" s="1327"/>
    </row>
    <row r="57" spans="1:12" ht="11.25" customHeight="1" x14ac:dyDescent="0.25">
      <c r="A57" s="1350" t="s">
        <v>1248</v>
      </c>
      <c r="B57" s="464"/>
      <c r="C57" s="1327"/>
      <c r="D57" s="1327"/>
      <c r="E57" s="1327"/>
      <c r="F57" s="1327"/>
      <c r="G57" s="1327"/>
      <c r="H57" s="1327"/>
      <c r="I57" s="1327"/>
      <c r="J57" s="1327"/>
      <c r="K57" s="1327"/>
      <c r="L57" s="1327"/>
    </row>
    <row r="58" spans="1:12" ht="11.25" customHeight="1" x14ac:dyDescent="0.25">
      <c r="A58" s="1350"/>
      <c r="B58" s="25"/>
      <c r="C58" s="1327"/>
      <c r="D58" s="1327"/>
      <c r="E58" s="1327"/>
      <c r="F58" s="1327"/>
      <c r="G58" s="1327"/>
      <c r="H58" s="1327"/>
      <c r="I58" s="1327"/>
      <c r="J58" s="1327"/>
      <c r="K58" s="1327"/>
      <c r="L58" s="1327"/>
    </row>
    <row r="59" spans="1:12" ht="11.25" customHeight="1" x14ac:dyDescent="0.25">
      <c r="A59" s="1350"/>
      <c r="B59" s="25"/>
      <c r="C59" s="1327"/>
      <c r="D59" s="1327"/>
      <c r="E59" s="1327"/>
      <c r="F59" s="1327"/>
      <c r="G59" s="1327"/>
      <c r="H59" s="1327"/>
      <c r="I59" s="1327"/>
      <c r="J59" s="1327"/>
      <c r="K59" s="1327"/>
      <c r="L59" s="1327"/>
    </row>
    <row r="60" spans="1:12" ht="11.25" customHeight="1" x14ac:dyDescent="0.25">
      <c r="A60" s="1350"/>
      <c r="B60" s="25"/>
      <c r="C60" s="1327"/>
      <c r="D60" s="1327"/>
      <c r="E60" s="1327"/>
      <c r="F60" s="1327"/>
      <c r="G60" s="1327"/>
      <c r="H60" s="1327"/>
      <c r="I60" s="1327"/>
      <c r="J60" s="1327"/>
      <c r="K60" s="1327"/>
      <c r="L60" s="1327"/>
    </row>
    <row r="61" spans="1:12" ht="11.25" customHeight="1" x14ac:dyDescent="0.25">
      <c r="A61" s="1350"/>
      <c r="B61" s="25"/>
      <c r="C61" s="1327"/>
      <c r="D61" s="1327"/>
      <c r="E61" s="1327"/>
      <c r="F61" s="1327"/>
      <c r="G61" s="1327"/>
      <c r="H61" s="1327"/>
      <c r="I61" s="1327"/>
      <c r="J61" s="1327"/>
      <c r="K61" s="1327"/>
      <c r="L61" s="1327"/>
    </row>
    <row r="62" spans="1:12" ht="11.25" customHeight="1" x14ac:dyDescent="0.25">
      <c r="A62" s="1350"/>
      <c r="B62" s="25"/>
      <c r="C62" s="1327"/>
      <c r="D62" s="1327"/>
      <c r="E62" s="1327"/>
      <c r="F62" s="1327"/>
      <c r="G62" s="1327"/>
      <c r="H62" s="1327"/>
      <c r="I62" s="1327"/>
      <c r="J62" s="1327"/>
      <c r="K62" s="1327"/>
      <c r="L62" s="1327"/>
    </row>
    <row r="63" spans="1:12" ht="11.25" customHeight="1" x14ac:dyDescent="0.25">
      <c r="A63" s="1350"/>
      <c r="B63" s="25"/>
      <c r="C63" s="1327"/>
      <c r="D63" s="1327"/>
      <c r="E63" s="1327"/>
      <c r="F63" s="1327"/>
      <c r="G63" s="1327"/>
      <c r="H63" s="1327"/>
      <c r="I63" s="1327"/>
      <c r="J63" s="1327"/>
      <c r="K63" s="1327"/>
      <c r="L63" s="1327"/>
    </row>
    <row r="64" spans="1:12" ht="11.25" customHeight="1" x14ac:dyDescent="0.25">
      <c r="A64" s="1350"/>
      <c r="B64" s="25"/>
      <c r="C64" s="1327"/>
      <c r="D64" s="1327"/>
      <c r="E64" s="1327"/>
      <c r="F64" s="1327"/>
      <c r="G64" s="1327"/>
      <c r="H64" s="1327"/>
      <c r="I64" s="1327"/>
      <c r="J64" s="1327"/>
      <c r="K64" s="1327"/>
      <c r="L64" s="1327"/>
    </row>
    <row r="65" spans="1:12" ht="11.25" customHeight="1" x14ac:dyDescent="0.25">
      <c r="A65" s="1350"/>
      <c r="B65" s="25"/>
      <c r="C65" s="1327"/>
      <c r="D65" s="1327"/>
      <c r="E65" s="1327"/>
      <c r="F65" s="1327"/>
      <c r="G65" s="1327"/>
      <c r="H65" s="1327"/>
      <c r="I65" s="1327"/>
      <c r="J65" s="1327"/>
      <c r="K65" s="1327"/>
      <c r="L65" s="1327"/>
    </row>
    <row r="67" spans="1:12" ht="11.25" customHeight="1" thickBot="1" x14ac:dyDescent="0.3">
      <c r="B67" s="25"/>
      <c r="C67" s="184">
        <f t="shared" ref="C67:L67" si="8">SUM(C54:C65)</f>
        <v>0</v>
      </c>
      <c r="D67" s="184">
        <f t="shared" si="8"/>
        <v>0</v>
      </c>
      <c r="E67" s="184">
        <f t="shared" si="8"/>
        <v>0</v>
      </c>
      <c r="F67" s="184">
        <f t="shared" si="8"/>
        <v>2533058</v>
      </c>
      <c r="G67" s="184">
        <f t="shared" si="8"/>
        <v>0</v>
      </c>
      <c r="H67" s="184">
        <f t="shared" si="8"/>
        <v>0</v>
      </c>
      <c r="I67" s="184">
        <f t="shared" si="8"/>
        <v>0</v>
      </c>
      <c r="J67" s="184">
        <f t="shared" si="8"/>
        <v>0</v>
      </c>
      <c r="K67" s="184">
        <f t="shared" si="8"/>
        <v>0</v>
      </c>
      <c r="L67" s="184">
        <f t="shared" si="8"/>
        <v>0</v>
      </c>
    </row>
    <row r="68" spans="1:12" ht="11.25" customHeight="1" thickTop="1" x14ac:dyDescent="0.25">
      <c r="B68" s="25"/>
    </row>
    <row r="69" spans="1:12" ht="11.25" customHeight="1" x14ac:dyDescent="0.25">
      <c r="B69" s="25"/>
    </row>
    <row r="70" spans="1:12" ht="11.25" customHeight="1" x14ac:dyDescent="0.25">
      <c r="B70" s="25"/>
    </row>
    <row r="71" spans="1:12" ht="11.25" customHeight="1" x14ac:dyDescent="0.25">
      <c r="B71" s="25"/>
    </row>
    <row r="72" spans="1:12" ht="11.25" customHeight="1" x14ac:dyDescent="0.25">
      <c r="B72" s="25"/>
    </row>
    <row r="73" spans="1:12" ht="11.25" customHeight="1" x14ac:dyDescent="0.25">
      <c r="B73" s="25"/>
    </row>
    <row r="74" spans="1:12" ht="11.25" customHeight="1" x14ac:dyDescent="0.25">
      <c r="B74" s="25"/>
    </row>
    <row r="75" spans="1:12" ht="11.25" customHeight="1" x14ac:dyDescent="0.25">
      <c r="B75" s="25"/>
    </row>
    <row r="76" spans="1:12" ht="11.25" customHeight="1" x14ac:dyDescent="0.25">
      <c r="B76" s="25"/>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mergeCells count="2">
    <mergeCell ref="J2:L2"/>
    <mergeCell ref="F2:I2"/>
  </mergeCells>
  <phoneticPr fontId="3" type="noConversion"/>
  <dataValidations count="1">
    <dataValidation type="decimal" allowBlank="1" showInputMessage="1" showErrorMessage="1" sqref="C12:L13 C15:L15 C17:L17 C41:L51 C38 C29:L31 C55:L65" xr:uid="{00000000-0002-0000-1100-000000000000}">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K220"/>
  <sheetViews>
    <sheetView showGridLines="0" zoomScaleNormal="100" workbookViewId="0">
      <pane xSplit="2" ySplit="3" topLeftCell="C123" activePane="bottomRight" state="frozen"/>
      <selection pane="topRight"/>
      <selection pane="bottomLeft"/>
      <selection pane="bottomRight" sqref="A1:K132"/>
    </sheetView>
  </sheetViews>
  <sheetFormatPr defaultRowHeight="12.75" x14ac:dyDescent="0.25"/>
  <cols>
    <col min="1" max="1" width="37.7109375" style="25" customWidth="1"/>
    <col min="2" max="2" width="3" style="102" customWidth="1"/>
    <col min="3" max="5" width="12.7109375" style="25" customWidth="1"/>
    <col min="6"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s="52" customFormat="1" x14ac:dyDescent="0.2">
      <c r="A1" s="23" t="str">
        <f>muni&amp;" - "&amp;Approve9</f>
        <v>EC101 Dr Beyers Naude - Table A9 Asset Management</v>
      </c>
      <c r="B1" s="23"/>
      <c r="C1" s="23"/>
      <c r="D1" s="23"/>
      <c r="E1" s="23"/>
      <c r="F1" s="23"/>
      <c r="G1" s="23"/>
      <c r="H1" s="23"/>
      <c r="I1" s="23"/>
      <c r="J1" s="23"/>
      <c r="K1" s="23"/>
    </row>
    <row r="2" spans="1:11" x14ac:dyDescent="0.25">
      <c r="A2" s="609" t="str">
        <f>desc</f>
        <v>Description</v>
      </c>
      <c r="B2" s="220" t="str">
        <f>head27</f>
        <v>Ref</v>
      </c>
      <c r="C2" s="26"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828" t="s">
        <v>573</v>
      </c>
      <c r="B3" s="619"/>
      <c r="C3" s="203" t="str">
        <f>Head5</f>
        <v>Audited Outcome</v>
      </c>
      <c r="D3" s="203"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x14ac:dyDescent="0.25">
      <c r="A4" s="743" t="s">
        <v>1270</v>
      </c>
      <c r="B4" s="55"/>
      <c r="C4" s="86"/>
      <c r="D4" s="86"/>
      <c r="E4" s="87"/>
      <c r="F4" s="88"/>
      <c r="G4" s="86"/>
      <c r="H4" s="85"/>
      <c r="I4" s="89"/>
      <c r="J4" s="86"/>
      <c r="K4" s="87"/>
    </row>
    <row r="5" spans="1:11" hidden="1" x14ac:dyDescent="0.25">
      <c r="A5" s="882" t="s">
        <v>941</v>
      </c>
      <c r="B5" s="55">
        <v>1</v>
      </c>
      <c r="C5" s="86">
        <f>C15+C18+C19+C22+C25+C26+SUM(C29:C35)</f>
        <v>0</v>
      </c>
      <c r="D5" s="86">
        <f t="shared" ref="D5:K5" si="0">D15+D18+D19+D22+D25+D26+SUM(D29:D35)</f>
        <v>62449783</v>
      </c>
      <c r="E5" s="87">
        <f t="shared" si="0"/>
        <v>53459027</v>
      </c>
      <c r="F5" s="88">
        <f t="shared" si="0"/>
        <v>15599550</v>
      </c>
      <c r="G5" s="86">
        <f t="shared" si="0"/>
        <v>39864365</v>
      </c>
      <c r="H5" s="85">
        <f t="shared" si="0"/>
        <v>39864365</v>
      </c>
      <c r="I5" s="89">
        <f t="shared" si="0"/>
        <v>16106465.1</v>
      </c>
      <c r="J5" s="86">
        <f t="shared" si="0"/>
        <v>31050141</v>
      </c>
      <c r="K5" s="87">
        <f t="shared" si="0"/>
        <v>0</v>
      </c>
    </row>
    <row r="6" spans="1:11" hidden="1" x14ac:dyDescent="0.25">
      <c r="A6" s="1829" t="s">
        <v>2272</v>
      </c>
      <c r="B6" s="55"/>
      <c r="C6" s="76">
        <f>SA34a!C7</f>
        <v>0</v>
      </c>
      <c r="D6" s="76">
        <f>SA34a!D7</f>
        <v>31606045</v>
      </c>
      <c r="E6" s="77">
        <f>SA34a!E7</f>
        <v>18791156</v>
      </c>
      <c r="F6" s="78">
        <f>SA34a!F7</f>
        <v>0</v>
      </c>
      <c r="G6" s="76">
        <f>SA34a!G7</f>
        <v>0</v>
      </c>
      <c r="H6" s="75">
        <f>SA34a!H7</f>
        <v>0</v>
      </c>
      <c r="I6" s="79">
        <f>SA34a!I7</f>
        <v>0</v>
      </c>
      <c r="J6" s="76">
        <f>SA34a!J7</f>
        <v>0</v>
      </c>
      <c r="K6" s="77">
        <f>SA34a!K7</f>
        <v>0</v>
      </c>
    </row>
    <row r="7" spans="1:11" hidden="1" x14ac:dyDescent="0.25">
      <c r="A7" s="1829" t="s">
        <v>2276</v>
      </c>
      <c r="B7" s="55"/>
      <c r="C7" s="76">
        <f>SA34a!C12</f>
        <v>0</v>
      </c>
      <c r="D7" s="76">
        <f>SA34a!D12</f>
        <v>0</v>
      </c>
      <c r="E7" s="77">
        <f>SA34a!E12</f>
        <v>0</v>
      </c>
      <c r="F7" s="78">
        <f>SA34a!F12</f>
        <v>0</v>
      </c>
      <c r="G7" s="76">
        <f>SA34a!G12</f>
        <v>0</v>
      </c>
      <c r="H7" s="75">
        <f>SA34a!H12</f>
        <v>0</v>
      </c>
      <c r="I7" s="79">
        <f>SA34a!I12</f>
        <v>0</v>
      </c>
      <c r="J7" s="76">
        <f>SA34a!J12</f>
        <v>0</v>
      </c>
      <c r="K7" s="77">
        <f>SA34a!K12</f>
        <v>0</v>
      </c>
    </row>
    <row r="8" spans="1:11" hidden="1" x14ac:dyDescent="0.25">
      <c r="A8" s="1829" t="s">
        <v>2321</v>
      </c>
      <c r="B8" s="55"/>
      <c r="C8" s="76">
        <f>SA34a!C16</f>
        <v>0</v>
      </c>
      <c r="D8" s="76">
        <f>SA34a!D16</f>
        <v>2620464</v>
      </c>
      <c r="E8" s="77">
        <f>SA34a!E16</f>
        <v>11085220</v>
      </c>
      <c r="F8" s="78">
        <f>SA34a!F16</f>
        <v>0</v>
      </c>
      <c r="G8" s="76">
        <f>SA34a!G16</f>
        <v>0</v>
      </c>
      <c r="H8" s="75">
        <f>SA34a!H16</f>
        <v>0</v>
      </c>
      <c r="I8" s="79">
        <f>SA34a!I16</f>
        <v>0</v>
      </c>
      <c r="J8" s="76">
        <f>SA34a!J16</f>
        <v>0</v>
      </c>
      <c r="K8" s="77">
        <f>SA34a!K16</f>
        <v>0</v>
      </c>
    </row>
    <row r="9" spans="1:11" hidden="1" x14ac:dyDescent="0.25">
      <c r="A9" s="1829" t="s">
        <v>2322</v>
      </c>
      <c r="B9" s="55"/>
      <c r="C9" s="76">
        <f>SA34a!C26</f>
        <v>0</v>
      </c>
      <c r="D9" s="76">
        <f>SA34a!D26</f>
        <v>2363741</v>
      </c>
      <c r="E9" s="77">
        <f>SA34a!E26</f>
        <v>14608261</v>
      </c>
      <c r="F9" s="78">
        <f>SA34a!F26</f>
        <v>14750000</v>
      </c>
      <c r="G9" s="76">
        <f>SA34a!G26</f>
        <v>38554400</v>
      </c>
      <c r="H9" s="75">
        <f>SA34a!H26</f>
        <v>38554400</v>
      </c>
      <c r="I9" s="79">
        <f>SA34a!I26</f>
        <v>13210000</v>
      </c>
      <c r="J9" s="76">
        <f>SA34a!J26</f>
        <v>28050141</v>
      </c>
      <c r="K9" s="77">
        <f>SA34a!K26</f>
        <v>0</v>
      </c>
    </row>
    <row r="10" spans="1:11" hidden="1" x14ac:dyDescent="0.25">
      <c r="A10" s="1829" t="s">
        <v>2323</v>
      </c>
      <c r="B10" s="55"/>
      <c r="C10" s="76">
        <f>SA34a!C37</f>
        <v>0</v>
      </c>
      <c r="D10" s="76">
        <f>SA34a!D37</f>
        <v>23367297</v>
      </c>
      <c r="E10" s="77">
        <f>SA34a!E37</f>
        <v>694121</v>
      </c>
      <c r="F10" s="78">
        <f>SA34a!F37</f>
        <v>0</v>
      </c>
      <c r="G10" s="76">
        <f>SA34a!G37</f>
        <v>300000</v>
      </c>
      <c r="H10" s="75">
        <f>SA34a!H37</f>
        <v>300000</v>
      </c>
      <c r="I10" s="79">
        <f>SA34a!I37</f>
        <v>0</v>
      </c>
      <c r="J10" s="76">
        <f>SA34a!J37</f>
        <v>0</v>
      </c>
      <c r="K10" s="77">
        <f>SA34a!K37</f>
        <v>0</v>
      </c>
    </row>
    <row r="11" spans="1:11" hidden="1" x14ac:dyDescent="0.25">
      <c r="A11" s="1829" t="s">
        <v>2301</v>
      </c>
      <c r="B11" s="55"/>
      <c r="C11" s="76">
        <f>SA34a!C44</f>
        <v>0</v>
      </c>
      <c r="D11" s="76">
        <f>SA34a!D44</f>
        <v>1478810</v>
      </c>
      <c r="E11" s="77">
        <f>SA34a!E44</f>
        <v>5204830</v>
      </c>
      <c r="F11" s="78">
        <f>SA34a!F44</f>
        <v>250000</v>
      </c>
      <c r="G11" s="76">
        <f>SA34a!G44</f>
        <v>0</v>
      </c>
      <c r="H11" s="75">
        <f>SA34a!H44</f>
        <v>0</v>
      </c>
      <c r="I11" s="79">
        <f>SA34a!I44</f>
        <v>2896465.1</v>
      </c>
      <c r="J11" s="76">
        <f>SA34a!J44</f>
        <v>0</v>
      </c>
      <c r="K11" s="77">
        <f>SA34a!K44</f>
        <v>0</v>
      </c>
    </row>
    <row r="12" spans="1:11" hidden="1" x14ac:dyDescent="0.25">
      <c r="A12" s="1829" t="s">
        <v>2317</v>
      </c>
      <c r="B12" s="55"/>
      <c r="C12" s="76">
        <f>SA34a!C52</f>
        <v>0</v>
      </c>
      <c r="D12" s="76">
        <f>SA34a!D52</f>
        <v>0</v>
      </c>
      <c r="E12" s="77">
        <f>SA34a!E52</f>
        <v>0</v>
      </c>
      <c r="F12" s="78">
        <f>SA34a!F52</f>
        <v>0</v>
      </c>
      <c r="G12" s="76">
        <f>SA34a!G52</f>
        <v>0</v>
      </c>
      <c r="H12" s="75">
        <f>SA34a!H52</f>
        <v>0</v>
      </c>
      <c r="I12" s="79">
        <f>SA34a!I52</f>
        <v>0</v>
      </c>
      <c r="J12" s="76">
        <f>SA34a!J52</f>
        <v>0</v>
      </c>
      <c r="K12" s="77">
        <f>SA34a!K52</f>
        <v>0</v>
      </c>
    </row>
    <row r="13" spans="1:11" hidden="1" x14ac:dyDescent="0.25">
      <c r="A13" s="1829" t="s">
        <v>2312</v>
      </c>
      <c r="B13" s="55"/>
      <c r="C13" s="76">
        <f>SA34a!C62</f>
        <v>0</v>
      </c>
      <c r="D13" s="76">
        <f>SA34a!D62</f>
        <v>0</v>
      </c>
      <c r="E13" s="77">
        <f>SA34a!E62</f>
        <v>0</v>
      </c>
      <c r="F13" s="78">
        <f>SA34a!F62</f>
        <v>0</v>
      </c>
      <c r="G13" s="76">
        <f>SA34a!G62</f>
        <v>0</v>
      </c>
      <c r="H13" s="75">
        <f>SA34a!H62</f>
        <v>0</v>
      </c>
      <c r="I13" s="79">
        <f>SA34a!I62</f>
        <v>0</v>
      </c>
      <c r="J13" s="76">
        <f>SA34a!J62</f>
        <v>0</v>
      </c>
      <c r="K13" s="77">
        <f>SA34a!K62</f>
        <v>0</v>
      </c>
    </row>
    <row r="14" spans="1:11" hidden="1" x14ac:dyDescent="0.25">
      <c r="A14" s="1829" t="s">
        <v>2308</v>
      </c>
      <c r="B14" s="55"/>
      <c r="C14" s="76">
        <f>SA34a!C68</f>
        <v>0</v>
      </c>
      <c r="D14" s="76">
        <f>SA34a!D68</f>
        <v>0</v>
      </c>
      <c r="E14" s="77">
        <f>SA34a!E68</f>
        <v>0</v>
      </c>
      <c r="F14" s="78">
        <f>SA34a!F68</f>
        <v>0</v>
      </c>
      <c r="G14" s="76">
        <f>SA34a!G68</f>
        <v>0</v>
      </c>
      <c r="H14" s="75">
        <f>SA34a!H68</f>
        <v>0</v>
      </c>
      <c r="I14" s="79">
        <f>SA34a!I68</f>
        <v>0</v>
      </c>
      <c r="J14" s="76">
        <f>SA34a!J68</f>
        <v>0</v>
      </c>
      <c r="K14" s="77">
        <f>SA34a!K68</f>
        <v>0</v>
      </c>
    </row>
    <row r="15" spans="1:11" hidden="1" x14ac:dyDescent="0.25">
      <c r="A15" s="1838" t="s">
        <v>853</v>
      </c>
      <c r="B15" s="369"/>
      <c r="C15" s="1839">
        <f>SUM(C6:C14)</f>
        <v>0</v>
      </c>
      <c r="D15" s="1839">
        <f t="shared" ref="D15:K15" si="1">SUM(D6:D14)</f>
        <v>61436357</v>
      </c>
      <c r="E15" s="1840">
        <f t="shared" si="1"/>
        <v>50383588</v>
      </c>
      <c r="F15" s="1841">
        <f t="shared" si="1"/>
        <v>15000000</v>
      </c>
      <c r="G15" s="1839">
        <f t="shared" si="1"/>
        <v>38854400</v>
      </c>
      <c r="H15" s="1842">
        <f t="shared" si="1"/>
        <v>38854400</v>
      </c>
      <c r="I15" s="1843">
        <f t="shared" si="1"/>
        <v>16106465.1</v>
      </c>
      <c r="J15" s="1839">
        <f t="shared" si="1"/>
        <v>28050141</v>
      </c>
      <c r="K15" s="1840">
        <f t="shared" si="1"/>
        <v>0</v>
      </c>
    </row>
    <row r="16" spans="1:11" hidden="1" x14ac:dyDescent="0.25">
      <c r="A16" s="1830" t="s">
        <v>2325</v>
      </c>
      <c r="B16" s="55"/>
      <c r="C16" s="76">
        <f>SA34a!C75</f>
        <v>0</v>
      </c>
      <c r="D16" s="76">
        <f>SA34a!D75</f>
        <v>0</v>
      </c>
      <c r="E16" s="77">
        <f>SA34a!E75</f>
        <v>0</v>
      </c>
      <c r="F16" s="78">
        <f>SA34a!F75</f>
        <v>0</v>
      </c>
      <c r="G16" s="76">
        <f>SA34a!G75</f>
        <v>300000</v>
      </c>
      <c r="H16" s="75">
        <f>SA34a!H75</f>
        <v>300000</v>
      </c>
      <c r="I16" s="79">
        <f>SA34a!I75</f>
        <v>0</v>
      </c>
      <c r="J16" s="76">
        <f>SA34a!J75</f>
        <v>3000000</v>
      </c>
      <c r="K16" s="77">
        <f>SA34a!K75</f>
        <v>0</v>
      </c>
    </row>
    <row r="17" spans="1:11" hidden="1" x14ac:dyDescent="0.25">
      <c r="A17" s="1830" t="s">
        <v>2343</v>
      </c>
      <c r="B17" s="55"/>
      <c r="C17" s="114">
        <f>SA34a!C98</f>
        <v>0</v>
      </c>
      <c r="D17" s="114">
        <f>SA34a!D98</f>
        <v>157672</v>
      </c>
      <c r="E17" s="116">
        <f>SA34a!E98</f>
        <v>1371961</v>
      </c>
      <c r="F17" s="115">
        <f>SA34a!F98</f>
        <v>0</v>
      </c>
      <c r="G17" s="114">
        <f>SA34a!G98</f>
        <v>0</v>
      </c>
      <c r="H17" s="113">
        <f>SA34a!H98</f>
        <v>0</v>
      </c>
      <c r="I17" s="117">
        <f>SA34a!I98</f>
        <v>0</v>
      </c>
      <c r="J17" s="114">
        <f>SA34a!J98</f>
        <v>0</v>
      </c>
      <c r="K17" s="116">
        <f>SA34a!K98</f>
        <v>0</v>
      </c>
    </row>
    <row r="18" spans="1:11" hidden="1" x14ac:dyDescent="0.25">
      <c r="A18" s="1838" t="s">
        <v>2324</v>
      </c>
      <c r="B18" s="369"/>
      <c r="C18" s="1839">
        <f>SUM(C16:C17)</f>
        <v>0</v>
      </c>
      <c r="D18" s="1839">
        <f t="shared" ref="D18:K18" si="2">SUM(D16:D17)</f>
        <v>157672</v>
      </c>
      <c r="E18" s="1840">
        <f t="shared" si="2"/>
        <v>1371961</v>
      </c>
      <c r="F18" s="1841">
        <f t="shared" si="2"/>
        <v>0</v>
      </c>
      <c r="G18" s="1839">
        <f t="shared" si="2"/>
        <v>300000</v>
      </c>
      <c r="H18" s="1842">
        <f t="shared" si="2"/>
        <v>300000</v>
      </c>
      <c r="I18" s="1843">
        <f t="shared" si="2"/>
        <v>0</v>
      </c>
      <c r="J18" s="1839">
        <f t="shared" si="2"/>
        <v>3000000</v>
      </c>
      <c r="K18" s="1840">
        <f t="shared" si="2"/>
        <v>0</v>
      </c>
    </row>
    <row r="19" spans="1:11" hidden="1" x14ac:dyDescent="0.25">
      <c r="A19" s="1838" t="s">
        <v>1758</v>
      </c>
      <c r="B19" s="369"/>
      <c r="C19" s="86">
        <f>SA34a!C103</f>
        <v>0</v>
      </c>
      <c r="D19" s="86">
        <f>SA34a!D103</f>
        <v>0</v>
      </c>
      <c r="E19" s="87">
        <f>SA34a!E103</f>
        <v>0</v>
      </c>
      <c r="F19" s="88">
        <f>SA34a!F103</f>
        <v>0</v>
      </c>
      <c r="G19" s="86">
        <f>SA34a!G103</f>
        <v>0</v>
      </c>
      <c r="H19" s="85">
        <f>SA34a!H103</f>
        <v>0</v>
      </c>
      <c r="I19" s="89">
        <f>SA34a!I103</f>
        <v>0</v>
      </c>
      <c r="J19" s="86">
        <f>SA34a!J103</f>
        <v>0</v>
      </c>
      <c r="K19" s="87">
        <f>SA34a!K103</f>
        <v>0</v>
      </c>
    </row>
    <row r="20" spans="1:11" hidden="1" x14ac:dyDescent="0.25">
      <c r="A20" s="1830" t="s">
        <v>2380</v>
      </c>
      <c r="B20" s="55"/>
      <c r="C20" s="76">
        <f>SA34a!C111</f>
        <v>0</v>
      </c>
      <c r="D20" s="76">
        <f>SA34a!D111</f>
        <v>0</v>
      </c>
      <c r="E20" s="77">
        <f>SA34a!E111</f>
        <v>0</v>
      </c>
      <c r="F20" s="78">
        <f>SA34a!F111</f>
        <v>0</v>
      </c>
      <c r="G20" s="76">
        <f>SA34a!G111</f>
        <v>0</v>
      </c>
      <c r="H20" s="75">
        <f>SA34a!H111</f>
        <v>0</v>
      </c>
      <c r="I20" s="79">
        <f>SA34a!I111</f>
        <v>0</v>
      </c>
      <c r="J20" s="76">
        <f>SA34a!J111</f>
        <v>0</v>
      </c>
      <c r="K20" s="77">
        <f>SA34a!K111</f>
        <v>0</v>
      </c>
    </row>
    <row r="21" spans="1:11" hidden="1" x14ac:dyDescent="0.25">
      <c r="A21" s="1830" t="s">
        <v>2383</v>
      </c>
      <c r="B21" s="55"/>
      <c r="C21" s="114">
        <f>SA34a!C114</f>
        <v>0</v>
      </c>
      <c r="D21" s="114">
        <f>SA34a!D114</f>
        <v>0</v>
      </c>
      <c r="E21" s="116">
        <f>SA34a!E114</f>
        <v>0</v>
      </c>
      <c r="F21" s="115">
        <f>SA34a!F114</f>
        <v>0</v>
      </c>
      <c r="G21" s="114">
        <f>SA34a!G114</f>
        <v>0</v>
      </c>
      <c r="H21" s="113">
        <f>SA34a!H114</f>
        <v>0</v>
      </c>
      <c r="I21" s="117">
        <f>SA34a!I114</f>
        <v>0</v>
      </c>
      <c r="J21" s="114">
        <f>SA34a!J114</f>
        <v>0</v>
      </c>
      <c r="K21" s="116">
        <f>SA34a!K114</f>
        <v>0</v>
      </c>
    </row>
    <row r="22" spans="1:11" hidden="1" x14ac:dyDescent="0.25">
      <c r="A22" s="1838" t="s">
        <v>844</v>
      </c>
      <c r="B22" s="369"/>
      <c r="C22" s="1839">
        <f>SUM(C20:C21)</f>
        <v>0</v>
      </c>
      <c r="D22" s="1839">
        <f t="shared" ref="D22:K22" si="3">SUM(D20:D21)</f>
        <v>0</v>
      </c>
      <c r="E22" s="1840">
        <f t="shared" si="3"/>
        <v>0</v>
      </c>
      <c r="F22" s="1841">
        <f t="shared" si="3"/>
        <v>0</v>
      </c>
      <c r="G22" s="1839">
        <f t="shared" si="3"/>
        <v>0</v>
      </c>
      <c r="H22" s="1842">
        <f t="shared" si="3"/>
        <v>0</v>
      </c>
      <c r="I22" s="1843">
        <f t="shared" si="3"/>
        <v>0</v>
      </c>
      <c r="J22" s="1839">
        <f t="shared" si="3"/>
        <v>0</v>
      </c>
      <c r="K22" s="1840">
        <f t="shared" si="3"/>
        <v>0</v>
      </c>
    </row>
    <row r="23" spans="1:11" hidden="1" x14ac:dyDescent="0.25">
      <c r="A23" s="1830" t="s">
        <v>2351</v>
      </c>
      <c r="B23" s="55"/>
      <c r="C23" s="76">
        <f>SA34a!C119</f>
        <v>0</v>
      </c>
      <c r="D23" s="76">
        <f>SA34a!D119</f>
        <v>150322</v>
      </c>
      <c r="E23" s="77">
        <f>SA34a!E119</f>
        <v>112352.48999999999</v>
      </c>
      <c r="F23" s="78">
        <f>SA34a!F119</f>
        <v>0</v>
      </c>
      <c r="G23" s="76">
        <f>SA34a!G119</f>
        <v>0</v>
      </c>
      <c r="H23" s="75">
        <f>SA34a!H119</f>
        <v>0</v>
      </c>
      <c r="I23" s="79">
        <f>SA34a!I119</f>
        <v>0</v>
      </c>
      <c r="J23" s="76">
        <f>SA34a!J119</f>
        <v>0</v>
      </c>
      <c r="K23" s="77">
        <f>SA34a!K119</f>
        <v>0</v>
      </c>
    </row>
    <row r="24" spans="1:11" hidden="1" x14ac:dyDescent="0.25">
      <c r="A24" s="1830" t="s">
        <v>1513</v>
      </c>
      <c r="B24" s="55"/>
      <c r="C24" s="114">
        <f>SA34a!C131</f>
        <v>0</v>
      </c>
      <c r="D24" s="114">
        <f>SA34a!D131</f>
        <v>0</v>
      </c>
      <c r="E24" s="116">
        <f>SA34a!E131</f>
        <v>0</v>
      </c>
      <c r="F24" s="115">
        <f>SA34a!F131</f>
        <v>0</v>
      </c>
      <c r="G24" s="114">
        <f>SA34a!G131</f>
        <v>0</v>
      </c>
      <c r="H24" s="113">
        <f>SA34a!H131</f>
        <v>0</v>
      </c>
      <c r="I24" s="117">
        <f>SA34a!I131</f>
        <v>0</v>
      </c>
      <c r="J24" s="114">
        <f>SA34a!J131</f>
        <v>0</v>
      </c>
      <c r="K24" s="116">
        <f>SA34a!K131</f>
        <v>0</v>
      </c>
    </row>
    <row r="25" spans="1:11" hidden="1" x14ac:dyDescent="0.25">
      <c r="A25" s="1838" t="s">
        <v>1763</v>
      </c>
      <c r="B25" s="369"/>
      <c r="C25" s="1839">
        <f>SUM(C23:C24)</f>
        <v>0</v>
      </c>
      <c r="D25" s="1839">
        <f t="shared" ref="D25:K25" si="4">SUM(D23:D24)</f>
        <v>150322</v>
      </c>
      <c r="E25" s="1840">
        <f t="shared" si="4"/>
        <v>112352.48999999999</v>
      </c>
      <c r="F25" s="1841">
        <f t="shared" si="4"/>
        <v>0</v>
      </c>
      <c r="G25" s="1839">
        <f t="shared" si="4"/>
        <v>0</v>
      </c>
      <c r="H25" s="1842">
        <f t="shared" si="4"/>
        <v>0</v>
      </c>
      <c r="I25" s="1843">
        <f t="shared" si="4"/>
        <v>0</v>
      </c>
      <c r="J25" s="1839">
        <f t="shared" si="4"/>
        <v>0</v>
      </c>
      <c r="K25" s="1840">
        <f t="shared" si="4"/>
        <v>0</v>
      </c>
    </row>
    <row r="26" spans="1:11" hidden="1" x14ac:dyDescent="0.25">
      <c r="A26" s="1838" t="s">
        <v>2364</v>
      </c>
      <c r="B26" s="369"/>
      <c r="C26" s="86">
        <f>SA34a!C136</f>
        <v>0</v>
      </c>
      <c r="D26" s="86">
        <f>SA34a!D136</f>
        <v>0</v>
      </c>
      <c r="E26" s="87">
        <f>SA34a!E136</f>
        <v>0</v>
      </c>
      <c r="F26" s="88">
        <f>SA34a!F136</f>
        <v>0</v>
      </c>
      <c r="G26" s="86">
        <f>SA34a!G136</f>
        <v>0</v>
      </c>
      <c r="H26" s="85">
        <f>SA34a!H136</f>
        <v>0</v>
      </c>
      <c r="I26" s="89">
        <f>SA34a!I136</f>
        <v>0</v>
      </c>
      <c r="J26" s="86">
        <f>SA34a!J136</f>
        <v>0</v>
      </c>
      <c r="K26" s="87">
        <f>SA34a!K136</f>
        <v>0</v>
      </c>
    </row>
    <row r="27" spans="1:11" hidden="1" x14ac:dyDescent="0.25">
      <c r="A27" s="1830" t="s">
        <v>2365</v>
      </c>
      <c r="B27" s="55"/>
      <c r="C27" s="76">
        <f>SA34a!C140</f>
        <v>0</v>
      </c>
      <c r="D27" s="76">
        <f>SA34a!D140</f>
        <v>0</v>
      </c>
      <c r="E27" s="77">
        <f>SA34a!E140</f>
        <v>0</v>
      </c>
      <c r="F27" s="78">
        <f>SA34a!F140</f>
        <v>0</v>
      </c>
      <c r="G27" s="76">
        <f>SA34a!G140</f>
        <v>0</v>
      </c>
      <c r="H27" s="75">
        <f>SA34a!H140</f>
        <v>0</v>
      </c>
      <c r="I27" s="79">
        <f>SA34a!I140</f>
        <v>0</v>
      </c>
      <c r="J27" s="76">
        <f>SA34a!J140</f>
        <v>0</v>
      </c>
      <c r="K27" s="77">
        <f>SA34a!K140</f>
        <v>0</v>
      </c>
    </row>
    <row r="28" spans="1:11" hidden="1" x14ac:dyDescent="0.25">
      <c r="A28" s="1830" t="s">
        <v>2366</v>
      </c>
      <c r="B28" s="55"/>
      <c r="C28" s="114">
        <f>SA34a!C141</f>
        <v>0</v>
      </c>
      <c r="D28" s="114">
        <f>SA34a!D141</f>
        <v>49308</v>
      </c>
      <c r="E28" s="116">
        <f>SA34a!E141</f>
        <v>0</v>
      </c>
      <c r="F28" s="115">
        <f>SA34a!F141</f>
        <v>0</v>
      </c>
      <c r="G28" s="114">
        <f>SA34a!G141</f>
        <v>0</v>
      </c>
      <c r="H28" s="113">
        <f>SA34a!H141</f>
        <v>0</v>
      </c>
      <c r="I28" s="117">
        <f>SA34a!I141</f>
        <v>0</v>
      </c>
      <c r="J28" s="114">
        <f>SA34a!J141</f>
        <v>0</v>
      </c>
      <c r="K28" s="116">
        <f>SA34a!K141</f>
        <v>0</v>
      </c>
    </row>
    <row r="29" spans="1:11" hidden="1" x14ac:dyDescent="0.25">
      <c r="A29" s="1838" t="s">
        <v>2367</v>
      </c>
      <c r="B29" s="369"/>
      <c r="C29" s="1839">
        <f>SUM(C27:C28)</f>
        <v>0</v>
      </c>
      <c r="D29" s="1839">
        <f t="shared" ref="D29:K29" si="5">SUM(D27:D28)</f>
        <v>49308</v>
      </c>
      <c r="E29" s="1840">
        <f t="shared" si="5"/>
        <v>0</v>
      </c>
      <c r="F29" s="1841">
        <f t="shared" si="5"/>
        <v>0</v>
      </c>
      <c r="G29" s="1839">
        <f t="shared" si="5"/>
        <v>0</v>
      </c>
      <c r="H29" s="1842">
        <f t="shared" si="5"/>
        <v>0</v>
      </c>
      <c r="I29" s="1843">
        <f t="shared" si="5"/>
        <v>0</v>
      </c>
      <c r="J29" s="1839">
        <f t="shared" si="5"/>
        <v>0</v>
      </c>
      <c r="K29" s="1840">
        <f t="shared" si="5"/>
        <v>0</v>
      </c>
    </row>
    <row r="30" spans="1:11" hidden="1" x14ac:dyDescent="0.25">
      <c r="A30" s="1838" t="s">
        <v>2374</v>
      </c>
      <c r="B30" s="331"/>
      <c r="C30" s="86">
        <f>SA34a!C149</f>
        <v>0</v>
      </c>
      <c r="D30" s="86">
        <f>SA34a!D149</f>
        <v>237523</v>
      </c>
      <c r="E30" s="87">
        <f>SA34a!E149</f>
        <v>502839.04000000004</v>
      </c>
      <c r="F30" s="88">
        <f>SA34a!F149</f>
        <v>24100</v>
      </c>
      <c r="G30" s="86">
        <f>SA34a!G149</f>
        <v>12000</v>
      </c>
      <c r="H30" s="85">
        <f>SA34a!H149</f>
        <v>12000</v>
      </c>
      <c r="I30" s="89">
        <f>SA34a!I149</f>
        <v>0</v>
      </c>
      <c r="J30" s="86">
        <f>SA34a!J149</f>
        <v>0</v>
      </c>
      <c r="K30" s="87">
        <f>SA34a!K149</f>
        <v>0</v>
      </c>
    </row>
    <row r="31" spans="1:11" hidden="1" x14ac:dyDescent="0.25">
      <c r="A31" s="1838" t="s">
        <v>2375</v>
      </c>
      <c r="B31" s="55"/>
      <c r="C31" s="86">
        <f>SA34a!C152</f>
        <v>0</v>
      </c>
      <c r="D31" s="86">
        <f>SA34a!D152</f>
        <v>342778</v>
      </c>
      <c r="E31" s="87">
        <f>SA34a!E152</f>
        <v>86023.67</v>
      </c>
      <c r="F31" s="88">
        <f>SA34a!F152</f>
        <v>43100</v>
      </c>
      <c r="G31" s="86">
        <f>SA34a!G152</f>
        <v>215600</v>
      </c>
      <c r="H31" s="85">
        <f>SA34a!H152</f>
        <v>215600</v>
      </c>
      <c r="I31" s="89">
        <f>SA34a!I152</f>
        <v>0</v>
      </c>
      <c r="J31" s="86">
        <f>SA34a!J152</f>
        <v>0</v>
      </c>
      <c r="K31" s="87">
        <f>SA34a!K152</f>
        <v>0</v>
      </c>
    </row>
    <row r="32" spans="1:11" hidden="1" x14ac:dyDescent="0.25">
      <c r="A32" s="1838" t="s">
        <v>2376</v>
      </c>
      <c r="B32" s="55"/>
      <c r="C32" s="86">
        <f>SA34a!C155</f>
        <v>0</v>
      </c>
      <c r="D32" s="86">
        <f>SA34a!D155</f>
        <v>75823</v>
      </c>
      <c r="E32" s="87">
        <f>SA34a!E155</f>
        <v>584179.87</v>
      </c>
      <c r="F32" s="88">
        <f>SA34a!F155</f>
        <v>532350</v>
      </c>
      <c r="G32" s="86">
        <f>SA34a!G155</f>
        <v>292350</v>
      </c>
      <c r="H32" s="85">
        <f>SA34a!H155</f>
        <v>292350</v>
      </c>
      <c r="I32" s="89">
        <f>SA34a!I155</f>
        <v>0</v>
      </c>
      <c r="J32" s="86">
        <f>SA34a!J155</f>
        <v>0</v>
      </c>
      <c r="K32" s="87">
        <f>SA34a!K155</f>
        <v>0</v>
      </c>
    </row>
    <row r="33" spans="1:11" hidden="1" x14ac:dyDescent="0.25">
      <c r="A33" s="1838" t="s">
        <v>2377</v>
      </c>
      <c r="B33" s="331"/>
      <c r="C33" s="86">
        <f>SA34a!C158</f>
        <v>0</v>
      </c>
      <c r="D33" s="86">
        <f>SA34a!D158</f>
        <v>0</v>
      </c>
      <c r="E33" s="87">
        <f>SA34a!E158</f>
        <v>418082.93</v>
      </c>
      <c r="F33" s="88">
        <f>SA34a!F158</f>
        <v>0</v>
      </c>
      <c r="G33" s="86">
        <f>SA34a!G158</f>
        <v>190015</v>
      </c>
      <c r="H33" s="85">
        <f>SA34a!H158</f>
        <v>190015</v>
      </c>
      <c r="I33" s="89">
        <f>SA34a!I158</f>
        <v>0</v>
      </c>
      <c r="J33" s="86">
        <f>SA34a!J158</f>
        <v>0</v>
      </c>
      <c r="K33" s="87">
        <f>SA34a!K158</f>
        <v>0</v>
      </c>
    </row>
    <row r="34" spans="1:11" hidden="1" x14ac:dyDescent="0.25">
      <c r="A34" s="1838" t="s">
        <v>2514</v>
      </c>
      <c r="B34" s="55"/>
      <c r="C34" s="86">
        <f>SA34a!C161</f>
        <v>0</v>
      </c>
      <c r="D34" s="86">
        <f>SA34a!D161</f>
        <v>0</v>
      </c>
      <c r="E34" s="87">
        <f>SA34a!E161</f>
        <v>0</v>
      </c>
      <c r="F34" s="88">
        <f>SA34a!F161</f>
        <v>0</v>
      </c>
      <c r="G34" s="86">
        <f>SA34a!G161</f>
        <v>0</v>
      </c>
      <c r="H34" s="85">
        <f>SA34a!H161</f>
        <v>0</v>
      </c>
      <c r="I34" s="89">
        <f>SA34a!I161</f>
        <v>0</v>
      </c>
      <c r="J34" s="86">
        <f>SA34a!J161</f>
        <v>0</v>
      </c>
      <c r="K34" s="87">
        <f>SA34a!K161</f>
        <v>0</v>
      </c>
    </row>
    <row r="35" spans="1:11" hidden="1" x14ac:dyDescent="0.25">
      <c r="A35" s="1838" t="s">
        <v>2378</v>
      </c>
      <c r="B35" s="55"/>
      <c r="C35" s="680">
        <f>SA34a!C164</f>
        <v>0</v>
      </c>
      <c r="D35" s="680">
        <f>SA34a!D164</f>
        <v>0</v>
      </c>
      <c r="E35" s="681">
        <f>SA34a!E164</f>
        <v>0</v>
      </c>
      <c r="F35" s="682">
        <f>SA34a!F164</f>
        <v>0</v>
      </c>
      <c r="G35" s="680">
        <f>SA34a!G164</f>
        <v>0</v>
      </c>
      <c r="H35" s="683">
        <f>SA34a!H164</f>
        <v>0</v>
      </c>
      <c r="I35" s="684">
        <f>SA34a!I164</f>
        <v>0</v>
      </c>
      <c r="J35" s="680">
        <f>SA34a!J164</f>
        <v>0</v>
      </c>
      <c r="K35" s="681">
        <f>SA34a!K164</f>
        <v>0</v>
      </c>
    </row>
    <row r="36" spans="1:11" hidden="1" x14ac:dyDescent="0.25">
      <c r="A36" s="829"/>
      <c r="B36" s="55"/>
      <c r="C36" s="76"/>
      <c r="D36" s="76"/>
      <c r="E36" s="77"/>
      <c r="F36" s="78"/>
      <c r="G36" s="76"/>
      <c r="H36" s="75"/>
      <c r="I36" s="79"/>
      <c r="J36" s="76"/>
      <c r="K36" s="77"/>
    </row>
    <row r="37" spans="1:11" hidden="1" x14ac:dyDescent="0.25">
      <c r="A37" s="882" t="s">
        <v>378</v>
      </c>
      <c r="B37" s="55">
        <v>2</v>
      </c>
      <c r="C37" s="86">
        <f>C47+C50+C51+C54+C57+C58+SUM(C61:C67)</f>
        <v>0</v>
      </c>
      <c r="D37" s="86">
        <f t="shared" ref="D37:K37" si="6">D47+D50+D51+D54+D57+D58+SUM(D61:D67)</f>
        <v>0</v>
      </c>
      <c r="E37" s="87">
        <f t="shared" si="6"/>
        <v>0</v>
      </c>
      <c r="F37" s="88">
        <f t="shared" si="6"/>
        <v>4243623</v>
      </c>
      <c r="G37" s="86">
        <f t="shared" si="6"/>
        <v>486976</v>
      </c>
      <c r="H37" s="85">
        <f t="shared" si="6"/>
        <v>486976</v>
      </c>
      <c r="I37" s="89">
        <f t="shared" si="6"/>
        <v>0</v>
      </c>
      <c r="J37" s="86">
        <f t="shared" si="6"/>
        <v>0</v>
      </c>
      <c r="K37" s="87">
        <f t="shared" si="6"/>
        <v>0</v>
      </c>
    </row>
    <row r="38" spans="1:11" hidden="1" x14ac:dyDescent="0.25">
      <c r="A38" s="1829" t="s">
        <v>2272</v>
      </c>
      <c r="B38" s="55"/>
      <c r="C38" s="76">
        <f>SA34b!C7</f>
        <v>0</v>
      </c>
      <c r="D38" s="76">
        <f>SA34b!D7</f>
        <v>0</v>
      </c>
      <c r="E38" s="77">
        <f>SA34b!E7</f>
        <v>0</v>
      </c>
      <c r="F38" s="78">
        <f>SA34b!F7</f>
        <v>3799112</v>
      </c>
      <c r="G38" s="76">
        <f>SA34b!G7</f>
        <v>42465</v>
      </c>
      <c r="H38" s="75">
        <f>SA34b!H7</f>
        <v>42465</v>
      </c>
      <c r="I38" s="79">
        <f>SA34b!I7</f>
        <v>0</v>
      </c>
      <c r="J38" s="76">
        <f>SA34b!J7</f>
        <v>0</v>
      </c>
      <c r="K38" s="77">
        <f>SA34b!K7</f>
        <v>0</v>
      </c>
    </row>
    <row r="39" spans="1:11" hidden="1" x14ac:dyDescent="0.25">
      <c r="A39" s="1829" t="s">
        <v>2276</v>
      </c>
      <c r="B39" s="55"/>
      <c r="C39" s="76">
        <f>SA34b!C12</f>
        <v>0</v>
      </c>
      <c r="D39" s="76">
        <f>SA34b!D12</f>
        <v>0</v>
      </c>
      <c r="E39" s="77">
        <f>SA34b!E12</f>
        <v>0</v>
      </c>
      <c r="F39" s="78">
        <f>SA34b!F12</f>
        <v>444511</v>
      </c>
      <c r="G39" s="76">
        <f>SA34b!G12</f>
        <v>444511</v>
      </c>
      <c r="H39" s="75">
        <f>SA34b!H12</f>
        <v>444511</v>
      </c>
      <c r="I39" s="79">
        <f>SA34b!I12</f>
        <v>0</v>
      </c>
      <c r="J39" s="76">
        <f>SA34b!J12</f>
        <v>0</v>
      </c>
      <c r="K39" s="77">
        <f>SA34b!K12</f>
        <v>0</v>
      </c>
    </row>
    <row r="40" spans="1:11" hidden="1" x14ac:dyDescent="0.25">
      <c r="A40" s="1829" t="s">
        <v>2321</v>
      </c>
      <c r="B40" s="55"/>
      <c r="C40" s="76">
        <f>SA34b!C16</f>
        <v>0</v>
      </c>
      <c r="D40" s="76">
        <f>SA34b!D16</f>
        <v>0</v>
      </c>
      <c r="E40" s="77">
        <f>SA34b!E16</f>
        <v>0</v>
      </c>
      <c r="F40" s="78">
        <f>SA34b!F16</f>
        <v>0</v>
      </c>
      <c r="G40" s="76">
        <f>SA34b!G16</f>
        <v>0</v>
      </c>
      <c r="H40" s="75">
        <f>SA34b!H16</f>
        <v>0</v>
      </c>
      <c r="I40" s="79">
        <f>SA34b!I16</f>
        <v>0</v>
      </c>
      <c r="J40" s="76">
        <f>SA34b!J16</f>
        <v>0</v>
      </c>
      <c r="K40" s="77">
        <f>SA34b!K16</f>
        <v>0</v>
      </c>
    </row>
    <row r="41" spans="1:11" hidden="1" x14ac:dyDescent="0.25">
      <c r="A41" s="1829" t="s">
        <v>2322</v>
      </c>
      <c r="B41" s="55"/>
      <c r="C41" s="76">
        <f>SA34b!C26</f>
        <v>0</v>
      </c>
      <c r="D41" s="76">
        <f>SA34b!D26</f>
        <v>0</v>
      </c>
      <c r="E41" s="77">
        <f>SA34b!E26</f>
        <v>0</v>
      </c>
      <c r="F41" s="78">
        <f>SA34b!F26</f>
        <v>0</v>
      </c>
      <c r="G41" s="76">
        <f>SA34b!G26</f>
        <v>0</v>
      </c>
      <c r="H41" s="75">
        <f>SA34b!H26</f>
        <v>0</v>
      </c>
      <c r="I41" s="79">
        <f>SA34b!I26</f>
        <v>0</v>
      </c>
      <c r="J41" s="76">
        <f>SA34b!J26</f>
        <v>0</v>
      </c>
      <c r="K41" s="77">
        <f>SA34b!K26</f>
        <v>0</v>
      </c>
    </row>
    <row r="42" spans="1:11" hidden="1" x14ac:dyDescent="0.25">
      <c r="A42" s="1829" t="s">
        <v>2323</v>
      </c>
      <c r="B42" s="55"/>
      <c r="C42" s="76">
        <f>SA34b!C37</f>
        <v>0</v>
      </c>
      <c r="D42" s="76">
        <f>SA34b!D37</f>
        <v>0</v>
      </c>
      <c r="E42" s="77">
        <f>SA34b!E37</f>
        <v>0</v>
      </c>
      <c r="F42" s="78">
        <f>SA34b!F37</f>
        <v>0</v>
      </c>
      <c r="G42" s="76">
        <f>SA34b!G37</f>
        <v>0</v>
      </c>
      <c r="H42" s="75">
        <f>SA34b!H37</f>
        <v>0</v>
      </c>
      <c r="I42" s="79">
        <f>SA34b!I37</f>
        <v>0</v>
      </c>
      <c r="J42" s="76">
        <f>SA34b!J37</f>
        <v>0</v>
      </c>
      <c r="K42" s="77">
        <f>SA34b!K37</f>
        <v>0</v>
      </c>
    </row>
    <row r="43" spans="1:11" hidden="1" x14ac:dyDescent="0.25">
      <c r="A43" s="1829" t="s">
        <v>2301</v>
      </c>
      <c r="B43" s="55"/>
      <c r="C43" s="76">
        <f>SA34b!C44</f>
        <v>0</v>
      </c>
      <c r="D43" s="76">
        <f>SA34b!D44</f>
        <v>0</v>
      </c>
      <c r="E43" s="77">
        <f>SA34b!E44</f>
        <v>0</v>
      </c>
      <c r="F43" s="78">
        <f>SA34b!F44</f>
        <v>0</v>
      </c>
      <c r="G43" s="76">
        <f>SA34b!G44</f>
        <v>0</v>
      </c>
      <c r="H43" s="75">
        <f>SA34b!H44</f>
        <v>0</v>
      </c>
      <c r="I43" s="79">
        <f>SA34b!I44</f>
        <v>0</v>
      </c>
      <c r="J43" s="76">
        <f>SA34b!J44</f>
        <v>0</v>
      </c>
      <c r="K43" s="77">
        <f>SA34b!K44</f>
        <v>0</v>
      </c>
    </row>
    <row r="44" spans="1:11" hidden="1" x14ac:dyDescent="0.25">
      <c r="A44" s="1829" t="s">
        <v>2317</v>
      </c>
      <c r="B44" s="55"/>
      <c r="C44" s="76">
        <f>SA34b!C52</f>
        <v>0</v>
      </c>
      <c r="D44" s="76">
        <f>SA34b!D52</f>
        <v>0</v>
      </c>
      <c r="E44" s="77">
        <f>SA34b!E52</f>
        <v>0</v>
      </c>
      <c r="F44" s="78">
        <f>SA34b!F52</f>
        <v>0</v>
      </c>
      <c r="G44" s="76">
        <f>SA34b!G52</f>
        <v>0</v>
      </c>
      <c r="H44" s="75">
        <f>SA34b!H52</f>
        <v>0</v>
      </c>
      <c r="I44" s="79">
        <f>SA34b!I52</f>
        <v>0</v>
      </c>
      <c r="J44" s="76">
        <f>SA34b!J52</f>
        <v>0</v>
      </c>
      <c r="K44" s="77">
        <f>SA34b!K52</f>
        <v>0</v>
      </c>
    </row>
    <row r="45" spans="1:11" hidden="1" x14ac:dyDescent="0.25">
      <c r="A45" s="1829" t="s">
        <v>2312</v>
      </c>
      <c r="B45" s="55"/>
      <c r="C45" s="76">
        <f>SA34b!C62</f>
        <v>0</v>
      </c>
      <c r="D45" s="76">
        <f>SA34b!D62</f>
        <v>0</v>
      </c>
      <c r="E45" s="77">
        <f>SA34b!E62</f>
        <v>0</v>
      </c>
      <c r="F45" s="78">
        <f>SA34b!F62</f>
        <v>0</v>
      </c>
      <c r="G45" s="76">
        <f>SA34b!G62</f>
        <v>0</v>
      </c>
      <c r="H45" s="75">
        <f>SA34b!H62</f>
        <v>0</v>
      </c>
      <c r="I45" s="79">
        <f>SA34b!I62</f>
        <v>0</v>
      </c>
      <c r="J45" s="76">
        <f>SA34b!J62</f>
        <v>0</v>
      </c>
      <c r="K45" s="77">
        <f>SA34b!K62</f>
        <v>0</v>
      </c>
    </row>
    <row r="46" spans="1:11" hidden="1" x14ac:dyDescent="0.25">
      <c r="A46" s="1829" t="s">
        <v>2308</v>
      </c>
      <c r="B46" s="55"/>
      <c r="C46" s="76">
        <f>SA34b!C68</f>
        <v>0</v>
      </c>
      <c r="D46" s="76">
        <f>SA34b!D68</f>
        <v>0</v>
      </c>
      <c r="E46" s="77">
        <f>SA34b!E68</f>
        <v>0</v>
      </c>
      <c r="F46" s="78">
        <f>SA34b!F68</f>
        <v>0</v>
      </c>
      <c r="G46" s="76">
        <f>SA34b!G68</f>
        <v>0</v>
      </c>
      <c r="H46" s="75">
        <f>SA34b!H68</f>
        <v>0</v>
      </c>
      <c r="I46" s="79">
        <f>SA34b!I68</f>
        <v>0</v>
      </c>
      <c r="J46" s="76">
        <f>SA34b!J68</f>
        <v>0</v>
      </c>
      <c r="K46" s="77">
        <f>SA34b!K68</f>
        <v>0</v>
      </c>
    </row>
    <row r="47" spans="1:11" hidden="1" x14ac:dyDescent="0.25">
      <c r="A47" s="1838" t="s">
        <v>853</v>
      </c>
      <c r="B47" s="369"/>
      <c r="C47" s="1839">
        <f>SUM(C38:C46)</f>
        <v>0</v>
      </c>
      <c r="D47" s="1839">
        <f t="shared" ref="D47:K47" si="7">SUM(D38:D46)</f>
        <v>0</v>
      </c>
      <c r="E47" s="1840">
        <f t="shared" si="7"/>
        <v>0</v>
      </c>
      <c r="F47" s="1841">
        <f t="shared" si="7"/>
        <v>4243623</v>
      </c>
      <c r="G47" s="1839">
        <f t="shared" si="7"/>
        <v>486976</v>
      </c>
      <c r="H47" s="1842">
        <f t="shared" si="7"/>
        <v>486976</v>
      </c>
      <c r="I47" s="1843">
        <f t="shared" si="7"/>
        <v>0</v>
      </c>
      <c r="J47" s="1839">
        <f t="shared" si="7"/>
        <v>0</v>
      </c>
      <c r="K47" s="1840">
        <f t="shared" si="7"/>
        <v>0</v>
      </c>
    </row>
    <row r="48" spans="1:11" hidden="1" x14ac:dyDescent="0.25">
      <c r="A48" s="1830" t="s">
        <v>2325</v>
      </c>
      <c r="B48" s="55"/>
      <c r="C48" s="76">
        <f>SA34b!C75</f>
        <v>0</v>
      </c>
      <c r="D48" s="76">
        <f>SA34b!D75</f>
        <v>0</v>
      </c>
      <c r="E48" s="77">
        <f>SA34b!E75</f>
        <v>0</v>
      </c>
      <c r="F48" s="78">
        <f>SA34b!F75</f>
        <v>0</v>
      </c>
      <c r="G48" s="76">
        <f>SA34b!G75</f>
        <v>0</v>
      </c>
      <c r="H48" s="75">
        <f>SA34b!H75</f>
        <v>0</v>
      </c>
      <c r="I48" s="79">
        <f>SA34b!I75</f>
        <v>0</v>
      </c>
      <c r="J48" s="76">
        <f>SA34b!J75</f>
        <v>0</v>
      </c>
      <c r="K48" s="77">
        <f>SA34b!K75</f>
        <v>0</v>
      </c>
    </row>
    <row r="49" spans="1:11" hidden="1" x14ac:dyDescent="0.25">
      <c r="A49" s="1830" t="s">
        <v>2343</v>
      </c>
      <c r="B49" s="55"/>
      <c r="C49" s="114">
        <f>SA34b!C98</f>
        <v>0</v>
      </c>
      <c r="D49" s="114">
        <f>SA34b!D98</f>
        <v>0</v>
      </c>
      <c r="E49" s="116">
        <f>SA34b!E98</f>
        <v>0</v>
      </c>
      <c r="F49" s="115">
        <f>SA34b!F98</f>
        <v>0</v>
      </c>
      <c r="G49" s="114">
        <f>SA34b!G98</f>
        <v>0</v>
      </c>
      <c r="H49" s="113">
        <f>SA34b!H98</f>
        <v>0</v>
      </c>
      <c r="I49" s="117">
        <f>SA34b!I98</f>
        <v>0</v>
      </c>
      <c r="J49" s="114">
        <f>SA34b!J98</f>
        <v>0</v>
      </c>
      <c r="K49" s="116">
        <f>SA34b!K98</f>
        <v>0</v>
      </c>
    </row>
    <row r="50" spans="1:11" hidden="1" x14ac:dyDescent="0.25">
      <c r="A50" s="1838" t="s">
        <v>2324</v>
      </c>
      <c r="B50" s="369"/>
      <c r="C50" s="1839">
        <f>SUM(C48:C49)</f>
        <v>0</v>
      </c>
      <c r="D50" s="1839">
        <f t="shared" ref="D50:K50" si="8">SUM(D48:D49)</f>
        <v>0</v>
      </c>
      <c r="E50" s="1840">
        <f t="shared" si="8"/>
        <v>0</v>
      </c>
      <c r="F50" s="1841">
        <f t="shared" si="8"/>
        <v>0</v>
      </c>
      <c r="G50" s="1839">
        <f t="shared" si="8"/>
        <v>0</v>
      </c>
      <c r="H50" s="1842">
        <f t="shared" si="8"/>
        <v>0</v>
      </c>
      <c r="I50" s="1843">
        <f t="shared" si="8"/>
        <v>0</v>
      </c>
      <c r="J50" s="1839">
        <f t="shared" si="8"/>
        <v>0</v>
      </c>
      <c r="K50" s="1840">
        <f t="shared" si="8"/>
        <v>0</v>
      </c>
    </row>
    <row r="51" spans="1:11" hidden="1" x14ac:dyDescent="0.25">
      <c r="A51" s="1838" t="s">
        <v>1758</v>
      </c>
      <c r="B51" s="369"/>
      <c r="C51" s="86">
        <f>SA34b!C103</f>
        <v>0</v>
      </c>
      <c r="D51" s="86">
        <f>SA34b!D103</f>
        <v>0</v>
      </c>
      <c r="E51" s="87">
        <f>SA34b!E103</f>
        <v>0</v>
      </c>
      <c r="F51" s="88">
        <f>SA34b!F103</f>
        <v>0</v>
      </c>
      <c r="G51" s="86">
        <f>SA34b!G103</f>
        <v>0</v>
      </c>
      <c r="H51" s="85">
        <f>SA34b!H103</f>
        <v>0</v>
      </c>
      <c r="I51" s="89">
        <f>SA34b!I103</f>
        <v>0</v>
      </c>
      <c r="J51" s="86">
        <f>SA34b!J103</f>
        <v>0</v>
      </c>
      <c r="K51" s="87">
        <f>SA34b!K103</f>
        <v>0</v>
      </c>
    </row>
    <row r="52" spans="1:11" hidden="1" x14ac:dyDescent="0.25">
      <c r="A52" s="1830" t="s">
        <v>2380</v>
      </c>
      <c r="B52" s="55"/>
      <c r="C52" s="76">
        <f>SA34b!C111</f>
        <v>0</v>
      </c>
      <c r="D52" s="76">
        <f>SA34b!D111</f>
        <v>0</v>
      </c>
      <c r="E52" s="77">
        <f>SA34b!E111</f>
        <v>0</v>
      </c>
      <c r="F52" s="78">
        <f>SA34b!F111</f>
        <v>0</v>
      </c>
      <c r="G52" s="76">
        <f>SA34b!G111</f>
        <v>0</v>
      </c>
      <c r="H52" s="75">
        <f>SA34b!H111</f>
        <v>0</v>
      </c>
      <c r="I52" s="79">
        <f>SA34b!I111</f>
        <v>0</v>
      </c>
      <c r="J52" s="76">
        <f>SA34b!J111</f>
        <v>0</v>
      </c>
      <c r="K52" s="77">
        <f>SA34b!K111</f>
        <v>0</v>
      </c>
    </row>
    <row r="53" spans="1:11" hidden="1" x14ac:dyDescent="0.25">
      <c r="A53" s="1830" t="s">
        <v>2383</v>
      </c>
      <c r="B53" s="55"/>
      <c r="C53" s="114">
        <f>SA34b!C114</f>
        <v>0</v>
      </c>
      <c r="D53" s="114">
        <f>SA34b!D114</f>
        <v>0</v>
      </c>
      <c r="E53" s="116">
        <f>SA34b!E114</f>
        <v>0</v>
      </c>
      <c r="F53" s="115">
        <f>SA34b!F114</f>
        <v>0</v>
      </c>
      <c r="G53" s="114">
        <f>SA34b!G114</f>
        <v>0</v>
      </c>
      <c r="H53" s="113">
        <f>SA34b!H114</f>
        <v>0</v>
      </c>
      <c r="I53" s="117">
        <f>SA34b!I114</f>
        <v>0</v>
      </c>
      <c r="J53" s="114">
        <f>SA34b!J114</f>
        <v>0</v>
      </c>
      <c r="K53" s="116">
        <f>SA34b!K114</f>
        <v>0</v>
      </c>
    </row>
    <row r="54" spans="1:11" hidden="1" x14ac:dyDescent="0.25">
      <c r="A54" s="1838" t="s">
        <v>844</v>
      </c>
      <c r="B54" s="369"/>
      <c r="C54" s="1839">
        <f>SUM(C52:C53)</f>
        <v>0</v>
      </c>
      <c r="D54" s="1839">
        <f t="shared" ref="D54:K54" si="9">SUM(D52:D53)</f>
        <v>0</v>
      </c>
      <c r="E54" s="1840">
        <f t="shared" si="9"/>
        <v>0</v>
      </c>
      <c r="F54" s="1841">
        <f t="shared" si="9"/>
        <v>0</v>
      </c>
      <c r="G54" s="1839">
        <f t="shared" si="9"/>
        <v>0</v>
      </c>
      <c r="H54" s="1842">
        <f t="shared" si="9"/>
        <v>0</v>
      </c>
      <c r="I54" s="1843">
        <f t="shared" si="9"/>
        <v>0</v>
      </c>
      <c r="J54" s="1839">
        <f t="shared" si="9"/>
        <v>0</v>
      </c>
      <c r="K54" s="1840">
        <f t="shared" si="9"/>
        <v>0</v>
      </c>
    </row>
    <row r="55" spans="1:11" hidden="1" x14ac:dyDescent="0.25">
      <c r="A55" s="1830" t="s">
        <v>2351</v>
      </c>
      <c r="B55" s="55"/>
      <c r="C55" s="76">
        <f>SA34b!C119</f>
        <v>0</v>
      </c>
      <c r="D55" s="76">
        <f>SA34b!D119</f>
        <v>0</v>
      </c>
      <c r="E55" s="77">
        <f>SA34b!E119</f>
        <v>0</v>
      </c>
      <c r="F55" s="78">
        <f>SA34b!F119</f>
        <v>0</v>
      </c>
      <c r="G55" s="76">
        <f>SA34b!G119</f>
        <v>0</v>
      </c>
      <c r="H55" s="75">
        <f>SA34b!H119</f>
        <v>0</v>
      </c>
      <c r="I55" s="79">
        <f>SA34b!I119</f>
        <v>0</v>
      </c>
      <c r="J55" s="76">
        <f>SA34b!J119</f>
        <v>0</v>
      </c>
      <c r="K55" s="77">
        <f>SA34b!K119</f>
        <v>0</v>
      </c>
    </row>
    <row r="56" spans="1:11" hidden="1" x14ac:dyDescent="0.25">
      <c r="A56" s="1830" t="s">
        <v>1513</v>
      </c>
      <c r="B56" s="55"/>
      <c r="C56" s="114">
        <f>SA34b!C131</f>
        <v>0</v>
      </c>
      <c r="D56" s="114">
        <f>SA34b!D131</f>
        <v>0</v>
      </c>
      <c r="E56" s="116">
        <f>SA34b!E131</f>
        <v>0</v>
      </c>
      <c r="F56" s="115">
        <f>SA34b!F131</f>
        <v>0</v>
      </c>
      <c r="G56" s="114">
        <f>SA34b!G131</f>
        <v>0</v>
      </c>
      <c r="H56" s="113">
        <f>SA34b!H131</f>
        <v>0</v>
      </c>
      <c r="I56" s="117">
        <f>SA34b!I131</f>
        <v>0</v>
      </c>
      <c r="J56" s="114">
        <f>SA34b!J131</f>
        <v>0</v>
      </c>
      <c r="K56" s="116">
        <f>SA34b!K131</f>
        <v>0</v>
      </c>
    </row>
    <row r="57" spans="1:11" hidden="1" x14ac:dyDescent="0.25">
      <c r="A57" s="1838" t="s">
        <v>1763</v>
      </c>
      <c r="B57" s="369"/>
      <c r="C57" s="1839">
        <f>SUM(C55:C56)</f>
        <v>0</v>
      </c>
      <c r="D57" s="1839">
        <f t="shared" ref="D57:K57" si="10">SUM(D55:D56)</f>
        <v>0</v>
      </c>
      <c r="E57" s="1840">
        <f t="shared" si="10"/>
        <v>0</v>
      </c>
      <c r="F57" s="1841">
        <f t="shared" si="10"/>
        <v>0</v>
      </c>
      <c r="G57" s="1839">
        <f t="shared" si="10"/>
        <v>0</v>
      </c>
      <c r="H57" s="1842">
        <f t="shared" si="10"/>
        <v>0</v>
      </c>
      <c r="I57" s="1843">
        <f t="shared" si="10"/>
        <v>0</v>
      </c>
      <c r="J57" s="1839">
        <f t="shared" si="10"/>
        <v>0</v>
      </c>
      <c r="K57" s="1840">
        <f t="shared" si="10"/>
        <v>0</v>
      </c>
    </row>
    <row r="58" spans="1:11" hidden="1" x14ac:dyDescent="0.25">
      <c r="A58" s="1838" t="s">
        <v>2364</v>
      </c>
      <c r="B58" s="369"/>
      <c r="C58" s="86">
        <f>SA34b!C136</f>
        <v>0</v>
      </c>
      <c r="D58" s="86">
        <f>SA34b!D136</f>
        <v>0</v>
      </c>
      <c r="E58" s="87">
        <f>SA34b!E136</f>
        <v>0</v>
      </c>
      <c r="F58" s="88">
        <f>SA34b!F136</f>
        <v>0</v>
      </c>
      <c r="G58" s="86">
        <f>SA34b!G136</f>
        <v>0</v>
      </c>
      <c r="H58" s="85">
        <f>SA34b!H136</f>
        <v>0</v>
      </c>
      <c r="I58" s="89">
        <f>SA34b!I136</f>
        <v>0</v>
      </c>
      <c r="J58" s="86">
        <f>SA34b!J136</f>
        <v>0</v>
      </c>
      <c r="K58" s="87">
        <f>SA34b!K136</f>
        <v>0</v>
      </c>
    </row>
    <row r="59" spans="1:11" hidden="1" x14ac:dyDescent="0.25">
      <c r="A59" s="1830" t="s">
        <v>2365</v>
      </c>
      <c r="B59" s="55"/>
      <c r="C59" s="76">
        <f>SA34b!C140</f>
        <v>0</v>
      </c>
      <c r="D59" s="76">
        <f>SA34b!D140</f>
        <v>0</v>
      </c>
      <c r="E59" s="77">
        <f>SA34b!E140</f>
        <v>0</v>
      </c>
      <c r="F59" s="78">
        <f>SA34b!F140</f>
        <v>0</v>
      </c>
      <c r="G59" s="76">
        <f>SA34b!G140</f>
        <v>0</v>
      </c>
      <c r="H59" s="75">
        <f>SA34b!H140</f>
        <v>0</v>
      </c>
      <c r="I59" s="79">
        <f>SA34b!I140</f>
        <v>0</v>
      </c>
      <c r="J59" s="76">
        <f>SA34b!J140</f>
        <v>0</v>
      </c>
      <c r="K59" s="77">
        <f>SA34b!K140</f>
        <v>0</v>
      </c>
    </row>
    <row r="60" spans="1:11" hidden="1" x14ac:dyDescent="0.25">
      <c r="A60" s="1830" t="s">
        <v>2366</v>
      </c>
      <c r="B60" s="55"/>
      <c r="C60" s="114">
        <f>SA34b!C141</f>
        <v>0</v>
      </c>
      <c r="D60" s="114">
        <f>SA34b!D141</f>
        <v>0</v>
      </c>
      <c r="E60" s="116">
        <f>SA34b!E141</f>
        <v>0</v>
      </c>
      <c r="F60" s="115">
        <f>SA34b!F141</f>
        <v>0</v>
      </c>
      <c r="G60" s="114">
        <f>SA34b!G141</f>
        <v>0</v>
      </c>
      <c r="H60" s="113">
        <f>SA34b!H141</f>
        <v>0</v>
      </c>
      <c r="I60" s="117">
        <f>SA34b!I141</f>
        <v>0</v>
      </c>
      <c r="J60" s="114">
        <f>SA34b!J141</f>
        <v>0</v>
      </c>
      <c r="K60" s="116">
        <f>SA34b!K141</f>
        <v>0</v>
      </c>
    </row>
    <row r="61" spans="1:11" hidden="1" x14ac:dyDescent="0.25">
      <c r="A61" s="1838" t="s">
        <v>2367</v>
      </c>
      <c r="B61" s="369"/>
      <c r="C61" s="1839">
        <f>SUM(C59:C60)</f>
        <v>0</v>
      </c>
      <c r="D61" s="1839">
        <f t="shared" ref="D61:K61" si="11">SUM(D59:D60)</f>
        <v>0</v>
      </c>
      <c r="E61" s="1840">
        <f t="shared" si="11"/>
        <v>0</v>
      </c>
      <c r="F61" s="1841">
        <f t="shared" si="11"/>
        <v>0</v>
      </c>
      <c r="G61" s="1839">
        <f t="shared" si="11"/>
        <v>0</v>
      </c>
      <c r="H61" s="1842">
        <f t="shared" si="11"/>
        <v>0</v>
      </c>
      <c r="I61" s="1843">
        <f t="shared" si="11"/>
        <v>0</v>
      </c>
      <c r="J61" s="1839">
        <f t="shared" si="11"/>
        <v>0</v>
      </c>
      <c r="K61" s="1840">
        <f t="shared" si="11"/>
        <v>0</v>
      </c>
    </row>
    <row r="62" spans="1:11" hidden="1" x14ac:dyDescent="0.25">
      <c r="A62" s="1838" t="s">
        <v>2374</v>
      </c>
      <c r="B62" s="331"/>
      <c r="C62" s="86">
        <f>SA34b!C149</f>
        <v>0</v>
      </c>
      <c r="D62" s="86">
        <f>SA34b!D149</f>
        <v>0</v>
      </c>
      <c r="E62" s="87">
        <f>SA34b!E149</f>
        <v>0</v>
      </c>
      <c r="F62" s="88">
        <f>SA34b!F149</f>
        <v>0</v>
      </c>
      <c r="G62" s="86">
        <f>SA34b!G149</f>
        <v>0</v>
      </c>
      <c r="H62" s="85">
        <f>SA34b!H149</f>
        <v>0</v>
      </c>
      <c r="I62" s="89">
        <f>SA34b!I149</f>
        <v>0</v>
      </c>
      <c r="J62" s="86">
        <f>SA34b!J149</f>
        <v>0</v>
      </c>
      <c r="K62" s="87">
        <f>SA34b!K149</f>
        <v>0</v>
      </c>
    </row>
    <row r="63" spans="1:11" hidden="1" x14ac:dyDescent="0.25">
      <c r="A63" s="1838" t="s">
        <v>2375</v>
      </c>
      <c r="B63" s="55"/>
      <c r="C63" s="86">
        <f>SA34b!C152</f>
        <v>0</v>
      </c>
      <c r="D63" s="86">
        <f>SA34b!D152</f>
        <v>0</v>
      </c>
      <c r="E63" s="87">
        <f>SA34b!E152</f>
        <v>0</v>
      </c>
      <c r="F63" s="88">
        <f>SA34b!F152</f>
        <v>0</v>
      </c>
      <c r="G63" s="86">
        <f>SA34b!G152</f>
        <v>0</v>
      </c>
      <c r="H63" s="85">
        <f>SA34b!H152</f>
        <v>0</v>
      </c>
      <c r="I63" s="89">
        <f>SA34b!I152</f>
        <v>0</v>
      </c>
      <c r="J63" s="86">
        <f>SA34b!J152</f>
        <v>0</v>
      </c>
      <c r="K63" s="87">
        <f>SA34b!K152</f>
        <v>0</v>
      </c>
    </row>
    <row r="64" spans="1:11" hidden="1" x14ac:dyDescent="0.25">
      <c r="A64" s="1838" t="s">
        <v>2376</v>
      </c>
      <c r="B64" s="55"/>
      <c r="C64" s="86">
        <f>SA34b!C155</f>
        <v>0</v>
      </c>
      <c r="D64" s="86">
        <f>SA34b!D155</f>
        <v>0</v>
      </c>
      <c r="E64" s="87">
        <f>SA34b!E155</f>
        <v>0</v>
      </c>
      <c r="F64" s="88">
        <f>SA34b!F155</f>
        <v>0</v>
      </c>
      <c r="G64" s="86">
        <f>SA34b!G155</f>
        <v>0</v>
      </c>
      <c r="H64" s="85">
        <f>SA34b!H155</f>
        <v>0</v>
      </c>
      <c r="I64" s="89">
        <f>SA34b!I155</f>
        <v>0</v>
      </c>
      <c r="J64" s="86">
        <f>SA34b!J155</f>
        <v>0</v>
      </c>
      <c r="K64" s="87">
        <f>SA34b!K155</f>
        <v>0</v>
      </c>
    </row>
    <row r="65" spans="1:11" hidden="1" x14ac:dyDescent="0.25">
      <c r="A65" s="1838" t="s">
        <v>2377</v>
      </c>
      <c r="B65" s="331"/>
      <c r="C65" s="86">
        <f>SA34b!C158</f>
        <v>0</v>
      </c>
      <c r="D65" s="86">
        <f>SA34b!D158</f>
        <v>0</v>
      </c>
      <c r="E65" s="87">
        <f>SA34b!E158</f>
        <v>0</v>
      </c>
      <c r="F65" s="88">
        <f>SA34b!F158</f>
        <v>0</v>
      </c>
      <c r="G65" s="86">
        <f>SA34b!G158</f>
        <v>0</v>
      </c>
      <c r="H65" s="85">
        <f>SA34b!H158</f>
        <v>0</v>
      </c>
      <c r="I65" s="89">
        <f>SA34b!I158</f>
        <v>0</v>
      </c>
      <c r="J65" s="86">
        <f>SA34b!J158</f>
        <v>0</v>
      </c>
      <c r="K65" s="87">
        <f>SA34b!K158</f>
        <v>0</v>
      </c>
    </row>
    <row r="66" spans="1:11" hidden="1" x14ac:dyDescent="0.25">
      <c r="A66" s="1838" t="s">
        <v>2514</v>
      </c>
      <c r="B66" s="55"/>
      <c r="C66" s="86">
        <f>SA34b!C161</f>
        <v>0</v>
      </c>
      <c r="D66" s="86">
        <f>SA34b!D161</f>
        <v>0</v>
      </c>
      <c r="E66" s="87">
        <f>SA34b!E161</f>
        <v>0</v>
      </c>
      <c r="F66" s="88">
        <f>SA34b!F161</f>
        <v>0</v>
      </c>
      <c r="G66" s="86">
        <f>SA34b!G161</f>
        <v>0</v>
      </c>
      <c r="H66" s="85">
        <f>SA34b!H161</f>
        <v>0</v>
      </c>
      <c r="I66" s="89">
        <f>SA34b!I161</f>
        <v>0</v>
      </c>
      <c r="J66" s="86">
        <f>SA34b!J161</f>
        <v>0</v>
      </c>
      <c r="K66" s="87">
        <f>SA34b!K161</f>
        <v>0</v>
      </c>
    </row>
    <row r="67" spans="1:11" hidden="1" x14ac:dyDescent="0.25">
      <c r="A67" s="1838" t="s">
        <v>2378</v>
      </c>
      <c r="B67" s="55"/>
      <c r="C67" s="680">
        <f>SA34b!C164</f>
        <v>0</v>
      </c>
      <c r="D67" s="680">
        <f>SA34b!D164</f>
        <v>0</v>
      </c>
      <c r="E67" s="681">
        <f>SA34b!E164</f>
        <v>0</v>
      </c>
      <c r="F67" s="682">
        <f>SA34b!F164</f>
        <v>0</v>
      </c>
      <c r="G67" s="680">
        <f>SA34b!G164</f>
        <v>0</v>
      </c>
      <c r="H67" s="683">
        <f>SA34b!H164</f>
        <v>0</v>
      </c>
      <c r="I67" s="684">
        <f>SA34b!I164</f>
        <v>0</v>
      </c>
      <c r="J67" s="680">
        <f>SA34b!J164</f>
        <v>0</v>
      </c>
      <c r="K67" s="681">
        <f>SA34b!K164</f>
        <v>0</v>
      </c>
    </row>
    <row r="68" spans="1:11" hidden="1" x14ac:dyDescent="0.25">
      <c r="A68" s="829"/>
      <c r="B68" s="55"/>
      <c r="C68" s="76"/>
      <c r="D68" s="76"/>
      <c r="E68" s="77"/>
      <c r="F68" s="78"/>
      <c r="G68" s="76"/>
      <c r="H68" s="75"/>
      <c r="I68" s="79"/>
      <c r="J68" s="76"/>
      <c r="K68" s="77"/>
    </row>
    <row r="69" spans="1:11" hidden="1" x14ac:dyDescent="0.25">
      <c r="A69" s="882" t="s">
        <v>2398</v>
      </c>
      <c r="B69" s="55">
        <v>6</v>
      </c>
      <c r="C69" s="86">
        <f>C79+C82+C83+C86+C89+C90+SUM(C93:C99)</f>
        <v>0</v>
      </c>
      <c r="D69" s="86">
        <f t="shared" ref="D69:K69" si="12">D79+D82+D83+D86+D89+D90+SUM(D93:D99)</f>
        <v>0</v>
      </c>
      <c r="E69" s="87">
        <f t="shared" si="12"/>
        <v>0</v>
      </c>
      <c r="F69" s="88">
        <f t="shared" si="12"/>
        <v>25040427</v>
      </c>
      <c r="G69" s="86">
        <f t="shared" si="12"/>
        <v>20330548</v>
      </c>
      <c r="H69" s="85">
        <f t="shared" si="12"/>
        <v>20330548</v>
      </c>
      <c r="I69" s="89">
        <f t="shared" si="12"/>
        <v>16340973</v>
      </c>
      <c r="J69" s="86">
        <f t="shared" si="12"/>
        <v>18922359</v>
      </c>
      <c r="K69" s="87">
        <f t="shared" si="12"/>
        <v>0</v>
      </c>
    </row>
    <row r="70" spans="1:11" hidden="1" x14ac:dyDescent="0.25">
      <c r="A70" s="1829" t="s">
        <v>2272</v>
      </c>
      <c r="B70" s="55"/>
      <c r="C70" s="76">
        <f>SA34e!C7</f>
        <v>0</v>
      </c>
      <c r="D70" s="76">
        <f>SA34e!D7</f>
        <v>0</v>
      </c>
      <c r="E70" s="77">
        <f>SA34e!E7</f>
        <v>0</v>
      </c>
      <c r="F70" s="78">
        <f>SA34e!F7</f>
        <v>2624400</v>
      </c>
      <c r="G70" s="76">
        <f>SA34e!G7</f>
        <v>2624400</v>
      </c>
      <c r="H70" s="75">
        <f>SA34e!H7</f>
        <v>2624400</v>
      </c>
      <c r="I70" s="79">
        <f>SA34e!I7</f>
        <v>10300134</v>
      </c>
      <c r="J70" s="76">
        <f>SA34e!J7</f>
        <v>0</v>
      </c>
      <c r="K70" s="77">
        <f>SA34e!K7</f>
        <v>0</v>
      </c>
    </row>
    <row r="71" spans="1:11" hidden="1" x14ac:dyDescent="0.25">
      <c r="A71" s="1829" t="s">
        <v>2276</v>
      </c>
      <c r="B71" s="55"/>
      <c r="C71" s="76">
        <f>SA34e!C12</f>
        <v>0</v>
      </c>
      <c r="D71" s="76">
        <f>SA34e!D12</f>
        <v>0</v>
      </c>
      <c r="E71" s="77">
        <f>SA34e!E12</f>
        <v>0</v>
      </c>
      <c r="F71" s="78">
        <f>SA34e!F12</f>
        <v>2727675</v>
      </c>
      <c r="G71" s="76">
        <f>SA34e!G12</f>
        <v>2727675</v>
      </c>
      <c r="H71" s="75">
        <f>SA34e!H12</f>
        <v>2727675</v>
      </c>
      <c r="I71" s="79">
        <f>SA34e!I12</f>
        <v>0</v>
      </c>
      <c r="J71" s="76">
        <f>SA34e!J12</f>
        <v>0</v>
      </c>
      <c r="K71" s="77">
        <f>SA34e!K12</f>
        <v>0</v>
      </c>
    </row>
    <row r="72" spans="1:11" hidden="1" x14ac:dyDescent="0.25">
      <c r="A72" s="1829" t="s">
        <v>2321</v>
      </c>
      <c r="B72" s="55"/>
      <c r="C72" s="76">
        <f>SA34e!C16</f>
        <v>0</v>
      </c>
      <c r="D72" s="76">
        <f>SA34e!D16</f>
        <v>0</v>
      </c>
      <c r="E72" s="77">
        <f>SA34e!E16</f>
        <v>0</v>
      </c>
      <c r="F72" s="78">
        <f>SA34e!F16</f>
        <v>4970400</v>
      </c>
      <c r="G72" s="76">
        <f>SA34e!G16</f>
        <v>4970400</v>
      </c>
      <c r="H72" s="75">
        <f>SA34e!H16</f>
        <v>4970400</v>
      </c>
      <c r="I72" s="79">
        <f>SA34e!I16</f>
        <v>0</v>
      </c>
      <c r="J72" s="76">
        <f>SA34e!J16</f>
        <v>5500000</v>
      </c>
      <c r="K72" s="77">
        <f>SA34e!K16</f>
        <v>0</v>
      </c>
    </row>
    <row r="73" spans="1:11" hidden="1" x14ac:dyDescent="0.25">
      <c r="A73" s="1829" t="s">
        <v>2322</v>
      </c>
      <c r="B73" s="55"/>
      <c r="C73" s="76">
        <f>SA34e!C26</f>
        <v>0</v>
      </c>
      <c r="D73" s="76">
        <f>SA34e!D26</f>
        <v>0</v>
      </c>
      <c r="E73" s="77">
        <f>SA34e!E26</f>
        <v>0</v>
      </c>
      <c r="F73" s="78">
        <f>SA34e!F26</f>
        <v>9207849</v>
      </c>
      <c r="G73" s="76">
        <f>SA34e!G26</f>
        <v>4874332</v>
      </c>
      <c r="H73" s="75">
        <f>SA34e!H26</f>
        <v>4874332</v>
      </c>
      <c r="I73" s="79">
        <f>SA34e!I26</f>
        <v>6040839</v>
      </c>
      <c r="J73" s="76">
        <f>SA34e!J26</f>
        <v>0</v>
      </c>
      <c r="K73" s="77">
        <f>SA34e!K26</f>
        <v>0</v>
      </c>
    </row>
    <row r="74" spans="1:11" hidden="1" x14ac:dyDescent="0.25">
      <c r="A74" s="1829" t="s">
        <v>2323</v>
      </c>
      <c r="B74" s="55"/>
      <c r="C74" s="76">
        <f>SA34e!C37</f>
        <v>0</v>
      </c>
      <c r="D74" s="76">
        <f>SA34e!D37</f>
        <v>0</v>
      </c>
      <c r="E74" s="77">
        <f>SA34e!E37</f>
        <v>0</v>
      </c>
      <c r="F74" s="78">
        <f>SA34e!F37</f>
        <v>0</v>
      </c>
      <c r="G74" s="76">
        <f>SA34e!G37</f>
        <v>0</v>
      </c>
      <c r="H74" s="75">
        <f>SA34e!H37</f>
        <v>0</v>
      </c>
      <c r="I74" s="79">
        <f>SA34e!I37</f>
        <v>0</v>
      </c>
      <c r="J74" s="76">
        <f>SA34e!J37</f>
        <v>0</v>
      </c>
      <c r="K74" s="77">
        <f>SA34e!K37</f>
        <v>0</v>
      </c>
    </row>
    <row r="75" spans="1:11" hidden="1" x14ac:dyDescent="0.25">
      <c r="A75" s="1829" t="s">
        <v>2301</v>
      </c>
      <c r="B75" s="55"/>
      <c r="C75" s="76">
        <f>SA34e!C44</f>
        <v>0</v>
      </c>
      <c r="D75" s="76">
        <f>SA34e!D44</f>
        <v>0</v>
      </c>
      <c r="E75" s="77">
        <f>SA34e!E44</f>
        <v>0</v>
      </c>
      <c r="F75" s="78">
        <f>SA34e!F44</f>
        <v>2964000</v>
      </c>
      <c r="G75" s="76">
        <f>SA34e!G44</f>
        <v>81535</v>
      </c>
      <c r="H75" s="75">
        <f>SA34e!H44</f>
        <v>81535</v>
      </c>
      <c r="I75" s="79">
        <f>SA34e!I44</f>
        <v>0</v>
      </c>
      <c r="J75" s="76">
        <f>SA34e!J44</f>
        <v>6422359</v>
      </c>
      <c r="K75" s="77">
        <f>SA34e!K44</f>
        <v>0</v>
      </c>
    </row>
    <row r="76" spans="1:11" hidden="1" x14ac:dyDescent="0.25">
      <c r="A76" s="1829" t="s">
        <v>2317</v>
      </c>
      <c r="B76" s="55"/>
      <c r="C76" s="76">
        <f>SA34e!C52</f>
        <v>0</v>
      </c>
      <c r="D76" s="76">
        <f>SA34e!D52</f>
        <v>0</v>
      </c>
      <c r="E76" s="77">
        <f>SA34e!E52</f>
        <v>0</v>
      </c>
      <c r="F76" s="78">
        <f>SA34e!F52</f>
        <v>0</v>
      </c>
      <c r="G76" s="76">
        <f>SA34e!G52</f>
        <v>0</v>
      </c>
      <c r="H76" s="75">
        <f>SA34e!H52</f>
        <v>0</v>
      </c>
      <c r="I76" s="79">
        <f>SA34e!I52</f>
        <v>0</v>
      </c>
      <c r="J76" s="76">
        <f>SA34e!J52</f>
        <v>0</v>
      </c>
      <c r="K76" s="77">
        <f>SA34e!K52</f>
        <v>0</v>
      </c>
    </row>
    <row r="77" spans="1:11" hidden="1" x14ac:dyDescent="0.25">
      <c r="A77" s="1829" t="s">
        <v>2312</v>
      </c>
      <c r="B77" s="55"/>
      <c r="C77" s="76">
        <f>SA34e!C62</f>
        <v>0</v>
      </c>
      <c r="D77" s="76">
        <f>SA34e!D62</f>
        <v>0</v>
      </c>
      <c r="E77" s="77">
        <f>SA34e!E62</f>
        <v>0</v>
      </c>
      <c r="F77" s="78">
        <f>SA34e!F62</f>
        <v>0</v>
      </c>
      <c r="G77" s="76">
        <f>SA34e!G62</f>
        <v>0</v>
      </c>
      <c r="H77" s="75">
        <f>SA34e!H62</f>
        <v>0</v>
      </c>
      <c r="I77" s="79">
        <f>SA34e!I62</f>
        <v>0</v>
      </c>
      <c r="J77" s="76">
        <f>SA34e!J62</f>
        <v>0</v>
      </c>
      <c r="K77" s="77">
        <f>SA34e!K62</f>
        <v>0</v>
      </c>
    </row>
    <row r="78" spans="1:11" hidden="1" x14ac:dyDescent="0.25">
      <c r="A78" s="1829" t="s">
        <v>2308</v>
      </c>
      <c r="B78" s="55"/>
      <c r="C78" s="76">
        <f>SA34e!C68</f>
        <v>0</v>
      </c>
      <c r="D78" s="76">
        <f>SA34e!D68</f>
        <v>0</v>
      </c>
      <c r="E78" s="77">
        <f>SA34e!E68</f>
        <v>0</v>
      </c>
      <c r="F78" s="78">
        <f>SA34e!F68</f>
        <v>0</v>
      </c>
      <c r="G78" s="76">
        <f>SA34e!G68</f>
        <v>0</v>
      </c>
      <c r="H78" s="75">
        <f>SA34e!H68</f>
        <v>0</v>
      </c>
      <c r="I78" s="79">
        <f>SA34e!I68</f>
        <v>0</v>
      </c>
      <c r="J78" s="76">
        <f>SA34e!J68</f>
        <v>0</v>
      </c>
      <c r="K78" s="77">
        <f>SA34e!K68</f>
        <v>0</v>
      </c>
    </row>
    <row r="79" spans="1:11" hidden="1" x14ac:dyDescent="0.25">
      <c r="A79" s="1838" t="s">
        <v>853</v>
      </c>
      <c r="B79" s="369"/>
      <c r="C79" s="1839">
        <f t="shared" ref="C79:K79" si="13">SUM(C70:C78)</f>
        <v>0</v>
      </c>
      <c r="D79" s="1839">
        <f t="shared" si="13"/>
        <v>0</v>
      </c>
      <c r="E79" s="1840">
        <f t="shared" si="13"/>
        <v>0</v>
      </c>
      <c r="F79" s="1841">
        <f t="shared" si="13"/>
        <v>22494324</v>
      </c>
      <c r="G79" s="1839">
        <f t="shared" si="13"/>
        <v>15278342</v>
      </c>
      <c r="H79" s="1842">
        <f t="shared" si="13"/>
        <v>15278342</v>
      </c>
      <c r="I79" s="1843">
        <f t="shared" si="13"/>
        <v>16340973</v>
      </c>
      <c r="J79" s="1839">
        <f t="shared" si="13"/>
        <v>11922359</v>
      </c>
      <c r="K79" s="1840">
        <f t="shared" si="13"/>
        <v>0</v>
      </c>
    </row>
    <row r="80" spans="1:11" hidden="1" x14ac:dyDescent="0.25">
      <c r="A80" s="1830" t="s">
        <v>2325</v>
      </c>
      <c r="B80" s="55"/>
      <c r="C80" s="76">
        <f>SA34e!C75</f>
        <v>0</v>
      </c>
      <c r="D80" s="76">
        <f>SA34e!D75</f>
        <v>0</v>
      </c>
      <c r="E80" s="77">
        <f>SA34e!E75</f>
        <v>0</v>
      </c>
      <c r="F80" s="78">
        <f>SA34e!F75</f>
        <v>0</v>
      </c>
      <c r="G80" s="76">
        <f>SA34e!G75</f>
        <v>75000</v>
      </c>
      <c r="H80" s="75">
        <f>SA34e!H75</f>
        <v>75000</v>
      </c>
      <c r="I80" s="79">
        <f>SA34e!I75</f>
        <v>0</v>
      </c>
      <c r="J80" s="76">
        <f>SA34e!J75</f>
        <v>0</v>
      </c>
      <c r="K80" s="77">
        <f>SA34e!K75</f>
        <v>0</v>
      </c>
    </row>
    <row r="81" spans="1:11" hidden="1" x14ac:dyDescent="0.25">
      <c r="A81" s="1830" t="s">
        <v>2343</v>
      </c>
      <c r="B81" s="55"/>
      <c r="C81" s="114">
        <f>SA34e!C98</f>
        <v>0</v>
      </c>
      <c r="D81" s="114">
        <f>SA34e!D98</f>
        <v>0</v>
      </c>
      <c r="E81" s="116">
        <f>SA34e!E98</f>
        <v>0</v>
      </c>
      <c r="F81" s="115">
        <f>SA34e!F98</f>
        <v>2486103</v>
      </c>
      <c r="G81" s="114">
        <f>SA34e!G98</f>
        <v>4972206</v>
      </c>
      <c r="H81" s="113">
        <f>SA34e!H98</f>
        <v>4972206</v>
      </c>
      <c r="I81" s="117">
        <f>SA34e!I98</f>
        <v>0</v>
      </c>
      <c r="J81" s="114">
        <f>SA34e!J98</f>
        <v>7000000</v>
      </c>
      <c r="K81" s="116">
        <f>SA34e!K98</f>
        <v>0</v>
      </c>
    </row>
    <row r="82" spans="1:11" hidden="1" x14ac:dyDescent="0.25">
      <c r="A82" s="1838" t="s">
        <v>2324</v>
      </c>
      <c r="B82" s="369"/>
      <c r="C82" s="1839">
        <f t="shared" ref="C82:K82" si="14">SUM(C80:C81)</f>
        <v>0</v>
      </c>
      <c r="D82" s="1839">
        <f t="shared" si="14"/>
        <v>0</v>
      </c>
      <c r="E82" s="1840">
        <f t="shared" si="14"/>
        <v>0</v>
      </c>
      <c r="F82" s="1841">
        <f t="shared" si="14"/>
        <v>2486103</v>
      </c>
      <c r="G82" s="1839">
        <f t="shared" si="14"/>
        <v>5047206</v>
      </c>
      <c r="H82" s="1842">
        <f t="shared" si="14"/>
        <v>5047206</v>
      </c>
      <c r="I82" s="1843">
        <f t="shared" si="14"/>
        <v>0</v>
      </c>
      <c r="J82" s="1839">
        <f t="shared" si="14"/>
        <v>7000000</v>
      </c>
      <c r="K82" s="1840">
        <f t="shared" si="14"/>
        <v>0</v>
      </c>
    </row>
    <row r="83" spans="1:11" hidden="1" x14ac:dyDescent="0.25">
      <c r="A83" s="1838" t="s">
        <v>1758</v>
      </c>
      <c r="B83" s="369"/>
      <c r="C83" s="86">
        <f>SA34e!C103</f>
        <v>0</v>
      </c>
      <c r="D83" s="86">
        <f>SA34e!D103</f>
        <v>0</v>
      </c>
      <c r="E83" s="87">
        <f>SA34e!E103</f>
        <v>0</v>
      </c>
      <c r="F83" s="88">
        <f>SA34e!F103</f>
        <v>0</v>
      </c>
      <c r="G83" s="86">
        <f>SA34e!G103</f>
        <v>0</v>
      </c>
      <c r="H83" s="85">
        <f>SA34e!H103</f>
        <v>0</v>
      </c>
      <c r="I83" s="89">
        <f>SA34e!I103</f>
        <v>0</v>
      </c>
      <c r="J83" s="86">
        <f>SA34e!J103</f>
        <v>0</v>
      </c>
      <c r="K83" s="87">
        <f>SA34e!K103</f>
        <v>0</v>
      </c>
    </row>
    <row r="84" spans="1:11" hidden="1" x14ac:dyDescent="0.25">
      <c r="A84" s="1830" t="s">
        <v>2380</v>
      </c>
      <c r="B84" s="55"/>
      <c r="C84" s="76">
        <f>SA34e!C111</f>
        <v>0</v>
      </c>
      <c r="D84" s="76">
        <f>SA34e!D111</f>
        <v>0</v>
      </c>
      <c r="E84" s="77">
        <f>SA34e!E111</f>
        <v>0</v>
      </c>
      <c r="F84" s="78">
        <f>SA34e!F111</f>
        <v>0</v>
      </c>
      <c r="G84" s="76">
        <f>SA34e!G111</f>
        <v>0</v>
      </c>
      <c r="H84" s="75">
        <f>SA34e!H111</f>
        <v>0</v>
      </c>
      <c r="I84" s="79">
        <f>SA34e!I111</f>
        <v>0</v>
      </c>
      <c r="J84" s="76">
        <f>SA34e!J111</f>
        <v>0</v>
      </c>
      <c r="K84" s="77">
        <f>SA34e!K111</f>
        <v>0</v>
      </c>
    </row>
    <row r="85" spans="1:11" hidden="1" x14ac:dyDescent="0.25">
      <c r="A85" s="1830" t="s">
        <v>2383</v>
      </c>
      <c r="B85" s="55"/>
      <c r="C85" s="114">
        <f>SA34e!C114</f>
        <v>0</v>
      </c>
      <c r="D85" s="114">
        <f>SA34e!D114</f>
        <v>0</v>
      </c>
      <c r="E85" s="116">
        <f>SA34e!E114</f>
        <v>0</v>
      </c>
      <c r="F85" s="115">
        <f>SA34e!F114</f>
        <v>0</v>
      </c>
      <c r="G85" s="114">
        <f>SA34e!G114</f>
        <v>0</v>
      </c>
      <c r="H85" s="113">
        <f>SA34e!H114</f>
        <v>0</v>
      </c>
      <c r="I85" s="117">
        <f>SA34e!I114</f>
        <v>0</v>
      </c>
      <c r="J85" s="114">
        <f>SA34e!J114</f>
        <v>0</v>
      </c>
      <c r="K85" s="116">
        <f>SA34e!K114</f>
        <v>0</v>
      </c>
    </row>
    <row r="86" spans="1:11" hidden="1" x14ac:dyDescent="0.25">
      <c r="A86" s="1838" t="s">
        <v>844</v>
      </c>
      <c r="B86" s="369"/>
      <c r="C86" s="1839">
        <f t="shared" ref="C86:K86" si="15">SUM(C84:C85)</f>
        <v>0</v>
      </c>
      <c r="D86" s="1839">
        <f t="shared" si="15"/>
        <v>0</v>
      </c>
      <c r="E86" s="1840">
        <f t="shared" si="15"/>
        <v>0</v>
      </c>
      <c r="F86" s="1841">
        <f t="shared" si="15"/>
        <v>0</v>
      </c>
      <c r="G86" s="1839">
        <f t="shared" si="15"/>
        <v>0</v>
      </c>
      <c r="H86" s="1842">
        <f t="shared" si="15"/>
        <v>0</v>
      </c>
      <c r="I86" s="1843">
        <f t="shared" si="15"/>
        <v>0</v>
      </c>
      <c r="J86" s="1839">
        <f t="shared" si="15"/>
        <v>0</v>
      </c>
      <c r="K86" s="1840">
        <f t="shared" si="15"/>
        <v>0</v>
      </c>
    </row>
    <row r="87" spans="1:11" hidden="1" x14ac:dyDescent="0.25">
      <c r="A87" s="1830" t="s">
        <v>2351</v>
      </c>
      <c r="B87" s="55"/>
      <c r="C87" s="76">
        <f>SA34e!C119</f>
        <v>0</v>
      </c>
      <c r="D87" s="76">
        <f>SA34e!D119</f>
        <v>0</v>
      </c>
      <c r="E87" s="77">
        <f>SA34e!E119</f>
        <v>0</v>
      </c>
      <c r="F87" s="78">
        <f>SA34e!F119</f>
        <v>60000</v>
      </c>
      <c r="G87" s="76">
        <f>SA34e!G119</f>
        <v>5000</v>
      </c>
      <c r="H87" s="75">
        <f>SA34e!H119</f>
        <v>5000</v>
      </c>
      <c r="I87" s="79">
        <f>SA34e!I119</f>
        <v>0</v>
      </c>
      <c r="J87" s="76">
        <f>SA34e!J119</f>
        <v>0</v>
      </c>
      <c r="K87" s="77">
        <f>SA34e!K119</f>
        <v>0</v>
      </c>
    </row>
    <row r="88" spans="1:11" hidden="1" x14ac:dyDescent="0.25">
      <c r="A88" s="1830" t="s">
        <v>1513</v>
      </c>
      <c r="B88" s="55"/>
      <c r="C88" s="114">
        <f>SA34e!C131</f>
        <v>0</v>
      </c>
      <c r="D88" s="114">
        <f>SA34e!D131</f>
        <v>0</v>
      </c>
      <c r="E88" s="116">
        <f>SA34e!E131</f>
        <v>0</v>
      </c>
      <c r="F88" s="115">
        <f>SA34e!F131</f>
        <v>0</v>
      </c>
      <c r="G88" s="114">
        <f>SA34e!G131</f>
        <v>0</v>
      </c>
      <c r="H88" s="113">
        <f>SA34e!H131</f>
        <v>0</v>
      </c>
      <c r="I88" s="117">
        <f>SA34e!I131</f>
        <v>0</v>
      </c>
      <c r="J88" s="114">
        <f>SA34e!J131</f>
        <v>0</v>
      </c>
      <c r="K88" s="116">
        <f>SA34e!K131</f>
        <v>0</v>
      </c>
    </row>
    <row r="89" spans="1:11" hidden="1" x14ac:dyDescent="0.25">
      <c r="A89" s="1838" t="s">
        <v>1763</v>
      </c>
      <c r="B89" s="369"/>
      <c r="C89" s="1839">
        <f t="shared" ref="C89:K89" si="16">SUM(C87:C88)</f>
        <v>0</v>
      </c>
      <c r="D89" s="1839">
        <f t="shared" si="16"/>
        <v>0</v>
      </c>
      <c r="E89" s="1840">
        <f t="shared" si="16"/>
        <v>0</v>
      </c>
      <c r="F89" s="1841">
        <f t="shared" si="16"/>
        <v>60000</v>
      </c>
      <c r="G89" s="1839">
        <f t="shared" si="16"/>
        <v>5000</v>
      </c>
      <c r="H89" s="1842">
        <f t="shared" si="16"/>
        <v>5000</v>
      </c>
      <c r="I89" s="1843">
        <f t="shared" si="16"/>
        <v>0</v>
      </c>
      <c r="J89" s="1839">
        <f t="shared" si="16"/>
        <v>0</v>
      </c>
      <c r="K89" s="1840">
        <f t="shared" si="16"/>
        <v>0</v>
      </c>
    </row>
    <row r="90" spans="1:11" hidden="1" x14ac:dyDescent="0.25">
      <c r="A90" s="1838" t="s">
        <v>2364</v>
      </c>
      <c r="B90" s="369"/>
      <c r="C90" s="86">
        <f>SA34e!C136</f>
        <v>0</v>
      </c>
      <c r="D90" s="86">
        <f>SA34e!D136</f>
        <v>0</v>
      </c>
      <c r="E90" s="87">
        <f>SA34e!E136</f>
        <v>0</v>
      </c>
      <c r="F90" s="88">
        <f>SA34e!F136</f>
        <v>0</v>
      </c>
      <c r="G90" s="86">
        <f>SA34e!G136</f>
        <v>0</v>
      </c>
      <c r="H90" s="85">
        <f>SA34e!H136</f>
        <v>0</v>
      </c>
      <c r="I90" s="89">
        <f>SA34e!I136</f>
        <v>0</v>
      </c>
      <c r="J90" s="86">
        <f>SA34e!J136</f>
        <v>0</v>
      </c>
      <c r="K90" s="87">
        <f>SA34e!K136</f>
        <v>0</v>
      </c>
    </row>
    <row r="91" spans="1:11" hidden="1" x14ac:dyDescent="0.25">
      <c r="A91" s="1830" t="s">
        <v>2365</v>
      </c>
      <c r="B91" s="55"/>
      <c r="C91" s="76">
        <f>SA34e!C140</f>
        <v>0</v>
      </c>
      <c r="D91" s="76">
        <f>SA34e!D140</f>
        <v>0</v>
      </c>
      <c r="E91" s="77">
        <f>SA34e!E140</f>
        <v>0</v>
      </c>
      <c r="F91" s="78">
        <f>SA34e!F140</f>
        <v>0</v>
      </c>
      <c r="G91" s="76">
        <f>SA34e!G140</f>
        <v>0</v>
      </c>
      <c r="H91" s="75">
        <f>SA34e!H140</f>
        <v>0</v>
      </c>
      <c r="I91" s="79">
        <f>SA34e!I140</f>
        <v>0</v>
      </c>
      <c r="J91" s="76">
        <f>SA34e!J140</f>
        <v>0</v>
      </c>
      <c r="K91" s="77">
        <f>SA34e!K140</f>
        <v>0</v>
      </c>
    </row>
    <row r="92" spans="1:11" hidden="1" x14ac:dyDescent="0.25">
      <c r="A92" s="1830" t="s">
        <v>2366</v>
      </c>
      <c r="B92" s="55"/>
      <c r="C92" s="114">
        <f>SA34e!C141</f>
        <v>0</v>
      </c>
      <c r="D92" s="114">
        <f>SA34e!D141</f>
        <v>0</v>
      </c>
      <c r="E92" s="116">
        <f>SA34e!E141</f>
        <v>0</v>
      </c>
      <c r="F92" s="115">
        <f>SA34e!F141</f>
        <v>0</v>
      </c>
      <c r="G92" s="114">
        <f>SA34e!G141</f>
        <v>0</v>
      </c>
      <c r="H92" s="113">
        <f>SA34e!H141</f>
        <v>0</v>
      </c>
      <c r="I92" s="117">
        <f>SA34e!I141</f>
        <v>0</v>
      </c>
      <c r="J92" s="114">
        <f>SA34e!J141</f>
        <v>0</v>
      </c>
      <c r="K92" s="116">
        <f>SA34e!K141</f>
        <v>0</v>
      </c>
    </row>
    <row r="93" spans="1:11" hidden="1" x14ac:dyDescent="0.25">
      <c r="A93" s="1838" t="s">
        <v>2367</v>
      </c>
      <c r="B93" s="369"/>
      <c r="C93" s="1839">
        <f t="shared" ref="C93:K93" si="17">SUM(C91:C92)</f>
        <v>0</v>
      </c>
      <c r="D93" s="1839">
        <f t="shared" si="17"/>
        <v>0</v>
      </c>
      <c r="E93" s="1840">
        <f t="shared" si="17"/>
        <v>0</v>
      </c>
      <c r="F93" s="1841">
        <f t="shared" si="17"/>
        <v>0</v>
      </c>
      <c r="G93" s="1839">
        <f t="shared" si="17"/>
        <v>0</v>
      </c>
      <c r="H93" s="1842">
        <f t="shared" si="17"/>
        <v>0</v>
      </c>
      <c r="I93" s="1843">
        <f t="shared" si="17"/>
        <v>0</v>
      </c>
      <c r="J93" s="1839">
        <f t="shared" si="17"/>
        <v>0</v>
      </c>
      <c r="K93" s="1840">
        <f t="shared" si="17"/>
        <v>0</v>
      </c>
    </row>
    <row r="94" spans="1:11" hidden="1" x14ac:dyDescent="0.25">
      <c r="A94" s="1838" t="s">
        <v>2374</v>
      </c>
      <c r="B94" s="331"/>
      <c r="C94" s="86">
        <f>SA34e!C149</f>
        <v>0</v>
      </c>
      <c r="D94" s="86">
        <f>SA34e!D149</f>
        <v>0</v>
      </c>
      <c r="E94" s="87">
        <f>SA34e!E149</f>
        <v>0</v>
      </c>
      <c r="F94" s="88">
        <f>SA34e!F149</f>
        <v>0</v>
      </c>
      <c r="G94" s="86">
        <f>SA34e!G149</f>
        <v>0</v>
      </c>
      <c r="H94" s="85">
        <f>SA34e!H149</f>
        <v>0</v>
      </c>
      <c r="I94" s="89">
        <f>SA34e!I149</f>
        <v>0</v>
      </c>
      <c r="J94" s="86">
        <f>SA34e!J149</f>
        <v>0</v>
      </c>
      <c r="K94" s="87">
        <f>SA34e!K149</f>
        <v>0</v>
      </c>
    </row>
    <row r="95" spans="1:11" hidden="1" x14ac:dyDescent="0.25">
      <c r="A95" s="1838" t="s">
        <v>2375</v>
      </c>
      <c r="B95" s="55"/>
      <c r="C95" s="86">
        <f>SA34e!C152</f>
        <v>0</v>
      </c>
      <c r="D95" s="86">
        <f>SA34e!D152</f>
        <v>0</v>
      </c>
      <c r="E95" s="87">
        <f>SA34e!E152</f>
        <v>0</v>
      </c>
      <c r="F95" s="88">
        <f>SA34e!F152</f>
        <v>0</v>
      </c>
      <c r="G95" s="86">
        <f>SA34e!G152</f>
        <v>0</v>
      </c>
      <c r="H95" s="85">
        <f>SA34e!H152</f>
        <v>0</v>
      </c>
      <c r="I95" s="89">
        <f>SA34e!I152</f>
        <v>0</v>
      </c>
      <c r="J95" s="86">
        <f>SA34e!J152</f>
        <v>0</v>
      </c>
      <c r="K95" s="87">
        <f>SA34e!K152</f>
        <v>0</v>
      </c>
    </row>
    <row r="96" spans="1:11" hidden="1" x14ac:dyDescent="0.25">
      <c r="A96" s="1838" t="s">
        <v>2376</v>
      </c>
      <c r="B96" s="55"/>
      <c r="C96" s="86">
        <f>SA34e!C155</f>
        <v>0</v>
      </c>
      <c r="D96" s="86">
        <f>SA34e!D155</f>
        <v>0</v>
      </c>
      <c r="E96" s="87">
        <f>SA34e!E155</f>
        <v>0</v>
      </c>
      <c r="F96" s="88">
        <f>SA34e!F155</f>
        <v>0</v>
      </c>
      <c r="G96" s="86">
        <f>SA34e!G155</f>
        <v>0</v>
      </c>
      <c r="H96" s="85">
        <f>SA34e!H155</f>
        <v>0</v>
      </c>
      <c r="I96" s="89">
        <f>SA34e!I155</f>
        <v>0</v>
      </c>
      <c r="J96" s="86">
        <f>SA34e!J155</f>
        <v>0</v>
      </c>
      <c r="K96" s="87">
        <f>SA34e!K155</f>
        <v>0</v>
      </c>
    </row>
    <row r="97" spans="1:11" hidden="1" x14ac:dyDescent="0.25">
      <c r="A97" s="1838" t="s">
        <v>2377</v>
      </c>
      <c r="B97" s="331"/>
      <c r="C97" s="86">
        <f>SA34e!C158</f>
        <v>0</v>
      </c>
      <c r="D97" s="86">
        <f>SA34e!D158</f>
        <v>0</v>
      </c>
      <c r="E97" s="87">
        <f>SA34e!E158</f>
        <v>0</v>
      </c>
      <c r="F97" s="88">
        <f>SA34e!F158</f>
        <v>0</v>
      </c>
      <c r="G97" s="86">
        <f>SA34e!G158</f>
        <v>0</v>
      </c>
      <c r="H97" s="85">
        <f>SA34e!H158</f>
        <v>0</v>
      </c>
      <c r="I97" s="89">
        <f>SA34e!I158</f>
        <v>0</v>
      </c>
      <c r="J97" s="86">
        <f>SA34e!J158</f>
        <v>0</v>
      </c>
      <c r="K97" s="87">
        <f>SA34e!K158</f>
        <v>0</v>
      </c>
    </row>
    <row r="98" spans="1:11" hidden="1" x14ac:dyDescent="0.25">
      <c r="A98" s="1838" t="s">
        <v>2514</v>
      </c>
      <c r="B98" s="55"/>
      <c r="C98" s="86">
        <f>SA34e!C161</f>
        <v>0</v>
      </c>
      <c r="D98" s="86">
        <f>SA34e!D161</f>
        <v>0</v>
      </c>
      <c r="E98" s="87">
        <f>SA34e!E161</f>
        <v>0</v>
      </c>
      <c r="F98" s="88">
        <f>SA34e!F161</f>
        <v>0</v>
      </c>
      <c r="G98" s="86">
        <f>SA34e!G161</f>
        <v>0</v>
      </c>
      <c r="H98" s="85">
        <f>SA34e!H161</f>
        <v>0</v>
      </c>
      <c r="I98" s="89">
        <f>SA34e!I161</f>
        <v>0</v>
      </c>
      <c r="J98" s="86">
        <f>SA34e!J161</f>
        <v>0</v>
      </c>
      <c r="K98" s="87">
        <f>SA34e!K161</f>
        <v>0</v>
      </c>
    </row>
    <row r="99" spans="1:11" hidden="1" x14ac:dyDescent="0.25">
      <c r="A99" s="1838" t="s">
        <v>2378</v>
      </c>
      <c r="B99" s="55"/>
      <c r="C99" s="680">
        <f>SA34e!C164</f>
        <v>0</v>
      </c>
      <c r="D99" s="680">
        <f>SA34e!D164</f>
        <v>0</v>
      </c>
      <c r="E99" s="681">
        <f>SA34e!E164</f>
        <v>0</v>
      </c>
      <c r="F99" s="682">
        <f>SA34e!F164</f>
        <v>0</v>
      </c>
      <c r="G99" s="680">
        <f>SA34e!G164</f>
        <v>0</v>
      </c>
      <c r="H99" s="683">
        <f>SA34e!H164</f>
        <v>0</v>
      </c>
      <c r="I99" s="684">
        <f>SA34e!I164</f>
        <v>0</v>
      </c>
      <c r="J99" s="680">
        <f>SA34e!J164</f>
        <v>0</v>
      </c>
      <c r="K99" s="681">
        <f>SA34e!K164</f>
        <v>0</v>
      </c>
    </row>
    <row r="100" spans="1:11" x14ac:dyDescent="0.25">
      <c r="A100" s="829"/>
      <c r="B100" s="55"/>
      <c r="C100" s="76"/>
      <c r="D100" s="76"/>
      <c r="E100" s="77"/>
      <c r="F100" s="78"/>
      <c r="G100" s="76"/>
      <c r="H100" s="75"/>
      <c r="I100" s="79"/>
      <c r="J100" s="76"/>
      <c r="K100" s="77"/>
    </row>
    <row r="101" spans="1:11" x14ac:dyDescent="0.25">
      <c r="A101" s="882" t="s">
        <v>528</v>
      </c>
      <c r="B101" s="55">
        <v>4</v>
      </c>
      <c r="C101" s="86">
        <f>+C5+C37+C69</f>
        <v>0</v>
      </c>
      <c r="D101" s="86">
        <f t="shared" ref="D101:K101" si="18">+D5+D37+D69</f>
        <v>62449783</v>
      </c>
      <c r="E101" s="87">
        <f t="shared" si="18"/>
        <v>53459027</v>
      </c>
      <c r="F101" s="88">
        <f t="shared" si="18"/>
        <v>44883600</v>
      </c>
      <c r="G101" s="86">
        <f t="shared" si="18"/>
        <v>60681889</v>
      </c>
      <c r="H101" s="85">
        <f t="shared" si="18"/>
        <v>60681889</v>
      </c>
      <c r="I101" s="89">
        <f t="shared" si="18"/>
        <v>32447438.100000001</v>
      </c>
      <c r="J101" s="86">
        <f t="shared" si="18"/>
        <v>49972500</v>
      </c>
      <c r="K101" s="87">
        <f t="shared" si="18"/>
        <v>0</v>
      </c>
    </row>
    <row r="102" spans="1:11" x14ac:dyDescent="0.25">
      <c r="A102" s="1829" t="s">
        <v>2272</v>
      </c>
      <c r="B102" s="55"/>
      <c r="C102" s="76">
        <f>+C6+C38+C70</f>
        <v>0</v>
      </c>
      <c r="D102" s="76">
        <f t="shared" ref="D102:K102" si="19">+D6+D38+D70</f>
        <v>31606045</v>
      </c>
      <c r="E102" s="77">
        <f t="shared" si="19"/>
        <v>18791156</v>
      </c>
      <c r="F102" s="78">
        <f t="shared" si="19"/>
        <v>6423512</v>
      </c>
      <c r="G102" s="76">
        <f t="shared" si="19"/>
        <v>2666865</v>
      </c>
      <c r="H102" s="75">
        <f t="shared" si="19"/>
        <v>2666865</v>
      </c>
      <c r="I102" s="79">
        <f t="shared" si="19"/>
        <v>10300134</v>
      </c>
      <c r="J102" s="76">
        <f t="shared" si="19"/>
        <v>0</v>
      </c>
      <c r="K102" s="77">
        <f t="shared" si="19"/>
        <v>0</v>
      </c>
    </row>
    <row r="103" spans="1:11" x14ac:dyDescent="0.25">
      <c r="A103" s="1829" t="s">
        <v>2276</v>
      </c>
      <c r="B103" s="55"/>
      <c r="C103" s="76">
        <f t="shared" ref="C103:K110" si="20">+C7+C39+C71</f>
        <v>0</v>
      </c>
      <c r="D103" s="76">
        <f t="shared" si="20"/>
        <v>0</v>
      </c>
      <c r="E103" s="77">
        <f t="shared" si="20"/>
        <v>0</v>
      </c>
      <c r="F103" s="78">
        <f t="shared" si="20"/>
        <v>3172186</v>
      </c>
      <c r="G103" s="76">
        <f t="shared" si="20"/>
        <v>3172186</v>
      </c>
      <c r="H103" s="75">
        <f t="shared" si="20"/>
        <v>3172186</v>
      </c>
      <c r="I103" s="79">
        <f t="shared" si="20"/>
        <v>0</v>
      </c>
      <c r="J103" s="76">
        <f t="shared" si="20"/>
        <v>0</v>
      </c>
      <c r="K103" s="77">
        <f t="shared" si="20"/>
        <v>0</v>
      </c>
    </row>
    <row r="104" spans="1:11" x14ac:dyDescent="0.25">
      <c r="A104" s="1829" t="s">
        <v>2321</v>
      </c>
      <c r="B104" s="55"/>
      <c r="C104" s="76">
        <f t="shared" si="20"/>
        <v>0</v>
      </c>
      <c r="D104" s="76">
        <f t="shared" si="20"/>
        <v>2620464</v>
      </c>
      <c r="E104" s="77">
        <f t="shared" si="20"/>
        <v>11085220</v>
      </c>
      <c r="F104" s="78">
        <f t="shared" si="20"/>
        <v>4970400</v>
      </c>
      <c r="G104" s="76">
        <f t="shared" si="20"/>
        <v>4970400</v>
      </c>
      <c r="H104" s="75">
        <f t="shared" si="20"/>
        <v>4970400</v>
      </c>
      <c r="I104" s="79">
        <f t="shared" si="20"/>
        <v>0</v>
      </c>
      <c r="J104" s="76">
        <f t="shared" si="20"/>
        <v>5500000</v>
      </c>
      <c r="K104" s="77">
        <f t="shared" si="20"/>
        <v>0</v>
      </c>
    </row>
    <row r="105" spans="1:11" x14ac:dyDescent="0.25">
      <c r="A105" s="1829" t="s">
        <v>2322</v>
      </c>
      <c r="B105" s="55"/>
      <c r="C105" s="76">
        <f t="shared" si="20"/>
        <v>0</v>
      </c>
      <c r="D105" s="76">
        <f t="shared" si="20"/>
        <v>2363741</v>
      </c>
      <c r="E105" s="77">
        <f t="shared" si="20"/>
        <v>14608261</v>
      </c>
      <c r="F105" s="78">
        <f t="shared" si="20"/>
        <v>23957849</v>
      </c>
      <c r="G105" s="76">
        <f t="shared" si="20"/>
        <v>43428732</v>
      </c>
      <c r="H105" s="75">
        <f t="shared" si="20"/>
        <v>43428732</v>
      </c>
      <c r="I105" s="79">
        <f t="shared" si="20"/>
        <v>19250839</v>
      </c>
      <c r="J105" s="76">
        <f t="shared" si="20"/>
        <v>28050141</v>
      </c>
      <c r="K105" s="77">
        <f t="shared" si="20"/>
        <v>0</v>
      </c>
    </row>
    <row r="106" spans="1:11" x14ac:dyDescent="0.25">
      <c r="A106" s="1829" t="s">
        <v>2323</v>
      </c>
      <c r="B106" s="55"/>
      <c r="C106" s="76">
        <f t="shared" si="20"/>
        <v>0</v>
      </c>
      <c r="D106" s="76">
        <f t="shared" si="20"/>
        <v>23367297</v>
      </c>
      <c r="E106" s="77">
        <f t="shared" si="20"/>
        <v>694121</v>
      </c>
      <c r="F106" s="78">
        <f t="shared" si="20"/>
        <v>0</v>
      </c>
      <c r="G106" s="76">
        <f t="shared" si="20"/>
        <v>300000</v>
      </c>
      <c r="H106" s="75">
        <f t="shared" si="20"/>
        <v>300000</v>
      </c>
      <c r="I106" s="79">
        <f t="shared" si="20"/>
        <v>0</v>
      </c>
      <c r="J106" s="76">
        <f t="shared" si="20"/>
        <v>0</v>
      </c>
      <c r="K106" s="77">
        <f t="shared" si="20"/>
        <v>0</v>
      </c>
    </row>
    <row r="107" spans="1:11" x14ac:dyDescent="0.25">
      <c r="A107" s="1829" t="s">
        <v>2301</v>
      </c>
      <c r="B107" s="55"/>
      <c r="C107" s="76">
        <f t="shared" si="20"/>
        <v>0</v>
      </c>
      <c r="D107" s="76">
        <f t="shared" si="20"/>
        <v>1478810</v>
      </c>
      <c r="E107" s="77">
        <f t="shared" si="20"/>
        <v>5204830</v>
      </c>
      <c r="F107" s="78">
        <f t="shared" si="20"/>
        <v>3214000</v>
      </c>
      <c r="G107" s="76">
        <f t="shared" si="20"/>
        <v>81535</v>
      </c>
      <c r="H107" s="75">
        <f t="shared" si="20"/>
        <v>81535</v>
      </c>
      <c r="I107" s="79">
        <f t="shared" si="20"/>
        <v>2896465.1</v>
      </c>
      <c r="J107" s="76">
        <f t="shared" si="20"/>
        <v>6422359</v>
      </c>
      <c r="K107" s="77">
        <f t="shared" si="20"/>
        <v>0</v>
      </c>
    </row>
    <row r="108" spans="1:11" x14ac:dyDescent="0.25">
      <c r="A108" s="1829" t="s">
        <v>2317</v>
      </c>
      <c r="B108" s="55"/>
      <c r="C108" s="76">
        <f t="shared" si="20"/>
        <v>0</v>
      </c>
      <c r="D108" s="76">
        <f t="shared" si="20"/>
        <v>0</v>
      </c>
      <c r="E108" s="77">
        <f t="shared" si="20"/>
        <v>0</v>
      </c>
      <c r="F108" s="78">
        <f t="shared" si="20"/>
        <v>0</v>
      </c>
      <c r="G108" s="76">
        <f t="shared" si="20"/>
        <v>0</v>
      </c>
      <c r="H108" s="75">
        <f t="shared" si="20"/>
        <v>0</v>
      </c>
      <c r="I108" s="79">
        <f t="shared" si="20"/>
        <v>0</v>
      </c>
      <c r="J108" s="76">
        <f t="shared" si="20"/>
        <v>0</v>
      </c>
      <c r="K108" s="77">
        <f t="shared" si="20"/>
        <v>0</v>
      </c>
    </row>
    <row r="109" spans="1:11" x14ac:dyDescent="0.25">
      <c r="A109" s="1829" t="s">
        <v>2312</v>
      </c>
      <c r="B109" s="55"/>
      <c r="C109" s="76">
        <f t="shared" si="20"/>
        <v>0</v>
      </c>
      <c r="D109" s="76">
        <f t="shared" si="20"/>
        <v>0</v>
      </c>
      <c r="E109" s="77">
        <f t="shared" si="20"/>
        <v>0</v>
      </c>
      <c r="F109" s="78">
        <f t="shared" si="20"/>
        <v>0</v>
      </c>
      <c r="G109" s="76">
        <f t="shared" si="20"/>
        <v>0</v>
      </c>
      <c r="H109" s="75">
        <f t="shared" si="20"/>
        <v>0</v>
      </c>
      <c r="I109" s="79">
        <f t="shared" si="20"/>
        <v>0</v>
      </c>
      <c r="J109" s="76">
        <f t="shared" si="20"/>
        <v>0</v>
      </c>
      <c r="K109" s="77">
        <f t="shared" si="20"/>
        <v>0</v>
      </c>
    </row>
    <row r="110" spans="1:11" x14ac:dyDescent="0.25">
      <c r="A110" s="1829" t="s">
        <v>2308</v>
      </c>
      <c r="B110" s="55"/>
      <c r="C110" s="76">
        <f t="shared" si="20"/>
        <v>0</v>
      </c>
      <c r="D110" s="76">
        <f t="shared" si="20"/>
        <v>0</v>
      </c>
      <c r="E110" s="77">
        <f t="shared" si="20"/>
        <v>0</v>
      </c>
      <c r="F110" s="78">
        <f t="shared" si="20"/>
        <v>0</v>
      </c>
      <c r="G110" s="76">
        <f t="shared" si="20"/>
        <v>0</v>
      </c>
      <c r="H110" s="75">
        <f t="shared" si="20"/>
        <v>0</v>
      </c>
      <c r="I110" s="79">
        <f t="shared" si="20"/>
        <v>0</v>
      </c>
      <c r="J110" s="76">
        <f t="shared" si="20"/>
        <v>0</v>
      </c>
      <c r="K110" s="77">
        <f t="shared" si="20"/>
        <v>0</v>
      </c>
    </row>
    <row r="111" spans="1:11" x14ac:dyDescent="0.25">
      <c r="A111" s="1838" t="s">
        <v>853</v>
      </c>
      <c r="B111" s="369"/>
      <c r="C111" s="1839">
        <f>SUM(C102:C110)</f>
        <v>0</v>
      </c>
      <c r="D111" s="1839">
        <f t="shared" ref="D111:K111" si="21">SUM(D102:D110)</f>
        <v>61436357</v>
      </c>
      <c r="E111" s="1840">
        <f t="shared" si="21"/>
        <v>50383588</v>
      </c>
      <c r="F111" s="1841">
        <f t="shared" si="21"/>
        <v>41737947</v>
      </c>
      <c r="G111" s="1839">
        <f t="shared" si="21"/>
        <v>54619718</v>
      </c>
      <c r="H111" s="1842">
        <f t="shared" si="21"/>
        <v>54619718</v>
      </c>
      <c r="I111" s="1843">
        <f t="shared" si="21"/>
        <v>32447438.100000001</v>
      </c>
      <c r="J111" s="1839">
        <f t="shared" si="21"/>
        <v>39972500</v>
      </c>
      <c r="K111" s="1840">
        <f t="shared" si="21"/>
        <v>0</v>
      </c>
    </row>
    <row r="112" spans="1:11" x14ac:dyDescent="0.25">
      <c r="A112" s="1830" t="s">
        <v>2325</v>
      </c>
      <c r="B112" s="55"/>
      <c r="C112" s="76">
        <f>+C16+C48+C80</f>
        <v>0</v>
      </c>
      <c r="D112" s="76">
        <f t="shared" ref="D112:K112" si="22">+D16+D48+D80</f>
        <v>0</v>
      </c>
      <c r="E112" s="77">
        <f t="shared" si="22"/>
        <v>0</v>
      </c>
      <c r="F112" s="78">
        <f t="shared" si="22"/>
        <v>0</v>
      </c>
      <c r="G112" s="76">
        <f t="shared" si="22"/>
        <v>375000</v>
      </c>
      <c r="H112" s="75">
        <f t="shared" si="22"/>
        <v>375000</v>
      </c>
      <c r="I112" s="79">
        <f t="shared" si="22"/>
        <v>0</v>
      </c>
      <c r="J112" s="76">
        <f t="shared" si="22"/>
        <v>3000000</v>
      </c>
      <c r="K112" s="77">
        <f t="shared" si="22"/>
        <v>0</v>
      </c>
    </row>
    <row r="113" spans="1:11" x14ac:dyDescent="0.25">
      <c r="A113" s="1830" t="s">
        <v>2343</v>
      </c>
      <c r="B113" s="55"/>
      <c r="C113" s="114">
        <f>+C17+C49+C81</f>
        <v>0</v>
      </c>
      <c r="D113" s="114">
        <f t="shared" ref="D113:K113" si="23">+D17+D49+D81</f>
        <v>157672</v>
      </c>
      <c r="E113" s="116">
        <f t="shared" si="23"/>
        <v>1371961</v>
      </c>
      <c r="F113" s="115">
        <f t="shared" si="23"/>
        <v>2486103</v>
      </c>
      <c r="G113" s="114">
        <f t="shared" si="23"/>
        <v>4972206</v>
      </c>
      <c r="H113" s="113">
        <f t="shared" si="23"/>
        <v>4972206</v>
      </c>
      <c r="I113" s="117">
        <f t="shared" si="23"/>
        <v>0</v>
      </c>
      <c r="J113" s="114">
        <f t="shared" si="23"/>
        <v>7000000</v>
      </c>
      <c r="K113" s="116">
        <f t="shared" si="23"/>
        <v>0</v>
      </c>
    </row>
    <row r="114" spans="1:11" x14ac:dyDescent="0.25">
      <c r="A114" s="1838" t="s">
        <v>2324</v>
      </c>
      <c r="B114" s="369"/>
      <c r="C114" s="1839">
        <f>SUM(C112:C113)</f>
        <v>0</v>
      </c>
      <c r="D114" s="1839">
        <f t="shared" ref="D114:K114" si="24">SUM(D112:D113)</f>
        <v>157672</v>
      </c>
      <c r="E114" s="1840">
        <f t="shared" si="24"/>
        <v>1371961</v>
      </c>
      <c r="F114" s="1841">
        <f t="shared" si="24"/>
        <v>2486103</v>
      </c>
      <c r="G114" s="1839">
        <f t="shared" si="24"/>
        <v>5347206</v>
      </c>
      <c r="H114" s="1842">
        <f t="shared" si="24"/>
        <v>5347206</v>
      </c>
      <c r="I114" s="1843">
        <f t="shared" si="24"/>
        <v>0</v>
      </c>
      <c r="J114" s="1839">
        <f t="shared" si="24"/>
        <v>10000000</v>
      </c>
      <c r="K114" s="1840">
        <f t="shared" si="24"/>
        <v>0</v>
      </c>
    </row>
    <row r="115" spans="1:11" x14ac:dyDescent="0.25">
      <c r="A115" s="1838" t="s">
        <v>1758</v>
      </c>
      <c r="B115" s="369"/>
      <c r="C115" s="86">
        <f>+C19+C51+C83</f>
        <v>0</v>
      </c>
      <c r="D115" s="86">
        <f t="shared" ref="D115:K115" si="25">+D19+D51+D83</f>
        <v>0</v>
      </c>
      <c r="E115" s="87">
        <f t="shared" si="25"/>
        <v>0</v>
      </c>
      <c r="F115" s="88">
        <f t="shared" si="25"/>
        <v>0</v>
      </c>
      <c r="G115" s="86">
        <f t="shared" si="25"/>
        <v>0</v>
      </c>
      <c r="H115" s="85">
        <f t="shared" si="25"/>
        <v>0</v>
      </c>
      <c r="I115" s="89">
        <f t="shared" si="25"/>
        <v>0</v>
      </c>
      <c r="J115" s="86">
        <f t="shared" si="25"/>
        <v>0</v>
      </c>
      <c r="K115" s="87">
        <f t="shared" si="25"/>
        <v>0</v>
      </c>
    </row>
    <row r="116" spans="1:11" x14ac:dyDescent="0.25">
      <c r="A116" s="1830" t="s">
        <v>2380</v>
      </c>
      <c r="B116" s="55"/>
      <c r="C116" s="76">
        <f>+C20+C52+C84</f>
        <v>0</v>
      </c>
      <c r="D116" s="76">
        <f t="shared" ref="D116:K116" si="26">+D20+D52+D84</f>
        <v>0</v>
      </c>
      <c r="E116" s="77">
        <f t="shared" si="26"/>
        <v>0</v>
      </c>
      <c r="F116" s="78">
        <f t="shared" si="26"/>
        <v>0</v>
      </c>
      <c r="G116" s="76">
        <f t="shared" si="26"/>
        <v>0</v>
      </c>
      <c r="H116" s="75">
        <f t="shared" si="26"/>
        <v>0</v>
      </c>
      <c r="I116" s="79">
        <f t="shared" si="26"/>
        <v>0</v>
      </c>
      <c r="J116" s="76">
        <f t="shared" si="26"/>
        <v>0</v>
      </c>
      <c r="K116" s="77">
        <f t="shared" si="26"/>
        <v>0</v>
      </c>
    </row>
    <row r="117" spans="1:11" x14ac:dyDescent="0.25">
      <c r="A117" s="1830" t="s">
        <v>2383</v>
      </c>
      <c r="B117" s="55"/>
      <c r="C117" s="114">
        <f>+C21+C53+C85</f>
        <v>0</v>
      </c>
      <c r="D117" s="114">
        <f t="shared" ref="D117:K117" si="27">+D21+D53+D85</f>
        <v>0</v>
      </c>
      <c r="E117" s="116">
        <f t="shared" si="27"/>
        <v>0</v>
      </c>
      <c r="F117" s="115">
        <f t="shared" si="27"/>
        <v>0</v>
      </c>
      <c r="G117" s="114">
        <f t="shared" si="27"/>
        <v>0</v>
      </c>
      <c r="H117" s="113">
        <f t="shared" si="27"/>
        <v>0</v>
      </c>
      <c r="I117" s="117">
        <f t="shared" si="27"/>
        <v>0</v>
      </c>
      <c r="J117" s="114">
        <f t="shared" si="27"/>
        <v>0</v>
      </c>
      <c r="K117" s="116">
        <f t="shared" si="27"/>
        <v>0</v>
      </c>
    </row>
    <row r="118" spans="1:11" x14ac:dyDescent="0.25">
      <c r="A118" s="1838" t="s">
        <v>844</v>
      </c>
      <c r="B118" s="369"/>
      <c r="C118" s="1839">
        <f>SUM(C116:C117)</f>
        <v>0</v>
      </c>
      <c r="D118" s="1839">
        <f t="shared" ref="D118:K118" si="28">SUM(D116:D117)</f>
        <v>0</v>
      </c>
      <c r="E118" s="1840">
        <f t="shared" si="28"/>
        <v>0</v>
      </c>
      <c r="F118" s="1841">
        <f t="shared" si="28"/>
        <v>0</v>
      </c>
      <c r="G118" s="1839">
        <f t="shared" si="28"/>
        <v>0</v>
      </c>
      <c r="H118" s="1842">
        <f t="shared" si="28"/>
        <v>0</v>
      </c>
      <c r="I118" s="1843">
        <f t="shared" si="28"/>
        <v>0</v>
      </c>
      <c r="J118" s="1839">
        <f t="shared" si="28"/>
        <v>0</v>
      </c>
      <c r="K118" s="1840">
        <f t="shared" si="28"/>
        <v>0</v>
      </c>
    </row>
    <row r="119" spans="1:11" x14ac:dyDescent="0.25">
      <c r="A119" s="1830" t="s">
        <v>2351</v>
      </c>
      <c r="B119" s="55"/>
      <c r="C119" s="76">
        <f>+C23+C55+C87</f>
        <v>0</v>
      </c>
      <c r="D119" s="76">
        <f t="shared" ref="D119:K119" si="29">+D23+D55+D87</f>
        <v>150322</v>
      </c>
      <c r="E119" s="77">
        <f t="shared" si="29"/>
        <v>112352.48999999999</v>
      </c>
      <c r="F119" s="78">
        <f t="shared" si="29"/>
        <v>60000</v>
      </c>
      <c r="G119" s="76">
        <f t="shared" si="29"/>
        <v>5000</v>
      </c>
      <c r="H119" s="75">
        <f t="shared" si="29"/>
        <v>5000</v>
      </c>
      <c r="I119" s="79">
        <f t="shared" si="29"/>
        <v>0</v>
      </c>
      <c r="J119" s="76">
        <f t="shared" si="29"/>
        <v>0</v>
      </c>
      <c r="K119" s="77">
        <f t="shared" si="29"/>
        <v>0</v>
      </c>
    </row>
    <row r="120" spans="1:11" x14ac:dyDescent="0.25">
      <c r="A120" s="1830" t="s">
        <v>1513</v>
      </c>
      <c r="B120" s="55"/>
      <c r="C120" s="114">
        <f>+C24+C56+C88</f>
        <v>0</v>
      </c>
      <c r="D120" s="114">
        <f t="shared" ref="D120:K120" si="30">+D24+D56+D88</f>
        <v>0</v>
      </c>
      <c r="E120" s="116">
        <f t="shared" si="30"/>
        <v>0</v>
      </c>
      <c r="F120" s="115">
        <f t="shared" si="30"/>
        <v>0</v>
      </c>
      <c r="G120" s="114">
        <f t="shared" si="30"/>
        <v>0</v>
      </c>
      <c r="H120" s="113">
        <f t="shared" si="30"/>
        <v>0</v>
      </c>
      <c r="I120" s="117">
        <f t="shared" si="30"/>
        <v>0</v>
      </c>
      <c r="J120" s="114">
        <f t="shared" si="30"/>
        <v>0</v>
      </c>
      <c r="K120" s="116">
        <f t="shared" si="30"/>
        <v>0</v>
      </c>
    </row>
    <row r="121" spans="1:11" x14ac:dyDescent="0.25">
      <c r="A121" s="1838" t="s">
        <v>1763</v>
      </c>
      <c r="B121" s="369"/>
      <c r="C121" s="1839">
        <f t="shared" ref="C121:K121" si="31">SUM(C119:C120)</f>
        <v>0</v>
      </c>
      <c r="D121" s="1839">
        <f t="shared" si="31"/>
        <v>150322</v>
      </c>
      <c r="E121" s="1840">
        <f t="shared" si="31"/>
        <v>112352.48999999999</v>
      </c>
      <c r="F121" s="1841">
        <f t="shared" si="31"/>
        <v>60000</v>
      </c>
      <c r="G121" s="1839">
        <f t="shared" si="31"/>
        <v>5000</v>
      </c>
      <c r="H121" s="1842">
        <f t="shared" si="31"/>
        <v>5000</v>
      </c>
      <c r="I121" s="1843">
        <f t="shared" si="31"/>
        <v>0</v>
      </c>
      <c r="J121" s="1839">
        <f t="shared" si="31"/>
        <v>0</v>
      </c>
      <c r="K121" s="1840">
        <f t="shared" si="31"/>
        <v>0</v>
      </c>
    </row>
    <row r="122" spans="1:11" x14ac:dyDescent="0.25">
      <c r="A122" s="1838" t="s">
        <v>2364</v>
      </c>
      <c r="B122" s="369"/>
      <c r="C122" s="86">
        <f>+C26+C58+C90</f>
        <v>0</v>
      </c>
      <c r="D122" s="86">
        <f t="shared" ref="D122:K122" si="32">+D26+D58+D90</f>
        <v>0</v>
      </c>
      <c r="E122" s="87">
        <f t="shared" si="32"/>
        <v>0</v>
      </c>
      <c r="F122" s="88">
        <f t="shared" si="32"/>
        <v>0</v>
      </c>
      <c r="G122" s="86">
        <f t="shared" si="32"/>
        <v>0</v>
      </c>
      <c r="H122" s="85">
        <f t="shared" si="32"/>
        <v>0</v>
      </c>
      <c r="I122" s="89">
        <f t="shared" si="32"/>
        <v>0</v>
      </c>
      <c r="J122" s="86">
        <f t="shared" si="32"/>
        <v>0</v>
      </c>
      <c r="K122" s="87">
        <f t="shared" si="32"/>
        <v>0</v>
      </c>
    </row>
    <row r="123" spans="1:11" x14ac:dyDescent="0.25">
      <c r="A123" s="1830" t="s">
        <v>2365</v>
      </c>
      <c r="B123" s="55"/>
      <c r="C123" s="76">
        <f>+C27+C59+C91</f>
        <v>0</v>
      </c>
      <c r="D123" s="76">
        <f t="shared" ref="D123:K123" si="33">+D27+D59+D91</f>
        <v>0</v>
      </c>
      <c r="E123" s="77">
        <f t="shared" si="33"/>
        <v>0</v>
      </c>
      <c r="F123" s="78">
        <f t="shared" si="33"/>
        <v>0</v>
      </c>
      <c r="G123" s="76">
        <f t="shared" si="33"/>
        <v>0</v>
      </c>
      <c r="H123" s="75">
        <f t="shared" si="33"/>
        <v>0</v>
      </c>
      <c r="I123" s="79">
        <f t="shared" si="33"/>
        <v>0</v>
      </c>
      <c r="J123" s="76">
        <f t="shared" si="33"/>
        <v>0</v>
      </c>
      <c r="K123" s="77">
        <f t="shared" si="33"/>
        <v>0</v>
      </c>
    </row>
    <row r="124" spans="1:11" x14ac:dyDescent="0.25">
      <c r="A124" s="1830" t="s">
        <v>2366</v>
      </c>
      <c r="B124" s="55"/>
      <c r="C124" s="114">
        <f>+C28+C60+C92</f>
        <v>0</v>
      </c>
      <c r="D124" s="114">
        <f t="shared" ref="D124:K124" si="34">+D28+D60+D92</f>
        <v>49308</v>
      </c>
      <c r="E124" s="116">
        <f t="shared" si="34"/>
        <v>0</v>
      </c>
      <c r="F124" s="115">
        <f t="shared" si="34"/>
        <v>0</v>
      </c>
      <c r="G124" s="114">
        <f t="shared" si="34"/>
        <v>0</v>
      </c>
      <c r="H124" s="113">
        <f t="shared" si="34"/>
        <v>0</v>
      </c>
      <c r="I124" s="117">
        <f t="shared" si="34"/>
        <v>0</v>
      </c>
      <c r="J124" s="114">
        <f t="shared" si="34"/>
        <v>0</v>
      </c>
      <c r="K124" s="116">
        <f t="shared" si="34"/>
        <v>0</v>
      </c>
    </row>
    <row r="125" spans="1:11" x14ac:dyDescent="0.25">
      <c r="A125" s="1838" t="s">
        <v>2367</v>
      </c>
      <c r="B125" s="369"/>
      <c r="C125" s="1839">
        <f>SUM(C123:C124)</f>
        <v>0</v>
      </c>
      <c r="D125" s="1839">
        <f t="shared" ref="D125:K125" si="35">SUM(D123:D124)</f>
        <v>49308</v>
      </c>
      <c r="E125" s="1840">
        <f t="shared" si="35"/>
        <v>0</v>
      </c>
      <c r="F125" s="1841">
        <f t="shared" si="35"/>
        <v>0</v>
      </c>
      <c r="G125" s="1839">
        <f t="shared" si="35"/>
        <v>0</v>
      </c>
      <c r="H125" s="1842">
        <f t="shared" si="35"/>
        <v>0</v>
      </c>
      <c r="I125" s="1843">
        <f t="shared" si="35"/>
        <v>0</v>
      </c>
      <c r="J125" s="1839">
        <f t="shared" si="35"/>
        <v>0</v>
      </c>
      <c r="K125" s="1840">
        <f t="shared" si="35"/>
        <v>0</v>
      </c>
    </row>
    <row r="126" spans="1:11" x14ac:dyDescent="0.25">
      <c r="A126" s="1838" t="s">
        <v>2374</v>
      </c>
      <c r="B126" s="331"/>
      <c r="C126" s="86">
        <f>+C30+C62+C94</f>
        <v>0</v>
      </c>
      <c r="D126" s="86">
        <f t="shared" ref="D126:K126" si="36">+D30+D62+D94</f>
        <v>237523</v>
      </c>
      <c r="E126" s="87">
        <f t="shared" si="36"/>
        <v>502839.04000000004</v>
      </c>
      <c r="F126" s="88">
        <f t="shared" si="36"/>
        <v>24100</v>
      </c>
      <c r="G126" s="86">
        <f t="shared" si="36"/>
        <v>12000</v>
      </c>
      <c r="H126" s="85">
        <f t="shared" si="36"/>
        <v>12000</v>
      </c>
      <c r="I126" s="89">
        <f t="shared" si="36"/>
        <v>0</v>
      </c>
      <c r="J126" s="86">
        <f t="shared" si="36"/>
        <v>0</v>
      </c>
      <c r="K126" s="87">
        <f t="shared" si="36"/>
        <v>0</v>
      </c>
    </row>
    <row r="127" spans="1:11" x14ac:dyDescent="0.25">
      <c r="A127" s="1838" t="s">
        <v>2375</v>
      </c>
      <c r="B127" s="55"/>
      <c r="C127" s="86">
        <f t="shared" ref="C127:K131" si="37">+C31+C63+C95</f>
        <v>0</v>
      </c>
      <c r="D127" s="86">
        <f t="shared" si="37"/>
        <v>342778</v>
      </c>
      <c r="E127" s="87">
        <f t="shared" si="37"/>
        <v>86023.67</v>
      </c>
      <c r="F127" s="88">
        <f t="shared" si="37"/>
        <v>43100</v>
      </c>
      <c r="G127" s="86">
        <f t="shared" si="37"/>
        <v>215600</v>
      </c>
      <c r="H127" s="85">
        <f t="shared" si="37"/>
        <v>215600</v>
      </c>
      <c r="I127" s="89">
        <f t="shared" si="37"/>
        <v>0</v>
      </c>
      <c r="J127" s="86">
        <f t="shared" si="37"/>
        <v>0</v>
      </c>
      <c r="K127" s="87">
        <f t="shared" si="37"/>
        <v>0</v>
      </c>
    </row>
    <row r="128" spans="1:11" x14ac:dyDescent="0.25">
      <c r="A128" s="1838" t="s">
        <v>2376</v>
      </c>
      <c r="B128" s="55"/>
      <c r="C128" s="86">
        <f t="shared" si="37"/>
        <v>0</v>
      </c>
      <c r="D128" s="86">
        <f t="shared" si="37"/>
        <v>75823</v>
      </c>
      <c r="E128" s="87">
        <f t="shared" si="37"/>
        <v>584179.87</v>
      </c>
      <c r="F128" s="88">
        <f t="shared" si="37"/>
        <v>532350</v>
      </c>
      <c r="G128" s="86">
        <f t="shared" si="37"/>
        <v>292350</v>
      </c>
      <c r="H128" s="85">
        <f t="shared" si="37"/>
        <v>292350</v>
      </c>
      <c r="I128" s="89">
        <f t="shared" si="37"/>
        <v>0</v>
      </c>
      <c r="J128" s="86">
        <f t="shared" si="37"/>
        <v>0</v>
      </c>
      <c r="K128" s="87">
        <f t="shared" si="37"/>
        <v>0</v>
      </c>
    </row>
    <row r="129" spans="1:11" x14ac:dyDescent="0.25">
      <c r="A129" s="1838" t="s">
        <v>2377</v>
      </c>
      <c r="B129" s="331"/>
      <c r="C129" s="86">
        <f t="shared" si="37"/>
        <v>0</v>
      </c>
      <c r="D129" s="86">
        <f t="shared" si="37"/>
        <v>0</v>
      </c>
      <c r="E129" s="87">
        <f t="shared" si="37"/>
        <v>418082.93</v>
      </c>
      <c r="F129" s="88">
        <f t="shared" si="37"/>
        <v>0</v>
      </c>
      <c r="G129" s="86">
        <f t="shared" si="37"/>
        <v>190015</v>
      </c>
      <c r="H129" s="85">
        <f t="shared" si="37"/>
        <v>190015</v>
      </c>
      <c r="I129" s="89">
        <f t="shared" si="37"/>
        <v>0</v>
      </c>
      <c r="J129" s="86">
        <f t="shared" si="37"/>
        <v>0</v>
      </c>
      <c r="K129" s="87">
        <f t="shared" si="37"/>
        <v>0</v>
      </c>
    </row>
    <row r="130" spans="1:11" x14ac:dyDescent="0.25">
      <c r="A130" s="1838" t="s">
        <v>2514</v>
      </c>
      <c r="B130" s="55"/>
      <c r="C130" s="86">
        <f t="shared" si="37"/>
        <v>0</v>
      </c>
      <c r="D130" s="86">
        <f t="shared" si="37"/>
        <v>0</v>
      </c>
      <c r="E130" s="87">
        <f t="shared" si="37"/>
        <v>0</v>
      </c>
      <c r="F130" s="88">
        <f t="shared" si="37"/>
        <v>0</v>
      </c>
      <c r="G130" s="86">
        <f t="shared" si="37"/>
        <v>0</v>
      </c>
      <c r="H130" s="85">
        <f t="shared" si="37"/>
        <v>0</v>
      </c>
      <c r="I130" s="89">
        <f t="shared" si="37"/>
        <v>0</v>
      </c>
      <c r="J130" s="86">
        <f t="shared" si="37"/>
        <v>0</v>
      </c>
      <c r="K130" s="87">
        <f t="shared" si="37"/>
        <v>0</v>
      </c>
    </row>
    <row r="131" spans="1:11" x14ac:dyDescent="0.25">
      <c r="A131" s="1838" t="s">
        <v>2378</v>
      </c>
      <c r="B131" s="55"/>
      <c r="C131" s="680">
        <f t="shared" si="37"/>
        <v>0</v>
      </c>
      <c r="D131" s="680">
        <f t="shared" si="37"/>
        <v>0</v>
      </c>
      <c r="E131" s="681">
        <f t="shared" si="37"/>
        <v>0</v>
      </c>
      <c r="F131" s="682">
        <f t="shared" si="37"/>
        <v>0</v>
      </c>
      <c r="G131" s="680">
        <f t="shared" si="37"/>
        <v>0</v>
      </c>
      <c r="H131" s="683">
        <f t="shared" si="37"/>
        <v>0</v>
      </c>
      <c r="I131" s="684">
        <f t="shared" si="37"/>
        <v>0</v>
      </c>
      <c r="J131" s="680">
        <f t="shared" si="37"/>
        <v>0</v>
      </c>
      <c r="K131" s="681">
        <f t="shared" si="37"/>
        <v>0</v>
      </c>
    </row>
    <row r="132" spans="1:11" x14ac:dyDescent="0.25">
      <c r="A132" s="147" t="s">
        <v>1271</v>
      </c>
      <c r="B132" s="93"/>
      <c r="C132" s="95">
        <f>+C5+C37+C69</f>
        <v>0</v>
      </c>
      <c r="D132" s="95">
        <f t="shared" ref="D132:K132" si="38">+D5+D37+D69</f>
        <v>62449783</v>
      </c>
      <c r="E132" s="96">
        <f t="shared" si="38"/>
        <v>53459027</v>
      </c>
      <c r="F132" s="97">
        <f t="shared" si="38"/>
        <v>44883600</v>
      </c>
      <c r="G132" s="95">
        <f t="shared" si="38"/>
        <v>60681889</v>
      </c>
      <c r="H132" s="94">
        <f t="shared" si="38"/>
        <v>60681889</v>
      </c>
      <c r="I132" s="98">
        <f t="shared" si="38"/>
        <v>32447438.100000001</v>
      </c>
      <c r="J132" s="95">
        <f t="shared" si="38"/>
        <v>49972500</v>
      </c>
      <c r="K132" s="96">
        <f t="shared" si="38"/>
        <v>0</v>
      </c>
    </row>
    <row r="133" spans="1:11" x14ac:dyDescent="0.25">
      <c r="A133" s="63"/>
      <c r="B133" s="55"/>
      <c r="D133" s="76"/>
      <c r="E133" s="77"/>
      <c r="F133" s="78"/>
      <c r="G133" s="76"/>
      <c r="H133" s="75"/>
      <c r="I133" s="79"/>
      <c r="J133" s="76"/>
      <c r="K133" s="77"/>
    </row>
    <row r="134" spans="1:11" x14ac:dyDescent="0.25">
      <c r="A134" s="118" t="s">
        <v>1275</v>
      </c>
      <c r="B134" s="55">
        <v>5</v>
      </c>
      <c r="C134" s="76">
        <f>C144+C147+C148+C151+C154+C155+C158+C159+C160+C161+C162+C163+C164</f>
        <v>0</v>
      </c>
      <c r="D134" s="76">
        <f t="shared" ref="D134:K134" si="39">D144+D147+D148+D151+D154+D155+D158+D159+D160+D161+D162+D163+D164</f>
        <v>0</v>
      </c>
      <c r="E134" s="77">
        <f t="shared" si="39"/>
        <v>0</v>
      </c>
      <c r="F134" s="78">
        <f t="shared" si="39"/>
        <v>1187108949.9999998</v>
      </c>
      <c r="G134" s="76">
        <f t="shared" si="39"/>
        <v>1187108949.9999998</v>
      </c>
      <c r="H134" s="75">
        <f t="shared" si="39"/>
        <v>1187108949.9999998</v>
      </c>
      <c r="I134" s="79">
        <f t="shared" si="39"/>
        <v>0</v>
      </c>
      <c r="J134" s="76">
        <f t="shared" si="39"/>
        <v>0</v>
      </c>
      <c r="K134" s="77">
        <f t="shared" si="39"/>
        <v>0</v>
      </c>
    </row>
    <row r="135" spans="1:11" x14ac:dyDescent="0.25">
      <c r="A135" s="1829" t="s">
        <v>2272</v>
      </c>
      <c r="B135" s="55"/>
      <c r="C135" s="1316"/>
      <c r="D135" s="1316"/>
      <c r="E135" s="1325"/>
      <c r="F135" s="1326">
        <v>208445102.12</v>
      </c>
      <c r="G135" s="1316">
        <v>208445102.12</v>
      </c>
      <c r="H135" s="1327">
        <v>208445102.12</v>
      </c>
      <c r="I135" s="1318"/>
      <c r="J135" s="1316"/>
      <c r="K135" s="1325"/>
    </row>
    <row r="136" spans="1:11" x14ac:dyDescent="0.25">
      <c r="A136" s="1829" t="s">
        <v>2276</v>
      </c>
      <c r="B136" s="55"/>
      <c r="C136" s="1316"/>
      <c r="D136" s="1316"/>
      <c r="E136" s="1325"/>
      <c r="F136" s="1326">
        <v>1268343</v>
      </c>
      <c r="G136" s="1316">
        <v>1268343</v>
      </c>
      <c r="H136" s="1327">
        <v>1268343</v>
      </c>
      <c r="I136" s="1318"/>
      <c r="J136" s="1316"/>
      <c r="K136" s="1325"/>
    </row>
    <row r="137" spans="1:11" x14ac:dyDescent="0.25">
      <c r="A137" s="1829" t="s">
        <v>2321</v>
      </c>
      <c r="B137" s="55"/>
      <c r="C137" s="1316"/>
      <c r="D137" s="1316"/>
      <c r="E137" s="1325"/>
      <c r="F137" s="1326">
        <v>128802604.28</v>
      </c>
      <c r="G137" s="1316">
        <v>128802604.28</v>
      </c>
      <c r="H137" s="1327">
        <v>128802604.28</v>
      </c>
      <c r="I137" s="1318"/>
      <c r="J137" s="1316"/>
      <c r="K137" s="1325"/>
    </row>
    <row r="138" spans="1:11" x14ac:dyDescent="0.25">
      <c r="A138" s="1829" t="s">
        <v>2322</v>
      </c>
      <c r="B138" s="55"/>
      <c r="C138" s="1316"/>
      <c r="D138" s="1316"/>
      <c r="E138" s="1325"/>
      <c r="F138" s="1326">
        <v>309454097.37199998</v>
      </c>
      <c r="G138" s="1316">
        <v>309454097.37199998</v>
      </c>
      <c r="H138" s="1327">
        <v>309454097.37199998</v>
      </c>
      <c r="I138" s="1318"/>
      <c r="J138" s="1316"/>
      <c r="K138" s="1325"/>
    </row>
    <row r="139" spans="1:11" x14ac:dyDescent="0.25">
      <c r="A139" s="1829" t="s">
        <v>2323</v>
      </c>
      <c r="B139" s="55"/>
      <c r="C139" s="1316"/>
      <c r="D139" s="1316"/>
      <c r="E139" s="1325"/>
      <c r="F139" s="1326">
        <v>146727872.03200001</v>
      </c>
      <c r="G139" s="1316">
        <v>146727872.03200001</v>
      </c>
      <c r="H139" s="1327">
        <v>146727872.03200001</v>
      </c>
      <c r="I139" s="1318"/>
      <c r="J139" s="1316"/>
      <c r="K139" s="1325"/>
    </row>
    <row r="140" spans="1:11" x14ac:dyDescent="0.25">
      <c r="A140" s="1829" t="s">
        <v>2301</v>
      </c>
      <c r="B140" s="55"/>
      <c r="C140" s="1316"/>
      <c r="D140" s="1316"/>
      <c r="E140" s="1325"/>
      <c r="F140" s="1326">
        <v>31070913.956</v>
      </c>
      <c r="G140" s="1316">
        <v>31070913.956</v>
      </c>
      <c r="H140" s="1327">
        <v>31070913.956</v>
      </c>
      <c r="I140" s="1318"/>
      <c r="J140" s="1316"/>
      <c r="K140" s="1325"/>
    </row>
    <row r="141" spans="1:11" x14ac:dyDescent="0.25">
      <c r="A141" s="1829" t="s">
        <v>2317</v>
      </c>
      <c r="B141" s="55"/>
      <c r="C141" s="1316"/>
      <c r="D141" s="1316"/>
      <c r="E141" s="1325"/>
      <c r="F141" s="1326"/>
      <c r="G141" s="1316">
        <v>0</v>
      </c>
      <c r="H141" s="1327">
        <v>0</v>
      </c>
      <c r="I141" s="1318"/>
      <c r="J141" s="1316"/>
      <c r="K141" s="1325"/>
    </row>
    <row r="142" spans="1:11" x14ac:dyDescent="0.25">
      <c r="A142" s="1829" t="s">
        <v>2312</v>
      </c>
      <c r="B142" s="55"/>
      <c r="C142" s="1316"/>
      <c r="D142" s="1316"/>
      <c r="E142" s="1325"/>
      <c r="F142" s="1326"/>
      <c r="G142" s="1316"/>
      <c r="H142" s="1327"/>
      <c r="I142" s="1318"/>
      <c r="J142" s="1316"/>
      <c r="K142" s="1325"/>
    </row>
    <row r="143" spans="1:11" x14ac:dyDescent="0.25">
      <c r="A143" s="1829" t="s">
        <v>2308</v>
      </c>
      <c r="B143" s="55"/>
      <c r="C143" s="1316"/>
      <c r="D143" s="1316"/>
      <c r="E143" s="1325"/>
      <c r="F143" s="1326"/>
      <c r="G143" s="1316"/>
      <c r="H143" s="1327"/>
      <c r="I143" s="1318"/>
      <c r="J143" s="1316"/>
      <c r="K143" s="1325"/>
    </row>
    <row r="144" spans="1:11" x14ac:dyDescent="0.25">
      <c r="A144" s="1838" t="s">
        <v>853</v>
      </c>
      <c r="B144" s="369"/>
      <c r="C144" s="1839">
        <f>SUM(C135:C143)</f>
        <v>0</v>
      </c>
      <c r="D144" s="1839">
        <f t="shared" ref="D144:K144" si="40">SUM(D135:D143)</f>
        <v>0</v>
      </c>
      <c r="E144" s="1840">
        <f t="shared" si="40"/>
        <v>0</v>
      </c>
      <c r="F144" s="1841">
        <f t="shared" si="40"/>
        <v>825768932.75999987</v>
      </c>
      <c r="G144" s="1839">
        <f t="shared" si="40"/>
        <v>825768932.75999987</v>
      </c>
      <c r="H144" s="1842">
        <f t="shared" si="40"/>
        <v>825768932.75999987</v>
      </c>
      <c r="I144" s="1843">
        <f t="shared" si="40"/>
        <v>0</v>
      </c>
      <c r="J144" s="1839">
        <f t="shared" si="40"/>
        <v>0</v>
      </c>
      <c r="K144" s="1840">
        <f t="shared" si="40"/>
        <v>0</v>
      </c>
    </row>
    <row r="145" spans="1:11" x14ac:dyDescent="0.25">
      <c r="A145" s="1830"/>
      <c r="B145" s="55"/>
      <c r="C145" s="76"/>
      <c r="D145" s="76"/>
      <c r="E145" s="77"/>
      <c r="F145" s="78"/>
      <c r="G145" s="76"/>
      <c r="H145" s="75"/>
      <c r="I145" s="79"/>
      <c r="J145" s="76"/>
      <c r="K145" s="77"/>
    </row>
    <row r="146" spans="1:11" x14ac:dyDescent="0.25">
      <c r="A146" s="1830"/>
      <c r="B146" s="55"/>
      <c r="C146" s="76"/>
      <c r="D146" s="76"/>
      <c r="E146" s="77"/>
      <c r="F146" s="78"/>
      <c r="G146" s="76"/>
      <c r="H146" s="75"/>
      <c r="I146" s="79"/>
      <c r="J146" s="76"/>
      <c r="K146" s="77"/>
    </row>
    <row r="147" spans="1:11" x14ac:dyDescent="0.25">
      <c r="A147" s="1838" t="s">
        <v>2324</v>
      </c>
      <c r="B147" s="369"/>
      <c r="C147" s="1316"/>
      <c r="D147" s="1316"/>
      <c r="E147" s="1325"/>
      <c r="F147" s="1326">
        <v>132799985.912</v>
      </c>
      <c r="G147" s="1326">
        <v>132799985.912</v>
      </c>
      <c r="H147" s="1326">
        <v>132799985.912</v>
      </c>
      <c r="I147" s="1318"/>
      <c r="J147" s="1316"/>
      <c r="K147" s="1325"/>
    </row>
    <row r="148" spans="1:11" x14ac:dyDescent="0.25">
      <c r="A148" s="1838" t="s">
        <v>1758</v>
      </c>
      <c r="B148" s="369"/>
      <c r="C148" s="1340"/>
      <c r="D148" s="1340"/>
      <c r="E148" s="1341"/>
      <c r="F148" s="1342">
        <v>13452791</v>
      </c>
      <c r="G148" s="1342">
        <v>13452791</v>
      </c>
      <c r="H148" s="1342">
        <v>13452791</v>
      </c>
      <c r="I148" s="1370"/>
      <c r="J148" s="1340"/>
      <c r="K148" s="1341"/>
    </row>
    <row r="149" spans="1:11" x14ac:dyDescent="0.25">
      <c r="A149" s="1830"/>
      <c r="B149" s="55"/>
      <c r="C149" s="745"/>
      <c r="D149" s="745"/>
      <c r="E149" s="768"/>
      <c r="F149" s="769"/>
      <c r="G149" s="769">
        <v>67783409</v>
      </c>
      <c r="H149" s="769">
        <v>67783409</v>
      </c>
      <c r="I149" s="746"/>
      <c r="J149" s="745"/>
      <c r="K149" s="768"/>
    </row>
    <row r="150" spans="1:11" x14ac:dyDescent="0.25">
      <c r="A150" s="1830"/>
      <c r="B150" s="55"/>
      <c r="C150" s="745"/>
      <c r="D150" s="745"/>
      <c r="E150" s="768"/>
      <c r="F150" s="769"/>
      <c r="G150" s="769">
        <v>67783409</v>
      </c>
      <c r="H150" s="769">
        <v>67783409</v>
      </c>
      <c r="I150" s="746"/>
      <c r="J150" s="745"/>
      <c r="K150" s="768"/>
    </row>
    <row r="151" spans="1:11" x14ac:dyDescent="0.25">
      <c r="A151" s="1838" t="s">
        <v>844</v>
      </c>
      <c r="B151" s="369"/>
      <c r="C151" s="1340"/>
      <c r="D151" s="1340"/>
      <c r="E151" s="1341"/>
      <c r="F151" s="1342">
        <v>67783409</v>
      </c>
      <c r="G151" s="1342">
        <v>67783409</v>
      </c>
      <c r="H151" s="1342">
        <v>67783409</v>
      </c>
      <c r="I151" s="1370"/>
      <c r="J151" s="1340"/>
      <c r="K151" s="1341"/>
    </row>
    <row r="152" spans="1:11" x14ac:dyDescent="0.25">
      <c r="A152" s="1830"/>
      <c r="B152" s="55"/>
      <c r="C152" s="745"/>
      <c r="D152" s="745"/>
      <c r="E152" s="768"/>
      <c r="F152" s="769"/>
      <c r="G152" s="769"/>
      <c r="H152" s="769"/>
      <c r="I152" s="746"/>
      <c r="J152" s="745"/>
      <c r="K152" s="768"/>
    </row>
    <row r="153" spans="1:11" x14ac:dyDescent="0.25">
      <c r="A153" s="1830"/>
      <c r="B153" s="55"/>
      <c r="C153" s="745"/>
      <c r="D153" s="745"/>
      <c r="E153" s="768"/>
      <c r="F153" s="769"/>
      <c r="G153" s="769"/>
      <c r="H153" s="769"/>
      <c r="I153" s="746"/>
      <c r="J153" s="745"/>
      <c r="K153" s="768"/>
    </row>
    <row r="154" spans="1:11" x14ac:dyDescent="0.25">
      <c r="A154" s="1838" t="s">
        <v>1763</v>
      </c>
      <c r="B154" s="369"/>
      <c r="C154" s="1316"/>
      <c r="D154" s="1316"/>
      <c r="E154" s="1325"/>
      <c r="F154" s="1342">
        <v>3951116.5</v>
      </c>
      <c r="G154" s="1342">
        <v>3951116.5</v>
      </c>
      <c r="H154" s="1342">
        <v>3951116.5</v>
      </c>
      <c r="I154" s="1318"/>
      <c r="J154" s="1316"/>
      <c r="K154" s="1325"/>
    </row>
    <row r="155" spans="1:11" x14ac:dyDescent="0.25">
      <c r="A155" s="1838" t="s">
        <v>2364</v>
      </c>
      <c r="B155" s="369"/>
      <c r="C155" s="1340"/>
      <c r="D155" s="1340"/>
      <c r="E155" s="1341"/>
      <c r="F155" s="1342">
        <v>138487831.88799983</v>
      </c>
      <c r="G155" s="1869">
        <v>138487831.88799983</v>
      </c>
      <c r="H155" s="1870">
        <v>138487831.88799983</v>
      </c>
      <c r="I155" s="1370"/>
      <c r="J155" s="1340"/>
      <c r="K155" s="1341"/>
    </row>
    <row r="156" spans="1:11" x14ac:dyDescent="0.25">
      <c r="A156" s="1830"/>
      <c r="B156" s="55"/>
      <c r="C156" s="745"/>
      <c r="D156" s="745"/>
      <c r="E156" s="768"/>
      <c r="F156" s="769"/>
      <c r="G156" s="745"/>
      <c r="H156" s="770"/>
      <c r="I156" s="746"/>
      <c r="J156" s="745"/>
      <c r="K156" s="768"/>
    </row>
    <row r="157" spans="1:11" x14ac:dyDescent="0.25">
      <c r="A157" s="1830"/>
      <c r="B157" s="55"/>
      <c r="C157" s="745"/>
      <c r="D157" s="745"/>
      <c r="E157" s="768"/>
      <c r="F157" s="769"/>
      <c r="G157" s="745"/>
      <c r="H157" s="770"/>
      <c r="I157" s="746"/>
      <c r="J157" s="745"/>
      <c r="K157" s="768"/>
    </row>
    <row r="158" spans="1:11" x14ac:dyDescent="0.25">
      <c r="A158" s="1838" t="s">
        <v>2367</v>
      </c>
      <c r="B158" s="369"/>
      <c r="C158" s="1316"/>
      <c r="D158" s="1316"/>
      <c r="E158" s="1325"/>
      <c r="F158" s="1326">
        <v>1293262</v>
      </c>
      <c r="G158" s="1316">
        <v>1293262</v>
      </c>
      <c r="H158" s="1327">
        <v>1293262</v>
      </c>
      <c r="I158" s="1318"/>
      <c r="J158" s="1316"/>
      <c r="K158" s="1325"/>
    </row>
    <row r="159" spans="1:11" x14ac:dyDescent="0.25">
      <c r="A159" s="1838" t="s">
        <v>2374</v>
      </c>
      <c r="B159" s="331"/>
      <c r="C159" s="1340"/>
      <c r="D159" s="1340"/>
      <c r="E159" s="1341"/>
      <c r="F159" s="1342">
        <v>1505867.6040000001</v>
      </c>
      <c r="G159" s="1340">
        <v>1505867.6040000001</v>
      </c>
      <c r="H159" s="923">
        <v>1505867.6040000001</v>
      </c>
      <c r="I159" s="1370"/>
      <c r="J159" s="1340"/>
      <c r="K159" s="1341"/>
    </row>
    <row r="160" spans="1:11" x14ac:dyDescent="0.25">
      <c r="A160" s="1838" t="s">
        <v>2375</v>
      </c>
      <c r="B160" s="55"/>
      <c r="C160" s="1340"/>
      <c r="D160" s="1340"/>
      <c r="E160" s="1341"/>
      <c r="F160" s="1342">
        <v>224978.38399999999</v>
      </c>
      <c r="G160" s="1340">
        <v>224978.38399999999</v>
      </c>
      <c r="H160" s="923">
        <v>224978.38399999999</v>
      </c>
      <c r="I160" s="1370"/>
      <c r="J160" s="1340"/>
      <c r="K160" s="1341"/>
    </row>
    <row r="161" spans="1:11" x14ac:dyDescent="0.25">
      <c r="A161" s="1838" t="s">
        <v>2376</v>
      </c>
      <c r="B161" s="55"/>
      <c r="C161" s="1340"/>
      <c r="D161" s="1340"/>
      <c r="E161" s="1341"/>
      <c r="F161" s="1342">
        <v>755274.95200000005</v>
      </c>
      <c r="G161" s="1340">
        <v>755274.95200000005</v>
      </c>
      <c r="H161" s="923">
        <v>755274.95200000005</v>
      </c>
      <c r="I161" s="1370"/>
      <c r="J161" s="1340"/>
      <c r="K161" s="1341"/>
    </row>
    <row r="162" spans="1:11" x14ac:dyDescent="0.25">
      <c r="A162" s="1838" t="s">
        <v>2377</v>
      </c>
      <c r="B162" s="331"/>
      <c r="C162" s="1340"/>
      <c r="D162" s="1340"/>
      <c r="E162" s="1341"/>
      <c r="F162" s="1342">
        <v>1085500</v>
      </c>
      <c r="G162" s="1340">
        <v>1085500</v>
      </c>
      <c r="H162" s="923">
        <v>1085500</v>
      </c>
      <c r="I162" s="1370"/>
      <c r="J162" s="1340"/>
      <c r="K162" s="1341"/>
    </row>
    <row r="163" spans="1:11" x14ac:dyDescent="0.25">
      <c r="A163" s="1838" t="s">
        <v>2514</v>
      </c>
      <c r="B163" s="55"/>
      <c r="C163" s="1340"/>
      <c r="D163" s="1340"/>
      <c r="E163" s="1341"/>
      <c r="F163" s="1342"/>
      <c r="G163" s="1340"/>
      <c r="H163" s="923"/>
      <c r="I163" s="1370"/>
      <c r="J163" s="1340"/>
      <c r="K163" s="1341"/>
    </row>
    <row r="164" spans="1:11" x14ac:dyDescent="0.25">
      <c r="A164" s="1838" t="s">
        <v>2378</v>
      </c>
      <c r="B164" s="55"/>
      <c r="C164" s="1340"/>
      <c r="D164" s="1340"/>
      <c r="E164" s="1341"/>
      <c r="F164" s="1342"/>
      <c r="G164" s="1340"/>
      <c r="H164" s="923"/>
      <c r="I164" s="1370"/>
      <c r="J164" s="1340"/>
      <c r="K164" s="1341"/>
    </row>
    <row r="165" spans="1:11" x14ac:dyDescent="0.25">
      <c r="A165" s="147" t="s">
        <v>1276</v>
      </c>
      <c r="B165" s="93">
        <v>5</v>
      </c>
      <c r="C165" s="95">
        <f>C144+C147+C148+C151+C154+C155+C158+C159+C160+C161+C162+C163+C164</f>
        <v>0</v>
      </c>
      <c r="D165" s="95">
        <f t="shared" ref="D165:K165" si="41">D144+D147+D148+D151+D154+D155+D158+D159+D160+D161+D162+D163+D164</f>
        <v>0</v>
      </c>
      <c r="E165" s="96">
        <f t="shared" si="41"/>
        <v>0</v>
      </c>
      <c r="F165" s="97">
        <f t="shared" si="41"/>
        <v>1187108949.9999998</v>
      </c>
      <c r="G165" s="95">
        <f t="shared" si="41"/>
        <v>1187108949.9999998</v>
      </c>
      <c r="H165" s="94">
        <f t="shared" si="41"/>
        <v>1187108949.9999998</v>
      </c>
      <c r="I165" s="98">
        <f t="shared" si="41"/>
        <v>0</v>
      </c>
      <c r="J165" s="95">
        <f t="shared" si="41"/>
        <v>0</v>
      </c>
      <c r="K165" s="96">
        <f t="shared" si="41"/>
        <v>0</v>
      </c>
    </row>
    <row r="166" spans="1:11" x14ac:dyDescent="0.25">
      <c r="A166" s="63"/>
      <c r="B166" s="55"/>
      <c r="C166" s="76"/>
      <c r="D166" s="76"/>
      <c r="E166" s="77"/>
      <c r="F166" s="78"/>
      <c r="G166" s="76"/>
      <c r="H166" s="75"/>
      <c r="I166" s="79"/>
      <c r="J166" s="76"/>
      <c r="K166" s="77"/>
    </row>
    <row r="167" spans="1:11" x14ac:dyDescent="0.25">
      <c r="A167" s="70" t="s">
        <v>1272</v>
      </c>
      <c r="B167" s="55"/>
      <c r="C167" s="86">
        <f>SUM(C168:C169)</f>
        <v>0</v>
      </c>
      <c r="D167" s="86">
        <f t="shared" ref="D167:K167" si="42">SUM(D168:D169)</f>
        <v>70898792</v>
      </c>
      <c r="E167" s="87">
        <f t="shared" si="42"/>
        <v>70112511</v>
      </c>
      <c r="F167" s="88">
        <f t="shared" si="42"/>
        <v>47038121.236999996</v>
      </c>
      <c r="G167" s="86">
        <f t="shared" si="42"/>
        <v>72606891.356999993</v>
      </c>
      <c r="H167" s="85">
        <f t="shared" si="42"/>
        <v>72606891.356999993</v>
      </c>
      <c r="I167" s="89">
        <f t="shared" si="42"/>
        <v>75900905.470599994</v>
      </c>
      <c r="J167" s="86">
        <f t="shared" si="42"/>
        <v>76504046.618836001</v>
      </c>
      <c r="K167" s="87">
        <f t="shared" si="42"/>
        <v>81094289.415966153</v>
      </c>
    </row>
    <row r="168" spans="1:11" x14ac:dyDescent="0.25">
      <c r="A168" s="747" t="s">
        <v>2404</v>
      </c>
      <c r="B168" s="55">
        <v>7</v>
      </c>
      <c r="C168" s="76">
        <f>SA34d!C167</f>
        <v>0</v>
      </c>
      <c r="D168" s="76">
        <f>SA34d!D167</f>
        <v>65115683</v>
      </c>
      <c r="E168" s="333">
        <f>SA34d!E167</f>
        <v>62710848</v>
      </c>
      <c r="F168" s="1185">
        <f>SA34d!F167</f>
        <v>35452741.871999994</v>
      </c>
      <c r="G168" s="76">
        <f>SA34d!G167</f>
        <v>65848561.987999998</v>
      </c>
      <c r="H168" s="333">
        <f>SA34d!H167</f>
        <v>65848561.987999998</v>
      </c>
      <c r="I168" s="1185">
        <f>SA34d!I167</f>
        <v>65848563</v>
      </c>
      <c r="J168" s="76">
        <f>SA34d!J167</f>
        <v>65848563.600000001</v>
      </c>
      <c r="K168" s="333">
        <f>SA34d!K167</f>
        <v>69799477.415999994</v>
      </c>
    </row>
    <row r="169" spans="1:11" x14ac:dyDescent="0.25">
      <c r="A169" s="882" t="s">
        <v>332</v>
      </c>
      <c r="B169" s="55">
        <v>3</v>
      </c>
      <c r="C169" s="86">
        <f>C179+C182+C183+C186+C189+C190+SUM(C193:C199)</f>
        <v>0</v>
      </c>
      <c r="D169" s="86">
        <f t="shared" ref="D169:K169" si="43">D179+D182+D183+D186+D189+D190+SUM(D193:D199)</f>
        <v>5783109</v>
      </c>
      <c r="E169" s="87">
        <f t="shared" si="43"/>
        <v>7401663</v>
      </c>
      <c r="F169" s="88">
        <f t="shared" si="43"/>
        <v>11585379.365</v>
      </c>
      <c r="G169" s="86">
        <f t="shared" si="43"/>
        <v>6758329.368999999</v>
      </c>
      <c r="H169" s="85">
        <f t="shared" si="43"/>
        <v>6758329.368999999</v>
      </c>
      <c r="I169" s="89">
        <f t="shared" si="43"/>
        <v>10052342.4706</v>
      </c>
      <c r="J169" s="86">
        <f t="shared" si="43"/>
        <v>10655483.018835999</v>
      </c>
      <c r="K169" s="87">
        <f t="shared" si="43"/>
        <v>11294811.999966159</v>
      </c>
    </row>
    <row r="170" spans="1:11" x14ac:dyDescent="0.25">
      <c r="A170" s="1829" t="s">
        <v>2272</v>
      </c>
      <c r="B170" s="55"/>
      <c r="C170" s="76">
        <f>SA34c!C7</f>
        <v>0</v>
      </c>
      <c r="D170" s="76">
        <f>SA34c!D7</f>
        <v>0</v>
      </c>
      <c r="E170" s="77">
        <f>SA34c!E7</f>
        <v>1999704</v>
      </c>
      <c r="F170" s="78">
        <f>SA34c!F7</f>
        <v>1754768</v>
      </c>
      <c r="G170" s="76">
        <f>SA34c!G7</f>
        <v>1754768</v>
      </c>
      <c r="H170" s="75">
        <f>SA34c!H7</f>
        <v>1754768</v>
      </c>
      <c r="I170" s="79">
        <f>SA34c!I7</f>
        <v>1028147.1346</v>
      </c>
      <c r="J170" s="76">
        <f>SA34c!J7</f>
        <v>1089835.9626759999</v>
      </c>
      <c r="K170" s="77">
        <f>SA34c!K7</f>
        <v>1155226.1204365599</v>
      </c>
    </row>
    <row r="171" spans="1:11" x14ac:dyDescent="0.25">
      <c r="A171" s="1829" t="s">
        <v>2276</v>
      </c>
      <c r="B171" s="55"/>
      <c r="C171" s="76">
        <f>SA34c!C12</f>
        <v>0</v>
      </c>
      <c r="D171" s="76">
        <f>SA34c!D12</f>
        <v>0</v>
      </c>
      <c r="E171" s="77">
        <f>SA34c!E12</f>
        <v>0</v>
      </c>
      <c r="F171" s="78">
        <f>SA34c!F12</f>
        <v>246782</v>
      </c>
      <c r="G171" s="76">
        <f>SA34c!G12</f>
        <v>246782</v>
      </c>
      <c r="H171" s="75">
        <f>SA34c!H12</f>
        <v>246782</v>
      </c>
      <c r="I171" s="79">
        <f>SA34c!I12</f>
        <v>109425.60000000001</v>
      </c>
      <c r="J171" s="76">
        <f>SA34c!J12</f>
        <v>115991.13600000001</v>
      </c>
      <c r="K171" s="77">
        <f>SA34c!K12</f>
        <v>122950.60416000002</v>
      </c>
    </row>
    <row r="172" spans="1:11" x14ac:dyDescent="0.25">
      <c r="A172" s="1829" t="s">
        <v>2321</v>
      </c>
      <c r="B172" s="55"/>
      <c r="C172" s="76">
        <f>SA34c!C16</f>
        <v>0</v>
      </c>
      <c r="D172" s="76">
        <f>SA34c!D16</f>
        <v>1277546</v>
      </c>
      <c r="E172" s="77">
        <f>SA34c!E16</f>
        <v>456468</v>
      </c>
      <c r="F172" s="78">
        <f>SA34c!F16</f>
        <v>2942589</v>
      </c>
      <c r="G172" s="76">
        <f>SA34c!G16</f>
        <v>2942589</v>
      </c>
      <c r="H172" s="75">
        <f>SA34c!H16</f>
        <v>2942589</v>
      </c>
      <c r="I172" s="79">
        <f>SA34c!I16</f>
        <v>1702799</v>
      </c>
      <c r="J172" s="76">
        <f>SA34c!J16</f>
        <v>1804966.94</v>
      </c>
      <c r="K172" s="77">
        <f>SA34c!K16</f>
        <v>1913264.9564</v>
      </c>
    </row>
    <row r="173" spans="1:11" x14ac:dyDescent="0.25">
      <c r="A173" s="1829" t="s">
        <v>2322</v>
      </c>
      <c r="B173" s="55"/>
      <c r="C173" s="76">
        <f>SA34c!C26</f>
        <v>0</v>
      </c>
      <c r="D173" s="76">
        <f>SA34c!D26</f>
        <v>0</v>
      </c>
      <c r="E173" s="77">
        <f>SA34c!E26</f>
        <v>747025</v>
      </c>
      <c r="F173" s="78">
        <f>SA34c!F26</f>
        <v>2699155</v>
      </c>
      <c r="G173" s="76">
        <f>SA34c!G26</f>
        <v>2699155</v>
      </c>
      <c r="H173" s="75">
        <f>SA34c!H26</f>
        <v>2699155</v>
      </c>
      <c r="I173" s="79">
        <f>SA34c!I26</f>
        <v>1690293.1359999999</v>
      </c>
      <c r="J173" s="76">
        <f>SA34c!J26</f>
        <v>1791710.72416</v>
      </c>
      <c r="K173" s="77">
        <f>SA34c!K26</f>
        <v>1899213.3676096001</v>
      </c>
    </row>
    <row r="174" spans="1:11" x14ac:dyDescent="0.25">
      <c r="A174" s="1829" t="s">
        <v>2323</v>
      </c>
      <c r="B174" s="55"/>
      <c r="C174" s="76">
        <f>SA34c!C37</f>
        <v>0</v>
      </c>
      <c r="D174" s="76">
        <f>SA34c!D37</f>
        <v>0</v>
      </c>
      <c r="E174" s="77">
        <f>SA34c!E37</f>
        <v>221503</v>
      </c>
      <c r="F174" s="78">
        <f>SA34c!F37</f>
        <v>1330123</v>
      </c>
      <c r="G174" s="76">
        <f>SA34c!G37</f>
        <v>1330123</v>
      </c>
      <c r="H174" s="75">
        <f>SA34c!H37</f>
        <v>1330123</v>
      </c>
      <c r="I174" s="79">
        <f>SA34c!I37</f>
        <v>1945791</v>
      </c>
      <c r="J174" s="76">
        <f>SA34c!J37</f>
        <v>2062538.46</v>
      </c>
      <c r="K174" s="77">
        <f>SA34c!K37</f>
        <v>2186290.7675999999</v>
      </c>
    </row>
    <row r="175" spans="1:11" x14ac:dyDescent="0.25">
      <c r="A175" s="1829" t="s">
        <v>2301</v>
      </c>
      <c r="B175" s="55"/>
      <c r="C175" s="76">
        <f>SA34c!C44</f>
        <v>0</v>
      </c>
      <c r="D175" s="76">
        <f>SA34c!D44</f>
        <v>0</v>
      </c>
      <c r="E175" s="77">
        <f>SA34c!E44</f>
        <v>709183</v>
      </c>
      <c r="F175" s="78">
        <f>SA34c!F44</f>
        <v>600000</v>
      </c>
      <c r="G175" s="76">
        <f>SA34c!G44</f>
        <v>600000</v>
      </c>
      <c r="H175" s="75">
        <f>SA34c!H44</f>
        <v>600000</v>
      </c>
      <c r="I175" s="79">
        <f>SA34c!I44</f>
        <v>800000</v>
      </c>
      <c r="J175" s="76">
        <f>SA34c!J44</f>
        <v>848000</v>
      </c>
      <c r="K175" s="77">
        <f>SA34c!K44</f>
        <v>898880</v>
      </c>
    </row>
    <row r="176" spans="1:11" x14ac:dyDescent="0.25">
      <c r="A176" s="1829" t="s">
        <v>2317</v>
      </c>
      <c r="B176" s="55"/>
      <c r="C176" s="76">
        <f>SA34c!C52</f>
        <v>0</v>
      </c>
      <c r="D176" s="76">
        <f>SA34c!D52</f>
        <v>0</v>
      </c>
      <c r="E176" s="77">
        <f>SA34c!E52</f>
        <v>0</v>
      </c>
      <c r="F176" s="78">
        <f>SA34c!F52</f>
        <v>0</v>
      </c>
      <c r="G176" s="76">
        <f>SA34c!G52</f>
        <v>0</v>
      </c>
      <c r="H176" s="75">
        <f>SA34c!H52</f>
        <v>0</v>
      </c>
      <c r="I176" s="79">
        <f>SA34c!I52</f>
        <v>0</v>
      </c>
      <c r="J176" s="76">
        <f>SA34c!J52</f>
        <v>0</v>
      </c>
      <c r="K176" s="77">
        <f>SA34c!K52</f>
        <v>0</v>
      </c>
    </row>
    <row r="177" spans="1:11" x14ac:dyDescent="0.25">
      <c r="A177" s="1829" t="s">
        <v>2312</v>
      </c>
      <c r="B177" s="55"/>
      <c r="C177" s="76">
        <f>SA34c!C62</f>
        <v>0</v>
      </c>
      <c r="D177" s="76">
        <f>SA34c!D62</f>
        <v>0</v>
      </c>
      <c r="E177" s="77">
        <f>SA34c!E62</f>
        <v>0</v>
      </c>
      <c r="F177" s="78">
        <f>SA34c!F62</f>
        <v>0</v>
      </c>
      <c r="G177" s="76">
        <f>SA34c!G62</f>
        <v>0</v>
      </c>
      <c r="H177" s="75">
        <f>SA34c!H62</f>
        <v>0</v>
      </c>
      <c r="I177" s="79">
        <f>SA34c!I62</f>
        <v>0</v>
      </c>
      <c r="J177" s="76">
        <f>SA34c!J62</f>
        <v>0</v>
      </c>
      <c r="K177" s="77">
        <f>SA34c!K62</f>
        <v>0</v>
      </c>
    </row>
    <row r="178" spans="1:11" x14ac:dyDescent="0.25">
      <c r="A178" s="1829" t="s">
        <v>2308</v>
      </c>
      <c r="B178" s="55"/>
      <c r="C178" s="76">
        <f>SA34c!C68</f>
        <v>0</v>
      </c>
      <c r="D178" s="76">
        <f>SA34c!D68</f>
        <v>0</v>
      </c>
      <c r="E178" s="77">
        <f>SA34c!E68</f>
        <v>0</v>
      </c>
      <c r="F178" s="78">
        <f>SA34c!F68</f>
        <v>0</v>
      </c>
      <c r="G178" s="76">
        <f>SA34c!G68</f>
        <v>0</v>
      </c>
      <c r="H178" s="75">
        <f>SA34c!H68</f>
        <v>0</v>
      </c>
      <c r="I178" s="79">
        <f>SA34c!I68</f>
        <v>0</v>
      </c>
      <c r="J178" s="76">
        <f>SA34c!J68</f>
        <v>0</v>
      </c>
      <c r="K178" s="77">
        <f>SA34c!K68</f>
        <v>0</v>
      </c>
    </row>
    <row r="179" spans="1:11" x14ac:dyDescent="0.25">
      <c r="A179" s="1838" t="s">
        <v>853</v>
      </c>
      <c r="B179" s="369"/>
      <c r="C179" s="1839">
        <f>SUM(C170:C178)</f>
        <v>0</v>
      </c>
      <c r="D179" s="1839">
        <f t="shared" ref="D179:K179" si="44">SUM(D170:D178)</f>
        <v>1277546</v>
      </c>
      <c r="E179" s="1840">
        <f t="shared" si="44"/>
        <v>4133883</v>
      </c>
      <c r="F179" s="1841">
        <f t="shared" si="44"/>
        <v>9573417</v>
      </c>
      <c r="G179" s="1839">
        <f t="shared" si="44"/>
        <v>9573417</v>
      </c>
      <c r="H179" s="1842">
        <f t="shared" si="44"/>
        <v>9573417</v>
      </c>
      <c r="I179" s="1843">
        <f t="shared" si="44"/>
        <v>7276455.8706</v>
      </c>
      <c r="J179" s="1839">
        <f t="shared" si="44"/>
        <v>7713043.2228359999</v>
      </c>
      <c r="K179" s="1840">
        <f t="shared" si="44"/>
        <v>8175825.81620616</v>
      </c>
    </row>
    <row r="180" spans="1:11" x14ac:dyDescent="0.25">
      <c r="A180" s="1830" t="s">
        <v>2325</v>
      </c>
      <c r="B180" s="55"/>
      <c r="C180" s="76">
        <f>SA34c!C75</f>
        <v>0</v>
      </c>
      <c r="D180" s="76">
        <f>SA34c!D75</f>
        <v>195620</v>
      </c>
      <c r="E180" s="77">
        <f>SA34c!E75</f>
        <v>865313</v>
      </c>
      <c r="F180" s="78">
        <f>SA34c!F75</f>
        <v>459580</v>
      </c>
      <c r="G180" s="76">
        <f>SA34c!G75</f>
        <v>-4367469.9960000003</v>
      </c>
      <c r="H180" s="75">
        <f>SA34c!H75</f>
        <v>-4367469.9960000003</v>
      </c>
      <c r="I180" s="79">
        <f>SA34c!I75</f>
        <v>409600</v>
      </c>
      <c r="J180" s="76">
        <f>SA34c!J75</f>
        <v>434176</v>
      </c>
      <c r="K180" s="77">
        <f>SA34c!K75</f>
        <v>460226.56</v>
      </c>
    </row>
    <row r="181" spans="1:11" x14ac:dyDescent="0.25">
      <c r="A181" s="1830" t="s">
        <v>2343</v>
      </c>
      <c r="B181" s="55"/>
      <c r="C181" s="114">
        <f>SA34c!C98</f>
        <v>0</v>
      </c>
      <c r="D181" s="114">
        <f>SA34c!D98</f>
        <v>0</v>
      </c>
      <c r="E181" s="116">
        <f>SA34c!E98</f>
        <v>0</v>
      </c>
      <c r="F181" s="115">
        <f>SA34c!F98</f>
        <v>450000</v>
      </c>
      <c r="G181" s="114">
        <f>SA34c!G98</f>
        <v>450000</v>
      </c>
      <c r="H181" s="113">
        <f>SA34c!H98</f>
        <v>450000</v>
      </c>
      <c r="I181" s="117">
        <f>SA34c!I98</f>
        <v>40000</v>
      </c>
      <c r="J181" s="114">
        <f>SA34c!J98</f>
        <v>42400</v>
      </c>
      <c r="K181" s="116">
        <f>SA34c!K98</f>
        <v>44944</v>
      </c>
    </row>
    <row r="182" spans="1:11" x14ac:dyDescent="0.25">
      <c r="A182" s="1838" t="s">
        <v>2324</v>
      </c>
      <c r="B182" s="369"/>
      <c r="C182" s="1839">
        <f t="shared" ref="C182:K182" si="45">SUM(C180:C181)</f>
        <v>0</v>
      </c>
      <c r="D182" s="1839">
        <f t="shared" si="45"/>
        <v>195620</v>
      </c>
      <c r="E182" s="1840">
        <f t="shared" si="45"/>
        <v>865313</v>
      </c>
      <c r="F182" s="1841">
        <f t="shared" si="45"/>
        <v>909580</v>
      </c>
      <c r="G182" s="1839">
        <f t="shared" si="45"/>
        <v>-3917469.9960000003</v>
      </c>
      <c r="H182" s="1842">
        <f t="shared" si="45"/>
        <v>-3917469.9960000003</v>
      </c>
      <c r="I182" s="1843">
        <f t="shared" si="45"/>
        <v>449600</v>
      </c>
      <c r="J182" s="1839">
        <f t="shared" si="45"/>
        <v>476576</v>
      </c>
      <c r="K182" s="1840">
        <f t="shared" si="45"/>
        <v>505170.56</v>
      </c>
    </row>
    <row r="183" spans="1:11" x14ac:dyDescent="0.25">
      <c r="A183" s="1838" t="s">
        <v>1758</v>
      </c>
      <c r="B183" s="369"/>
      <c r="C183" s="86">
        <f>SA34c!C103</f>
        <v>0</v>
      </c>
      <c r="D183" s="86">
        <f>SA34c!D103</f>
        <v>0</v>
      </c>
      <c r="E183" s="87">
        <f>SA34c!E103</f>
        <v>0</v>
      </c>
      <c r="F183" s="88">
        <f>SA34c!F103</f>
        <v>0</v>
      </c>
      <c r="G183" s="86">
        <f>SA34c!G103</f>
        <v>0</v>
      </c>
      <c r="H183" s="85">
        <f>SA34c!H103</f>
        <v>0</v>
      </c>
      <c r="I183" s="89">
        <f>SA34c!I103</f>
        <v>0</v>
      </c>
      <c r="J183" s="86">
        <f>SA34c!J103</f>
        <v>0</v>
      </c>
      <c r="K183" s="87">
        <f>SA34c!K103</f>
        <v>0</v>
      </c>
    </row>
    <row r="184" spans="1:11" x14ac:dyDescent="0.25">
      <c r="A184" s="1830" t="s">
        <v>2380</v>
      </c>
      <c r="B184" s="55"/>
      <c r="C184" s="76">
        <f>SA34c!C111</f>
        <v>0</v>
      </c>
      <c r="D184" s="76">
        <f>SA34c!D111</f>
        <v>0</v>
      </c>
      <c r="E184" s="77">
        <f>SA34c!E111</f>
        <v>0</v>
      </c>
      <c r="F184" s="78">
        <f>SA34c!F111</f>
        <v>0</v>
      </c>
      <c r="G184" s="76">
        <f>SA34c!G111</f>
        <v>0</v>
      </c>
      <c r="H184" s="75">
        <f>SA34c!H111</f>
        <v>0</v>
      </c>
      <c r="I184" s="79">
        <f>SA34c!I111</f>
        <v>0</v>
      </c>
      <c r="J184" s="76">
        <f>SA34c!J111</f>
        <v>0</v>
      </c>
      <c r="K184" s="77">
        <f>SA34c!K111</f>
        <v>0</v>
      </c>
    </row>
    <row r="185" spans="1:11" x14ac:dyDescent="0.25">
      <c r="A185" s="1830" t="s">
        <v>2383</v>
      </c>
      <c r="B185" s="55"/>
      <c r="C185" s="114">
        <f>SA34c!C114</f>
        <v>0</v>
      </c>
      <c r="D185" s="114">
        <f>SA34c!D114</f>
        <v>0</v>
      </c>
      <c r="E185" s="116">
        <f>SA34c!E114</f>
        <v>0</v>
      </c>
      <c r="F185" s="115">
        <f>SA34c!F114</f>
        <v>0</v>
      </c>
      <c r="G185" s="114">
        <f>SA34c!G114</f>
        <v>0</v>
      </c>
      <c r="H185" s="113">
        <f>SA34c!H114</f>
        <v>0</v>
      </c>
      <c r="I185" s="117">
        <f>SA34c!I114</f>
        <v>0</v>
      </c>
      <c r="J185" s="114">
        <f>SA34c!J114</f>
        <v>0</v>
      </c>
      <c r="K185" s="116">
        <f>SA34c!K114</f>
        <v>0</v>
      </c>
    </row>
    <row r="186" spans="1:11" x14ac:dyDescent="0.25">
      <c r="A186" s="1838" t="s">
        <v>844</v>
      </c>
      <c r="B186" s="369"/>
      <c r="C186" s="1839">
        <f t="shared" ref="C186:K186" si="46">SUM(C184:C185)</f>
        <v>0</v>
      </c>
      <c r="D186" s="1839">
        <f t="shared" si="46"/>
        <v>0</v>
      </c>
      <c r="E186" s="1840">
        <f t="shared" si="46"/>
        <v>0</v>
      </c>
      <c r="F186" s="1841">
        <f t="shared" si="46"/>
        <v>0</v>
      </c>
      <c r="G186" s="1839">
        <f t="shared" si="46"/>
        <v>0</v>
      </c>
      <c r="H186" s="1842">
        <f t="shared" si="46"/>
        <v>0</v>
      </c>
      <c r="I186" s="1843">
        <f t="shared" si="46"/>
        <v>0</v>
      </c>
      <c r="J186" s="1839">
        <f t="shared" si="46"/>
        <v>0</v>
      </c>
      <c r="K186" s="1840">
        <f t="shared" si="46"/>
        <v>0</v>
      </c>
    </row>
    <row r="187" spans="1:11" x14ac:dyDescent="0.25">
      <c r="A187" s="1830" t="s">
        <v>2351</v>
      </c>
      <c r="B187" s="55"/>
      <c r="C187" s="76">
        <f>SA34c!C119</f>
        <v>0</v>
      </c>
      <c r="D187" s="76">
        <f>SA34c!D119</f>
        <v>4309943</v>
      </c>
      <c r="E187" s="77">
        <f>SA34c!E119</f>
        <v>2402467</v>
      </c>
      <c r="F187" s="78">
        <f>SA34c!F119</f>
        <v>570009.41200000001</v>
      </c>
      <c r="G187" s="76">
        <f>SA34c!G119</f>
        <v>570009.41200000001</v>
      </c>
      <c r="H187" s="75">
        <f>SA34c!H119</f>
        <v>570009.41200000001</v>
      </c>
      <c r="I187" s="79">
        <f>SA34c!I119</f>
        <v>867159</v>
      </c>
      <c r="J187" s="76">
        <f>SA34c!J119</f>
        <v>919188.54</v>
      </c>
      <c r="K187" s="77">
        <f>SA34c!K119</f>
        <v>974339.85239999997</v>
      </c>
    </row>
    <row r="188" spans="1:11" x14ac:dyDescent="0.25">
      <c r="A188" s="1830" t="s">
        <v>1513</v>
      </c>
      <c r="B188" s="55"/>
      <c r="C188" s="114">
        <f>SA34c!C131</f>
        <v>0</v>
      </c>
      <c r="D188" s="114">
        <f>SA34c!D131</f>
        <v>0</v>
      </c>
      <c r="E188" s="116">
        <f>SA34c!E131</f>
        <v>0</v>
      </c>
      <c r="F188" s="115">
        <f>SA34c!F131</f>
        <v>0</v>
      </c>
      <c r="G188" s="114">
        <f>SA34c!G131</f>
        <v>0</v>
      </c>
      <c r="H188" s="113">
        <f>SA34c!H131</f>
        <v>0</v>
      </c>
      <c r="I188" s="117">
        <f>SA34c!I131</f>
        <v>0</v>
      </c>
      <c r="J188" s="114">
        <f>SA34c!J131</f>
        <v>0</v>
      </c>
      <c r="K188" s="116">
        <f>SA34c!K131</f>
        <v>0</v>
      </c>
    </row>
    <row r="189" spans="1:11" x14ac:dyDescent="0.25">
      <c r="A189" s="1838" t="s">
        <v>1763</v>
      </c>
      <c r="B189" s="369"/>
      <c r="C189" s="1839">
        <f t="shared" ref="C189:K189" si="47">SUM(C187:C188)</f>
        <v>0</v>
      </c>
      <c r="D189" s="1839">
        <f t="shared" si="47"/>
        <v>4309943</v>
      </c>
      <c r="E189" s="1840">
        <f t="shared" si="47"/>
        <v>2402467</v>
      </c>
      <c r="F189" s="1841">
        <f t="shared" si="47"/>
        <v>570009.41200000001</v>
      </c>
      <c r="G189" s="1839">
        <f t="shared" si="47"/>
        <v>570009.41200000001</v>
      </c>
      <c r="H189" s="1842">
        <f t="shared" si="47"/>
        <v>570009.41200000001</v>
      </c>
      <c r="I189" s="1843">
        <f t="shared" si="47"/>
        <v>867159</v>
      </c>
      <c r="J189" s="1839">
        <f t="shared" si="47"/>
        <v>919188.54</v>
      </c>
      <c r="K189" s="1840">
        <f t="shared" si="47"/>
        <v>974339.85239999997</v>
      </c>
    </row>
    <row r="190" spans="1:11" x14ac:dyDescent="0.25">
      <c r="A190" s="1838" t="s">
        <v>2364</v>
      </c>
      <c r="B190" s="369"/>
      <c r="C190" s="86">
        <f>SA34c!C136</f>
        <v>0</v>
      </c>
      <c r="D190" s="86">
        <f>SA34c!D136</f>
        <v>0</v>
      </c>
      <c r="E190" s="87">
        <f>SA34c!E136</f>
        <v>0</v>
      </c>
      <c r="F190" s="88">
        <f>SA34c!F136</f>
        <v>0</v>
      </c>
      <c r="G190" s="86">
        <f>SA34c!G136</f>
        <v>0</v>
      </c>
      <c r="H190" s="85">
        <f>SA34c!H136</f>
        <v>0</v>
      </c>
      <c r="I190" s="89">
        <f>SA34c!I136</f>
        <v>0</v>
      </c>
      <c r="J190" s="86">
        <f>SA34c!J136</f>
        <v>0</v>
      </c>
      <c r="K190" s="87">
        <f>SA34c!K136</f>
        <v>0</v>
      </c>
    </row>
    <row r="191" spans="1:11" x14ac:dyDescent="0.25">
      <c r="A191" s="1830" t="s">
        <v>2365</v>
      </c>
      <c r="B191" s="55"/>
      <c r="C191" s="76">
        <f>SA34c!C140</f>
        <v>0</v>
      </c>
      <c r="D191" s="76">
        <f>SA34c!D140</f>
        <v>0</v>
      </c>
      <c r="E191" s="77">
        <f>SA34c!E140</f>
        <v>0</v>
      </c>
      <c r="F191" s="78">
        <f>SA34c!F140</f>
        <v>0</v>
      </c>
      <c r="G191" s="76">
        <f>SA34c!G140</f>
        <v>0</v>
      </c>
      <c r="H191" s="75">
        <f>SA34c!H140</f>
        <v>0</v>
      </c>
      <c r="I191" s="79">
        <f>SA34c!I140</f>
        <v>0</v>
      </c>
      <c r="J191" s="76">
        <f>SA34c!J140</f>
        <v>0</v>
      </c>
      <c r="K191" s="77">
        <f>SA34c!K140</f>
        <v>0</v>
      </c>
    </row>
    <row r="192" spans="1:11" x14ac:dyDescent="0.25">
      <c r="A192" s="1830" t="s">
        <v>2366</v>
      </c>
      <c r="B192" s="55"/>
      <c r="C192" s="114">
        <f>SA34c!C141</f>
        <v>0</v>
      </c>
      <c r="D192" s="114">
        <f>SA34c!D141</f>
        <v>0</v>
      </c>
      <c r="E192" s="116">
        <f>SA34c!E141</f>
        <v>0</v>
      </c>
      <c r="F192" s="115">
        <f>SA34c!F141</f>
        <v>0</v>
      </c>
      <c r="G192" s="114">
        <f>SA34c!G141</f>
        <v>0</v>
      </c>
      <c r="H192" s="113">
        <f>SA34c!H141</f>
        <v>0</v>
      </c>
      <c r="I192" s="117">
        <f>SA34c!I141</f>
        <v>0</v>
      </c>
      <c r="J192" s="114">
        <f>SA34c!J141</f>
        <v>0</v>
      </c>
      <c r="K192" s="116">
        <f>SA34c!K141</f>
        <v>0</v>
      </c>
    </row>
    <row r="193" spans="1:11" x14ac:dyDescent="0.25">
      <c r="A193" s="1838" t="s">
        <v>2367</v>
      </c>
      <c r="B193" s="369"/>
      <c r="C193" s="1839">
        <f t="shared" ref="C193:K193" si="48">SUM(C191:C192)</f>
        <v>0</v>
      </c>
      <c r="D193" s="1839">
        <f t="shared" si="48"/>
        <v>0</v>
      </c>
      <c r="E193" s="1840">
        <f t="shared" si="48"/>
        <v>0</v>
      </c>
      <c r="F193" s="1841">
        <f t="shared" si="48"/>
        <v>0</v>
      </c>
      <c r="G193" s="1839">
        <f t="shared" si="48"/>
        <v>0</v>
      </c>
      <c r="H193" s="1842">
        <f t="shared" si="48"/>
        <v>0</v>
      </c>
      <c r="I193" s="1843">
        <f t="shared" si="48"/>
        <v>0</v>
      </c>
      <c r="J193" s="1839">
        <f t="shared" si="48"/>
        <v>0</v>
      </c>
      <c r="K193" s="1840">
        <f t="shared" si="48"/>
        <v>0</v>
      </c>
    </row>
    <row r="194" spans="1:11" x14ac:dyDescent="0.25">
      <c r="A194" s="1838" t="s">
        <v>2374</v>
      </c>
      <c r="B194" s="331"/>
      <c r="C194" s="86">
        <f>SA34c!C149</f>
        <v>0</v>
      </c>
      <c r="D194" s="86">
        <f>SA34c!D149</f>
        <v>0</v>
      </c>
      <c r="E194" s="87">
        <f>SA34c!E149</f>
        <v>0</v>
      </c>
      <c r="F194" s="88">
        <f>SA34c!F149</f>
        <v>239312.42499999999</v>
      </c>
      <c r="G194" s="86">
        <f>SA34c!G149</f>
        <v>239312.42499999999</v>
      </c>
      <c r="H194" s="85">
        <f>SA34c!H149</f>
        <v>239312.42499999999</v>
      </c>
      <c r="I194" s="89">
        <f>SA34c!I149</f>
        <v>313561.59999999998</v>
      </c>
      <c r="J194" s="86">
        <f>SA34c!J149</f>
        <v>332375.29599999997</v>
      </c>
      <c r="K194" s="87">
        <f>SA34c!K149</f>
        <v>352317.81375999999</v>
      </c>
    </row>
    <row r="195" spans="1:11" x14ac:dyDescent="0.25">
      <c r="A195" s="1838" t="s">
        <v>2375</v>
      </c>
      <c r="B195" s="55"/>
      <c r="C195" s="86">
        <f>SA34c!C152</f>
        <v>0</v>
      </c>
      <c r="D195" s="86">
        <f>SA34c!D152</f>
        <v>0</v>
      </c>
      <c r="E195" s="87">
        <f>SA34c!E152</f>
        <v>0</v>
      </c>
      <c r="F195" s="88">
        <f>SA34c!F152</f>
        <v>2000</v>
      </c>
      <c r="G195" s="86">
        <f>SA34c!G152</f>
        <v>2000</v>
      </c>
      <c r="H195" s="85">
        <f>SA34c!H152</f>
        <v>2000</v>
      </c>
      <c r="I195" s="89">
        <f>SA34c!I152</f>
        <v>21313</v>
      </c>
      <c r="J195" s="86">
        <f>SA34c!J152</f>
        <v>22591.780000000002</v>
      </c>
      <c r="K195" s="87">
        <f>SA34c!K152</f>
        <v>23947.286800000005</v>
      </c>
    </row>
    <row r="196" spans="1:11" x14ac:dyDescent="0.25">
      <c r="A196" s="1838" t="s">
        <v>2376</v>
      </c>
      <c r="B196" s="55"/>
      <c r="C196" s="86">
        <f>SA34c!C155</f>
        <v>0</v>
      </c>
      <c r="D196" s="86">
        <f>SA34c!D155</f>
        <v>0</v>
      </c>
      <c r="E196" s="87">
        <f>SA34c!E155</f>
        <v>0</v>
      </c>
      <c r="F196" s="88">
        <f>SA34c!F155</f>
        <v>291060.52799999999</v>
      </c>
      <c r="G196" s="86">
        <f>SA34c!G155</f>
        <v>291060.52799999999</v>
      </c>
      <c r="H196" s="85">
        <f>SA34c!H155</f>
        <v>291060.52799999999</v>
      </c>
      <c r="I196" s="89">
        <f>SA34c!I155</f>
        <v>1110653</v>
      </c>
      <c r="J196" s="86">
        <f>SA34c!J155</f>
        <v>1177292.1800000002</v>
      </c>
      <c r="K196" s="87">
        <f>SA34c!K155</f>
        <v>1247929.7108000002</v>
      </c>
    </row>
    <row r="197" spans="1:11" x14ac:dyDescent="0.25">
      <c r="A197" s="1838" t="s">
        <v>2377</v>
      </c>
      <c r="B197" s="331"/>
      <c r="C197" s="86">
        <f>SA34c!C158</f>
        <v>0</v>
      </c>
      <c r="D197" s="86">
        <f>SA34c!D158</f>
        <v>0</v>
      </c>
      <c r="E197" s="87">
        <f>SA34c!E158</f>
        <v>0</v>
      </c>
      <c r="F197" s="88">
        <f>SA34c!F158</f>
        <v>0</v>
      </c>
      <c r="G197" s="86">
        <f>SA34c!G158</f>
        <v>0</v>
      </c>
      <c r="H197" s="85">
        <f>SA34c!H158</f>
        <v>0</v>
      </c>
      <c r="I197" s="89">
        <f>SA34c!I158</f>
        <v>13600</v>
      </c>
      <c r="J197" s="86">
        <f>SA34c!J158</f>
        <v>14416</v>
      </c>
      <c r="K197" s="87">
        <f>SA34c!K158</f>
        <v>15280.960000000001</v>
      </c>
    </row>
    <row r="198" spans="1:11" x14ac:dyDescent="0.25">
      <c r="A198" s="1838" t="s">
        <v>2514</v>
      </c>
      <c r="B198" s="55"/>
      <c r="C198" s="86">
        <f>SA34c!C161</f>
        <v>0</v>
      </c>
      <c r="D198" s="86">
        <f>SA34c!D161</f>
        <v>0</v>
      </c>
      <c r="E198" s="87">
        <f>SA34c!E161</f>
        <v>0</v>
      </c>
      <c r="F198" s="88">
        <f>SA34c!F161</f>
        <v>0</v>
      </c>
      <c r="G198" s="86">
        <f>SA34c!G161</f>
        <v>0</v>
      </c>
      <c r="H198" s="85">
        <f>SA34c!H161</f>
        <v>0</v>
      </c>
      <c r="I198" s="89">
        <f>SA34c!I161</f>
        <v>0</v>
      </c>
      <c r="J198" s="86">
        <f>SA34c!J161</f>
        <v>0</v>
      </c>
      <c r="K198" s="87">
        <f>SA34c!K161</f>
        <v>0</v>
      </c>
    </row>
    <row r="199" spans="1:11" x14ac:dyDescent="0.25">
      <c r="A199" s="1838" t="s">
        <v>2378</v>
      </c>
      <c r="B199" s="55"/>
      <c r="C199" s="680">
        <f>SA34c!C164</f>
        <v>0</v>
      </c>
      <c r="D199" s="680">
        <f>SA34c!D164</f>
        <v>0</v>
      </c>
      <c r="E199" s="681">
        <f>SA34c!E164</f>
        <v>0</v>
      </c>
      <c r="F199" s="682">
        <f>SA34c!F164</f>
        <v>0</v>
      </c>
      <c r="G199" s="680">
        <f>SA34c!G164</f>
        <v>0</v>
      </c>
      <c r="H199" s="683">
        <f>SA34c!H164</f>
        <v>0</v>
      </c>
      <c r="I199" s="684">
        <f>SA34c!I164</f>
        <v>0</v>
      </c>
      <c r="J199" s="680">
        <f>SA34c!J164</f>
        <v>0</v>
      </c>
      <c r="K199" s="681">
        <f>SA34c!K164</f>
        <v>0</v>
      </c>
    </row>
    <row r="200" spans="1:11" x14ac:dyDescent="0.25">
      <c r="A200" s="829"/>
      <c r="B200" s="55"/>
      <c r="C200" s="76"/>
      <c r="D200" s="76"/>
      <c r="E200" s="77"/>
      <c r="F200" s="78"/>
      <c r="G200" s="76"/>
      <c r="H200" s="75"/>
      <c r="I200" s="79"/>
      <c r="J200" s="76"/>
      <c r="K200" s="77"/>
    </row>
    <row r="201" spans="1:11" x14ac:dyDescent="0.25">
      <c r="A201" s="92" t="s">
        <v>1273</v>
      </c>
      <c r="B201" s="93"/>
      <c r="C201" s="81">
        <f t="shared" ref="C201:K201" si="49">SUM(C168:C169)</f>
        <v>0</v>
      </c>
      <c r="D201" s="81">
        <f t="shared" si="49"/>
        <v>70898792</v>
      </c>
      <c r="E201" s="82">
        <f t="shared" si="49"/>
        <v>70112511</v>
      </c>
      <c r="F201" s="83">
        <f t="shared" si="49"/>
        <v>47038121.236999996</v>
      </c>
      <c r="G201" s="81">
        <f t="shared" si="49"/>
        <v>72606891.356999993</v>
      </c>
      <c r="H201" s="80">
        <f t="shared" si="49"/>
        <v>72606891.356999993</v>
      </c>
      <c r="I201" s="84">
        <f t="shared" si="49"/>
        <v>75900905.470599994</v>
      </c>
      <c r="J201" s="81">
        <f t="shared" si="49"/>
        <v>76504046.618836001</v>
      </c>
      <c r="K201" s="82">
        <f t="shared" si="49"/>
        <v>81094289.415966153</v>
      </c>
    </row>
    <row r="202" spans="1:11" x14ac:dyDescent="0.25">
      <c r="A202" s="596"/>
      <c r="B202" s="136"/>
      <c r="C202" s="476"/>
      <c r="D202" s="476"/>
      <c r="E202" s="477"/>
      <c r="F202" s="478"/>
      <c r="G202" s="476"/>
      <c r="H202" s="479"/>
      <c r="I202" s="480"/>
      <c r="J202" s="476"/>
      <c r="K202" s="477"/>
    </row>
    <row r="203" spans="1:11" x14ac:dyDescent="0.25">
      <c r="A203" s="190" t="s">
        <v>2401</v>
      </c>
      <c r="B203" s="191"/>
      <c r="C203" s="192">
        <f>IF(ISERROR((C37+C69)/C132),0,((C37+C69)/C132))</f>
        <v>0</v>
      </c>
      <c r="D203" s="192">
        <f t="shared" ref="D203:K203" si="50">IF(ISERROR((D37+D69)/D132),0,((D37+D69)/D132))</f>
        <v>0</v>
      </c>
      <c r="E203" s="193">
        <f t="shared" si="50"/>
        <v>0</v>
      </c>
      <c r="F203" s="194">
        <f t="shared" si="50"/>
        <v>0.65244432264791596</v>
      </c>
      <c r="G203" s="192">
        <f t="shared" si="50"/>
        <v>0.34305992023419046</v>
      </c>
      <c r="H203" s="195">
        <f t="shared" si="50"/>
        <v>0.34305992023419046</v>
      </c>
      <c r="I203" s="196">
        <f t="shared" si="50"/>
        <v>0.50361365817660653</v>
      </c>
      <c r="J203" s="192">
        <f t="shared" si="50"/>
        <v>0.37865544049227073</v>
      </c>
      <c r="K203" s="193">
        <f t="shared" si="50"/>
        <v>0</v>
      </c>
    </row>
    <row r="204" spans="1:11" x14ac:dyDescent="0.25">
      <c r="A204" s="190" t="s">
        <v>2402</v>
      </c>
      <c r="B204" s="191"/>
      <c r="C204" s="192">
        <f>IF(ISERROR((C37+C69)/C168),0,((C37+C69)/C168))</f>
        <v>0</v>
      </c>
      <c r="D204" s="192">
        <f t="shared" ref="D204:K204" si="51">IF(ISERROR((D37+D69)/D168),0,((D37+D69)/D168))</f>
        <v>0</v>
      </c>
      <c r="E204" s="193">
        <f t="shared" si="51"/>
        <v>0</v>
      </c>
      <c r="F204" s="194">
        <f t="shared" si="51"/>
        <v>0.82600240358639432</v>
      </c>
      <c r="G204" s="192">
        <f t="shared" si="51"/>
        <v>0.31614242394228304</v>
      </c>
      <c r="H204" s="195">
        <f t="shared" si="51"/>
        <v>0.31614242394228304</v>
      </c>
      <c r="I204" s="196">
        <f t="shared" si="51"/>
        <v>0.24815990289719761</v>
      </c>
      <c r="J204" s="192">
        <f t="shared" si="51"/>
        <v>0.28736175803233466</v>
      </c>
      <c r="K204" s="193">
        <f t="shared" si="51"/>
        <v>0</v>
      </c>
    </row>
    <row r="205" spans="1:11" x14ac:dyDescent="0.25">
      <c r="A205" s="190" t="s">
        <v>808</v>
      </c>
      <c r="B205" s="191"/>
      <c r="C205" s="192">
        <f>IF(ISERROR(ROUND(C169/'A6-FinPos'!C19,3)),0,(ROUND(C169/'A6-FinPos'!C19,3)))</f>
        <v>0</v>
      </c>
      <c r="D205" s="192">
        <f>IF(ISERROR(ROUND(D169/'A6-FinPos'!D19,3)),0,(ROUND(D169/'A6-FinPos'!D19,3)))</f>
        <v>5.0000000000000001E-3</v>
      </c>
      <c r="E205" s="193">
        <f>IF(ISERROR(ROUND(E169/'A6-FinPos'!E19,3)),0,(ROUND(E169/'A6-FinPos'!E19,3)))</f>
        <v>7.0000000000000001E-3</v>
      </c>
      <c r="F205" s="194">
        <f>IF(ISERROR(ROUND(F169/'A6-FinPos'!F19,3)),0,(ROUND(F169/'A6-FinPos'!F19,3)))</f>
        <v>0.01</v>
      </c>
      <c r="G205" s="192">
        <f>IF(ISERROR(ROUND(G169/'A6-FinPos'!G19,3)),0,(ROUND(G169/'A6-FinPos'!G19,3)))</f>
        <v>6.0000000000000001E-3</v>
      </c>
      <c r="H205" s="195">
        <f>IF(ISERROR(ROUND(H169/'A6-FinPos'!H19,3)),0,(ROUND(H169/'A6-FinPos'!H19,3)))</f>
        <v>6.0000000000000001E-3</v>
      </c>
      <c r="I205" s="196">
        <f>IF(ISERROR(ROUND(I169/'A6-FinPos'!J19,3)),0,(ROUND(I169/'A6-FinPos'!J19,3)))</f>
        <v>8.9999999999999993E-3</v>
      </c>
      <c r="J205" s="192">
        <f>IF(ISERROR(ROUND(J169/'A6-FinPos'!K19,3)),0,(ROUND(J169/'A6-FinPos'!K19,3)))</f>
        <v>0.01</v>
      </c>
      <c r="K205" s="193">
        <f>IF(ISERROR(ROUND(K169/'A6-FinPos'!L19,3)),0,(ROUND(K169/'A6-FinPos'!L19,3)))</f>
        <v>1.2E-2</v>
      </c>
    </row>
    <row r="206" spans="1:11" x14ac:dyDescent="0.25">
      <c r="A206" s="190" t="s">
        <v>2400</v>
      </c>
      <c r="B206" s="191"/>
      <c r="C206" s="192">
        <f>IF(ISERROR(ROUND((C37+C69+C169)/C165,2)),0,(ROUND((C37+C69+C169)/C165,2)))</f>
        <v>0</v>
      </c>
      <c r="D206" s="192">
        <f t="shared" ref="D206:K206" si="52">IF(ISERROR(ROUND((D37+D69+D169)/D165,2)),0,(ROUND((D37+D69+D169)/D165,2)))</f>
        <v>0</v>
      </c>
      <c r="E206" s="193">
        <f t="shared" si="52"/>
        <v>0</v>
      </c>
      <c r="F206" s="194">
        <f t="shared" si="52"/>
        <v>0.03</v>
      </c>
      <c r="G206" s="192">
        <f t="shared" si="52"/>
        <v>0.02</v>
      </c>
      <c r="H206" s="195">
        <f t="shared" si="52"/>
        <v>0.02</v>
      </c>
      <c r="I206" s="196">
        <f t="shared" si="52"/>
        <v>0</v>
      </c>
      <c r="J206" s="192">
        <f t="shared" si="52"/>
        <v>0</v>
      </c>
      <c r="K206" s="193">
        <f t="shared" si="52"/>
        <v>0</v>
      </c>
    </row>
    <row r="207" spans="1:11" x14ac:dyDescent="0.25">
      <c r="A207" s="170"/>
      <c r="B207" s="179"/>
      <c r="C207" s="197"/>
      <c r="D207" s="197"/>
      <c r="E207" s="198"/>
      <c r="F207" s="199"/>
      <c r="G207" s="197"/>
      <c r="H207" s="200"/>
      <c r="I207" s="201"/>
      <c r="J207" s="197"/>
      <c r="K207" s="198"/>
    </row>
    <row r="208" spans="1:11" s="464" customFormat="1" x14ac:dyDescent="0.25">
      <c r="A208" s="101" t="str">
        <f>head27a</f>
        <v>References</v>
      </c>
      <c r="B208" s="102"/>
      <c r="C208" s="104"/>
      <c r="D208" s="104"/>
      <c r="E208" s="104"/>
      <c r="F208" s="104"/>
      <c r="G208" s="104"/>
      <c r="H208" s="104"/>
      <c r="I208" s="104"/>
      <c r="J208" s="104"/>
      <c r="K208" s="104"/>
    </row>
    <row r="209" spans="1:11" s="464" customFormat="1" x14ac:dyDescent="0.25">
      <c r="A209" s="105" t="s">
        <v>386</v>
      </c>
      <c r="B209" s="102"/>
      <c r="C209" s="104"/>
      <c r="D209" s="104"/>
      <c r="E209" s="104"/>
      <c r="F209" s="104"/>
      <c r="G209" s="104"/>
      <c r="H209" s="104"/>
      <c r="I209" s="104"/>
      <c r="J209" s="104"/>
      <c r="K209" s="104"/>
    </row>
    <row r="210" spans="1:11" s="464" customFormat="1" x14ac:dyDescent="0.25">
      <c r="A210" s="105" t="s">
        <v>387</v>
      </c>
      <c r="B210" s="102"/>
      <c r="C210" s="104"/>
      <c r="D210" s="104"/>
      <c r="E210" s="104"/>
      <c r="F210" s="104"/>
      <c r="G210" s="104"/>
      <c r="H210" s="104"/>
      <c r="I210" s="104"/>
      <c r="J210" s="104"/>
      <c r="K210" s="104"/>
    </row>
    <row r="211" spans="1:11" s="464" customFormat="1" x14ac:dyDescent="0.25">
      <c r="A211" s="105" t="s">
        <v>388</v>
      </c>
      <c r="B211" s="102"/>
      <c r="C211" s="104"/>
      <c r="D211" s="104"/>
      <c r="E211" s="104"/>
      <c r="F211" s="104"/>
      <c r="G211" s="104"/>
      <c r="H211" s="104"/>
      <c r="I211" s="104"/>
      <c r="J211" s="104"/>
      <c r="K211" s="104"/>
    </row>
    <row r="212" spans="1:11" s="464" customFormat="1" x14ac:dyDescent="0.25">
      <c r="A212" s="132" t="s">
        <v>389</v>
      </c>
      <c r="B212" s="102"/>
      <c r="C212" s="104"/>
      <c r="D212" s="104"/>
      <c r="E212" s="104"/>
      <c r="F212" s="104"/>
      <c r="G212" s="104"/>
      <c r="H212" s="104"/>
      <c r="I212" s="104"/>
      <c r="J212" s="104"/>
      <c r="K212" s="104"/>
    </row>
    <row r="213" spans="1:11" s="464" customFormat="1" x14ac:dyDescent="0.25">
      <c r="A213" s="105" t="s">
        <v>390</v>
      </c>
      <c r="B213" s="102"/>
      <c r="C213" s="104"/>
      <c r="D213" s="104"/>
      <c r="E213" s="104"/>
      <c r="F213" s="104"/>
      <c r="G213" s="104"/>
      <c r="H213" s="104"/>
      <c r="I213" s="104"/>
      <c r="J213" s="104"/>
      <c r="K213" s="104"/>
    </row>
    <row r="214" spans="1:11" s="464" customFormat="1" x14ac:dyDescent="0.25">
      <c r="A214" s="105" t="s">
        <v>2399</v>
      </c>
      <c r="B214" s="102"/>
      <c r="C214" s="104"/>
      <c r="D214" s="104"/>
      <c r="E214" s="104"/>
      <c r="F214" s="104"/>
      <c r="G214" s="104"/>
      <c r="H214" s="104"/>
      <c r="I214" s="104"/>
      <c r="J214" s="104"/>
      <c r="K214" s="104"/>
    </row>
    <row r="215" spans="1:11" s="464" customFormat="1" x14ac:dyDescent="0.25">
      <c r="A215" s="105" t="s">
        <v>2403</v>
      </c>
      <c r="B215" s="102"/>
      <c r="C215" s="104"/>
      <c r="D215" s="104"/>
      <c r="E215" s="104"/>
      <c r="F215" s="104"/>
      <c r="G215" s="104"/>
      <c r="H215" s="104"/>
      <c r="I215" s="104"/>
      <c r="J215" s="104"/>
      <c r="K215" s="104"/>
    </row>
    <row r="217" spans="1:11" x14ac:dyDescent="0.25">
      <c r="A217" s="108" t="s">
        <v>1839</v>
      </c>
      <c r="B217" s="25"/>
      <c r="C217" s="113">
        <f>C165-'A6-FinPos'!C17-'A6-FinPos'!C19-'A6-FinPos'!C20-'A6-FinPos'!C21-'A6-FinPos'!C22-C148</f>
        <v>0</v>
      </c>
      <c r="D217" s="113">
        <f>D165-'A6-FinPos'!D17-'A6-FinPos'!D19-'A6-FinPos'!D20-'A6-FinPos'!D21-'A6-FinPos'!D22-D148</f>
        <v>-1177463944</v>
      </c>
      <c r="E217" s="113">
        <f>E165-'A6-FinPos'!E17-'A6-FinPos'!E19-'A6-FinPos'!E20-'A6-FinPos'!E21-'A6-FinPos'!E22-E148</f>
        <v>-1167603183</v>
      </c>
      <c r="F217" s="113">
        <f>F165-'A6-FinPos'!F17-'A6-FinPos'!F19-'A6-FinPos'!F20-'A6-FinPos'!F21-'A6-FinPos'!F22-F148</f>
        <v>-9430858.1280002594</v>
      </c>
      <c r="G217" s="113">
        <f>G165-'A6-FinPos'!G17-'A6-FinPos'!G19-'A6-FinPos'!G20-'A6-FinPos'!G21-'A6-FinPos'!G22-G148</f>
        <v>5166672.8719997406</v>
      </c>
      <c r="H217" s="113">
        <f>H165-'A6-FinPos'!H17-'A6-FinPos'!H19-'A6-FinPos'!H20-'A6-FinPos'!H21-'A6-FinPos'!H22-H148</f>
        <v>5166672.8719997406</v>
      </c>
      <c r="I217" s="113">
        <f>I165-'A6-FinPos'!J17-'A6-FinPos'!J19-'A6-FinPos'!J20-'A6-FinPos'!J21-'A6-FinPos'!J22-I148</f>
        <v>-1135088360.6279998</v>
      </c>
      <c r="J217" s="113">
        <f>J165-'A6-FinPos'!K17-'A6-FinPos'!K19-'A6-FinPos'!K20-'A6-FinPos'!K21-'A6-FinPos'!K22-J148</f>
        <v>-1115261383.2119999</v>
      </c>
      <c r="K217" s="113">
        <f>K165-'A6-FinPos'!L17-'A6-FinPos'!L19-'A6-FinPos'!L20-'A6-FinPos'!L21-'A6-FinPos'!L22-K148</f>
        <v>-1041273937.1510397</v>
      </c>
    </row>
    <row r="218" spans="1:11" x14ac:dyDescent="0.25">
      <c r="B218" s="25"/>
    </row>
    <row r="219" spans="1:11" x14ac:dyDescent="0.25">
      <c r="B219" s="25"/>
    </row>
    <row r="220" spans="1:11" x14ac:dyDescent="0.25">
      <c r="B220" s="25"/>
    </row>
  </sheetData>
  <dataConsolidate/>
  <mergeCells count="2">
    <mergeCell ref="F2:H2"/>
    <mergeCell ref="I2:K2"/>
  </mergeCells>
  <phoneticPr fontId="3" type="noConversion"/>
  <printOptions horizontalCentered="1"/>
  <pageMargins left="0.37" right="0.2" top="0.6" bottom="0.5" header="0.511811023622047" footer="0.39370078740157499"/>
  <pageSetup paperSize="9" scale="80" fitToHeight="0" orientation="portrait" r:id="rId1"/>
  <headerFooter alignWithMargins="0"/>
  <rowBreaks count="2" manualBreakCount="2">
    <brk id="67" max="10" man="1"/>
    <brk id="132" max="10" man="1"/>
  </rowBreaks>
  <ignoredErrors>
    <ignoredError sqref="C111:K111 C114:K114 C118:F118 C125:G125 J118:K118 H118:I118 G118 C121:K121 H125 I125:K125"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K134"/>
  <sheetViews>
    <sheetView showGridLines="0" zoomScaleNormal="100" workbookViewId="0">
      <pane xSplit="2" ySplit="3" topLeftCell="C64" activePane="bottomRight" state="frozen"/>
      <selection pane="topRight"/>
      <selection pane="bottomLeft"/>
      <selection pane="bottomRight" sqref="A1:K79"/>
    </sheetView>
  </sheetViews>
  <sheetFormatPr defaultRowHeight="12.75" x14ac:dyDescent="0.25"/>
  <cols>
    <col min="1" max="1" width="54.7109375" style="25" customWidth="1"/>
    <col min="2" max="2" width="3" style="102" customWidth="1"/>
    <col min="3" max="8" width="9.28515625" style="25" customWidth="1"/>
    <col min="9" max="9" width="9.7109375" style="25" customWidth="1"/>
    <col min="10"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s="52" customFormat="1" x14ac:dyDescent="0.2">
      <c r="A1" s="23" t="str">
        <f>muni&amp;" - "&amp;Approve10</f>
        <v>EC101 Dr Beyers Naude - Table A10 Basic service delivery measurement</v>
      </c>
      <c r="B1" s="23"/>
      <c r="C1" s="23"/>
      <c r="D1" s="23"/>
      <c r="E1" s="23"/>
      <c r="F1" s="23"/>
      <c r="G1" s="23"/>
      <c r="H1" s="23"/>
      <c r="I1" s="23"/>
      <c r="J1" s="23"/>
      <c r="K1" s="23"/>
    </row>
    <row r="2" spans="1:11" ht="28.5" customHeight="1" x14ac:dyDescent="0.25">
      <c r="A2" s="1928" t="str">
        <f>desc</f>
        <v>Description</v>
      </c>
      <c r="B2" s="1930" t="str">
        <f>head27</f>
        <v>Ref</v>
      </c>
      <c r="C2" s="26"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1929"/>
      <c r="B3" s="1931"/>
      <c r="C3" s="203" t="str">
        <f>Head5A</f>
        <v>Outcome</v>
      </c>
      <c r="D3" s="203" t="str">
        <f>Head5A</f>
        <v>Outcome</v>
      </c>
      <c r="E3" s="204" t="str">
        <f>Head5A</f>
        <v>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1.25" customHeight="1" x14ac:dyDescent="0.25">
      <c r="A4" s="54" t="s">
        <v>1987</v>
      </c>
      <c r="B4" s="55">
        <v>1</v>
      </c>
      <c r="C4" s="1235"/>
      <c r="D4" s="1235"/>
      <c r="E4" s="1236"/>
      <c r="F4" s="118"/>
      <c r="G4" s="1235"/>
      <c r="H4" s="103"/>
      <c r="I4" s="743"/>
      <c r="J4" s="1235"/>
      <c r="K4" s="1236"/>
    </row>
    <row r="5" spans="1:11" x14ac:dyDescent="0.25">
      <c r="A5" s="692" t="s">
        <v>1635</v>
      </c>
      <c r="B5" s="55"/>
      <c r="C5" s="601"/>
      <c r="D5" s="601"/>
      <c r="E5" s="896"/>
      <c r="F5" s="74"/>
      <c r="G5" s="601"/>
      <c r="I5" s="829"/>
      <c r="J5" s="601"/>
      <c r="K5" s="896"/>
    </row>
    <row r="6" spans="1:11" ht="11.25" customHeight="1" x14ac:dyDescent="0.25">
      <c r="A6" s="63" t="s">
        <v>1466</v>
      </c>
      <c r="B6" s="55"/>
      <c r="C6" s="1228">
        <f>'SA9'!E67</f>
        <v>0</v>
      </c>
      <c r="D6" s="1228">
        <f>'SA9'!F67</f>
        <v>17324</v>
      </c>
      <c r="E6" s="1736">
        <f>'SA9'!G67</f>
        <v>17324</v>
      </c>
      <c r="F6" s="1232">
        <f>'SA9'!H67</f>
        <v>18928</v>
      </c>
      <c r="G6" s="1228">
        <f>'SA9'!I67</f>
        <v>18928</v>
      </c>
      <c r="H6" s="1736">
        <f>'SA9'!J67</f>
        <v>18928</v>
      </c>
      <c r="I6" s="1232">
        <f>'SA9'!K67</f>
        <v>18928</v>
      </c>
      <c r="J6" s="1228">
        <f>'SA9'!L67</f>
        <v>18928</v>
      </c>
      <c r="K6" s="1736">
        <f>'SA9'!M67</f>
        <v>18928</v>
      </c>
    </row>
    <row r="7" spans="1:11" ht="11.25" customHeight="1" x14ac:dyDescent="0.25">
      <c r="A7" s="63" t="s">
        <v>1634</v>
      </c>
      <c r="B7" s="55"/>
      <c r="C7" s="1228">
        <f>'SA9'!E68</f>
        <v>0</v>
      </c>
      <c r="D7" s="1228">
        <f>'SA9'!F68</f>
        <v>1053</v>
      </c>
      <c r="E7" s="1736">
        <f>'SA9'!G68</f>
        <v>1053</v>
      </c>
      <c r="F7" s="1232">
        <f>'SA9'!H68</f>
        <v>0</v>
      </c>
      <c r="G7" s="1228">
        <f>'SA9'!I68</f>
        <v>0</v>
      </c>
      <c r="H7" s="1736">
        <f>'SA9'!J68</f>
        <v>0</v>
      </c>
      <c r="I7" s="1232">
        <f>'SA9'!K68</f>
        <v>0</v>
      </c>
      <c r="J7" s="1228">
        <f>'SA9'!L68</f>
        <v>0</v>
      </c>
      <c r="K7" s="1736">
        <f>'SA9'!M68</f>
        <v>0</v>
      </c>
    </row>
    <row r="8" spans="1:11" ht="11.25" customHeight="1" x14ac:dyDescent="0.25">
      <c r="A8" s="63" t="s">
        <v>112</v>
      </c>
      <c r="B8" s="55">
        <v>2</v>
      </c>
      <c r="C8" s="1228">
        <f>'SA9'!E69</f>
        <v>0</v>
      </c>
      <c r="D8" s="1228">
        <f>'SA9'!F69</f>
        <v>411</v>
      </c>
      <c r="E8" s="1736">
        <f>'SA9'!G69</f>
        <v>411</v>
      </c>
      <c r="F8" s="1232">
        <f>'SA9'!H69</f>
        <v>0</v>
      </c>
      <c r="G8" s="1228">
        <f>'SA9'!I69</f>
        <v>0</v>
      </c>
      <c r="H8" s="1736">
        <f>'SA9'!J69</f>
        <v>0</v>
      </c>
      <c r="I8" s="1232">
        <f>'SA9'!K69</f>
        <v>0</v>
      </c>
      <c r="J8" s="1228">
        <f>'SA9'!L69</f>
        <v>0</v>
      </c>
      <c r="K8" s="1736">
        <f>'SA9'!M69</f>
        <v>0</v>
      </c>
    </row>
    <row r="9" spans="1:11" ht="11.25" customHeight="1" x14ac:dyDescent="0.25">
      <c r="A9" s="63" t="s">
        <v>113</v>
      </c>
      <c r="B9" s="55">
        <v>4</v>
      </c>
      <c r="C9" s="1228">
        <f>'SA9'!E70</f>
        <v>0</v>
      </c>
      <c r="D9" s="1228">
        <f>'SA9'!F70</f>
        <v>0</v>
      </c>
      <c r="E9" s="1736">
        <f>'SA9'!G70</f>
        <v>0</v>
      </c>
      <c r="F9" s="1232">
        <f>'SA9'!H70</f>
        <v>0</v>
      </c>
      <c r="G9" s="1228">
        <f>'SA9'!I70</f>
        <v>0</v>
      </c>
      <c r="H9" s="1736">
        <f>'SA9'!J70</f>
        <v>0</v>
      </c>
      <c r="I9" s="1232">
        <f>'SA9'!K70</f>
        <v>0</v>
      </c>
      <c r="J9" s="1228">
        <f>'SA9'!L70</f>
        <v>0</v>
      </c>
      <c r="K9" s="1736">
        <f>'SA9'!M70</f>
        <v>0</v>
      </c>
    </row>
    <row r="10" spans="1:11" ht="11.25" customHeight="1" x14ac:dyDescent="0.25">
      <c r="A10" s="881" t="s">
        <v>324</v>
      </c>
      <c r="B10" s="55"/>
      <c r="C10" s="1213">
        <f>SUM(C6:C9)</f>
        <v>0</v>
      </c>
      <c r="D10" s="1213">
        <f t="shared" ref="D10:K10" si="0">SUM(D6:D9)</f>
        <v>18788</v>
      </c>
      <c r="E10" s="1214">
        <f t="shared" si="0"/>
        <v>18788</v>
      </c>
      <c r="F10" s="1215">
        <f t="shared" si="0"/>
        <v>18928</v>
      </c>
      <c r="G10" s="1213">
        <f t="shared" si="0"/>
        <v>18928</v>
      </c>
      <c r="H10" s="1216">
        <f t="shared" si="0"/>
        <v>18928</v>
      </c>
      <c r="I10" s="1217">
        <f t="shared" si="0"/>
        <v>18928</v>
      </c>
      <c r="J10" s="1213">
        <f t="shared" si="0"/>
        <v>18928</v>
      </c>
      <c r="K10" s="1214">
        <f t="shared" si="0"/>
        <v>18928</v>
      </c>
    </row>
    <row r="11" spans="1:11" ht="11.25" customHeight="1" x14ac:dyDescent="0.25">
      <c r="A11" s="63" t="s">
        <v>437</v>
      </c>
      <c r="B11" s="55">
        <v>3</v>
      </c>
      <c r="C11" s="1228">
        <f>'SA9'!E72</f>
        <v>0</v>
      </c>
      <c r="D11" s="1228">
        <f>'SA9'!F72</f>
        <v>0</v>
      </c>
      <c r="E11" s="1736">
        <f>'SA9'!G72</f>
        <v>0</v>
      </c>
      <c r="F11" s="1232">
        <f>'SA9'!H72</f>
        <v>0</v>
      </c>
      <c r="G11" s="1228">
        <f>'SA9'!I72</f>
        <v>0</v>
      </c>
      <c r="H11" s="1736">
        <f>'SA9'!J72</f>
        <v>0</v>
      </c>
      <c r="I11" s="1232">
        <f>'SA9'!K72</f>
        <v>0</v>
      </c>
      <c r="J11" s="1228">
        <f>'SA9'!L72</f>
        <v>0</v>
      </c>
      <c r="K11" s="1736">
        <f>'SA9'!M72</f>
        <v>0</v>
      </c>
    </row>
    <row r="12" spans="1:11" ht="11.25" customHeight="1" x14ac:dyDescent="0.25">
      <c r="A12" s="63" t="s">
        <v>438</v>
      </c>
      <c r="B12" s="55">
        <f>B9</f>
        <v>4</v>
      </c>
      <c r="C12" s="1228">
        <f>'SA9'!E73</f>
        <v>0</v>
      </c>
      <c r="D12" s="1228">
        <f>'SA9'!F73</f>
        <v>0</v>
      </c>
      <c r="E12" s="1736">
        <f>'SA9'!G73</f>
        <v>0</v>
      </c>
      <c r="F12" s="1232">
        <f>'SA9'!H73</f>
        <v>0</v>
      </c>
      <c r="G12" s="1228">
        <f>'SA9'!I73</f>
        <v>0</v>
      </c>
      <c r="H12" s="1736">
        <f>'SA9'!J73</f>
        <v>0</v>
      </c>
      <c r="I12" s="1232">
        <f>'SA9'!K73</f>
        <v>0</v>
      </c>
      <c r="J12" s="1228">
        <f>'SA9'!L73</f>
        <v>0</v>
      </c>
      <c r="K12" s="1736">
        <f>'SA9'!M73</f>
        <v>0</v>
      </c>
    </row>
    <row r="13" spans="1:11" ht="11.25" customHeight="1" x14ac:dyDescent="0.25">
      <c r="A13" s="63" t="s">
        <v>850</v>
      </c>
      <c r="B13" s="55"/>
      <c r="C13" s="1228">
        <f>'SA9'!E74</f>
        <v>0</v>
      </c>
      <c r="D13" s="1228">
        <f>'SA9'!F74</f>
        <v>0</v>
      </c>
      <c r="E13" s="1736">
        <f>'SA9'!G74</f>
        <v>0</v>
      </c>
      <c r="F13" s="1232">
        <f>'SA9'!H74</f>
        <v>0</v>
      </c>
      <c r="G13" s="1228">
        <f>'SA9'!I74</f>
        <v>0</v>
      </c>
      <c r="H13" s="1736">
        <f>'SA9'!J74</f>
        <v>0</v>
      </c>
      <c r="I13" s="1232">
        <f>'SA9'!K74</f>
        <v>0</v>
      </c>
      <c r="J13" s="1228">
        <f>'SA9'!L74</f>
        <v>0</v>
      </c>
      <c r="K13" s="1736">
        <f>'SA9'!M74</f>
        <v>0</v>
      </c>
    </row>
    <row r="14" spans="1:11" ht="11.25" customHeight="1" x14ac:dyDescent="0.25">
      <c r="A14" s="881" t="s">
        <v>1141</v>
      </c>
      <c r="B14" s="55"/>
      <c r="C14" s="1218">
        <f>SUM(C11:C13)</f>
        <v>0</v>
      </c>
      <c r="D14" s="1218">
        <f t="shared" ref="D14:K14" si="1">SUM(D11:D13)</f>
        <v>0</v>
      </c>
      <c r="E14" s="1219">
        <f t="shared" si="1"/>
        <v>0</v>
      </c>
      <c r="F14" s="1220">
        <f t="shared" si="1"/>
        <v>0</v>
      </c>
      <c r="G14" s="1218">
        <f t="shared" si="1"/>
        <v>0</v>
      </c>
      <c r="H14" s="1221">
        <f t="shared" si="1"/>
        <v>0</v>
      </c>
      <c r="I14" s="1222">
        <f t="shared" si="1"/>
        <v>0</v>
      </c>
      <c r="J14" s="1218">
        <f t="shared" si="1"/>
        <v>0</v>
      </c>
      <c r="K14" s="1219">
        <f t="shared" si="1"/>
        <v>0</v>
      </c>
    </row>
    <row r="15" spans="1:11" ht="11.25" customHeight="1" x14ac:dyDescent="0.25">
      <c r="A15" s="70" t="s">
        <v>1177</v>
      </c>
      <c r="B15" s="55">
        <v>5</v>
      </c>
      <c r="C15" s="1223">
        <f>C10+C14</f>
        <v>0</v>
      </c>
      <c r="D15" s="1223">
        <f t="shared" ref="D15:K15" si="2">D10+D14</f>
        <v>18788</v>
      </c>
      <c r="E15" s="1224">
        <f t="shared" si="2"/>
        <v>18788</v>
      </c>
      <c r="F15" s="1225">
        <f t="shared" si="2"/>
        <v>18928</v>
      </c>
      <c r="G15" s="1223">
        <f t="shared" si="2"/>
        <v>18928</v>
      </c>
      <c r="H15" s="1226">
        <f t="shared" si="2"/>
        <v>18928</v>
      </c>
      <c r="I15" s="1227">
        <f t="shared" si="2"/>
        <v>18928</v>
      </c>
      <c r="J15" s="1223">
        <f t="shared" si="2"/>
        <v>18928</v>
      </c>
      <c r="K15" s="1224">
        <f t="shared" si="2"/>
        <v>18928</v>
      </c>
    </row>
    <row r="16" spans="1:11" ht="15.75" customHeight="1" x14ac:dyDescent="0.25">
      <c r="A16" s="692" t="s">
        <v>1178</v>
      </c>
      <c r="B16" s="55"/>
      <c r="C16" s="601"/>
      <c r="D16" s="601"/>
      <c r="E16" s="896"/>
      <c r="F16" s="74"/>
      <c r="G16" s="601"/>
      <c r="I16" s="829"/>
      <c r="J16" s="601"/>
      <c r="K16" s="896"/>
    </row>
    <row r="17" spans="1:11" ht="11.25" customHeight="1" x14ac:dyDescent="0.25">
      <c r="A17" s="63" t="s">
        <v>1179</v>
      </c>
      <c r="B17" s="55"/>
      <c r="C17" s="1228">
        <f>'SA9'!E78</f>
        <v>0</v>
      </c>
      <c r="D17" s="1228">
        <f>'SA9'!F78</f>
        <v>14044</v>
      </c>
      <c r="E17" s="1736">
        <f>'SA9'!G78</f>
        <v>14044</v>
      </c>
      <c r="F17" s="1232">
        <f>'SA9'!H78</f>
        <v>19717</v>
      </c>
      <c r="G17" s="1228">
        <f>'SA9'!I78</f>
        <v>19717</v>
      </c>
      <c r="H17" s="1736">
        <f>'SA9'!J78</f>
        <v>19717</v>
      </c>
      <c r="I17" s="1232">
        <f>'SA9'!K78</f>
        <v>19717</v>
      </c>
      <c r="J17" s="1228">
        <f>'SA9'!L78</f>
        <v>19717</v>
      </c>
      <c r="K17" s="1736">
        <f>'SA9'!M78</f>
        <v>19717</v>
      </c>
    </row>
    <row r="18" spans="1:11" ht="11.25" customHeight="1" x14ac:dyDescent="0.25">
      <c r="A18" s="63" t="s">
        <v>1180</v>
      </c>
      <c r="B18" s="55"/>
      <c r="C18" s="1228">
        <f>'SA9'!E79</f>
        <v>0</v>
      </c>
      <c r="D18" s="1228">
        <f>'SA9'!F79</f>
        <v>746</v>
      </c>
      <c r="E18" s="1736">
        <f>'SA9'!G79</f>
        <v>746</v>
      </c>
      <c r="F18" s="1232">
        <f>'SA9'!H79</f>
        <v>0</v>
      </c>
      <c r="G18" s="1228">
        <f>'SA9'!I79</f>
        <v>0</v>
      </c>
      <c r="H18" s="1736">
        <f>'SA9'!J79</f>
        <v>0</v>
      </c>
      <c r="I18" s="1232">
        <f>'SA9'!K79</f>
        <v>0</v>
      </c>
      <c r="J18" s="1228">
        <f>'SA9'!L79</f>
        <v>0</v>
      </c>
      <c r="K18" s="1736">
        <f>'SA9'!M79</f>
        <v>0</v>
      </c>
    </row>
    <row r="19" spans="1:11" ht="11.25" customHeight="1" x14ac:dyDescent="0.25">
      <c r="A19" s="63" t="s">
        <v>1247</v>
      </c>
      <c r="B19" s="55"/>
      <c r="C19" s="1228">
        <f>'SA9'!E80</f>
        <v>0</v>
      </c>
      <c r="D19" s="1228">
        <f>'SA9'!F80</f>
        <v>3</v>
      </c>
      <c r="E19" s="1736">
        <f>'SA9'!G80</f>
        <v>3</v>
      </c>
      <c r="F19" s="1232">
        <f>'SA9'!H80</f>
        <v>11</v>
      </c>
      <c r="G19" s="1228">
        <f>'SA9'!I80</f>
        <v>11</v>
      </c>
      <c r="H19" s="1736">
        <f>'SA9'!J80</f>
        <v>11</v>
      </c>
      <c r="I19" s="1232">
        <f>'SA9'!K80</f>
        <v>11</v>
      </c>
      <c r="J19" s="1228">
        <f>'SA9'!L80</f>
        <v>11</v>
      </c>
      <c r="K19" s="1736">
        <f>'SA9'!M80</f>
        <v>11</v>
      </c>
    </row>
    <row r="20" spans="1:11" ht="11.25" customHeight="1" x14ac:dyDescent="0.25">
      <c r="A20" s="63" t="s">
        <v>212</v>
      </c>
      <c r="B20" s="55"/>
      <c r="C20" s="1228">
        <f>'SA9'!E81</f>
        <v>0</v>
      </c>
      <c r="D20" s="1228">
        <f>'SA9'!F81</f>
        <v>282</v>
      </c>
      <c r="E20" s="1736">
        <f>'SA9'!G81</f>
        <v>282</v>
      </c>
      <c r="F20" s="1232">
        <f>'SA9'!H81</f>
        <v>274</v>
      </c>
      <c r="G20" s="1228">
        <f>'SA9'!I81</f>
        <v>274</v>
      </c>
      <c r="H20" s="1736">
        <f>'SA9'!J81</f>
        <v>274</v>
      </c>
      <c r="I20" s="1232">
        <f>'SA9'!K81</f>
        <v>274</v>
      </c>
      <c r="J20" s="1228">
        <f>'SA9'!L81</f>
        <v>274</v>
      </c>
      <c r="K20" s="1736">
        <f>'SA9'!M81</f>
        <v>274</v>
      </c>
    </row>
    <row r="21" spans="1:11" ht="11.25" customHeight="1" x14ac:dyDescent="0.25">
      <c r="A21" s="63" t="s">
        <v>214</v>
      </c>
      <c r="B21" s="55"/>
      <c r="C21" s="1228">
        <f>'SA9'!E82</f>
        <v>0</v>
      </c>
      <c r="D21" s="1228">
        <f>'SA9'!F82</f>
        <v>287</v>
      </c>
      <c r="E21" s="1736">
        <f>'SA9'!G82</f>
        <v>287</v>
      </c>
      <c r="F21" s="1232">
        <f>'SA9'!H82</f>
        <v>0</v>
      </c>
      <c r="G21" s="1228">
        <f>'SA9'!I82</f>
        <v>0</v>
      </c>
      <c r="H21" s="1736">
        <f>'SA9'!J82</f>
        <v>0</v>
      </c>
      <c r="I21" s="1232">
        <f>'SA9'!K82</f>
        <v>0</v>
      </c>
      <c r="J21" s="1228">
        <f>'SA9'!L82</f>
        <v>0</v>
      </c>
      <c r="K21" s="1736">
        <f>'SA9'!M82</f>
        <v>0</v>
      </c>
    </row>
    <row r="22" spans="1:11" ht="11.25" customHeight="1" x14ac:dyDescent="0.25">
      <c r="A22" s="881" t="str">
        <f>$A$10</f>
        <v>Minimum Service Level and Above sub-total</v>
      </c>
      <c r="B22" s="55"/>
      <c r="C22" s="1213">
        <f>SUM(C17:C21)</f>
        <v>0</v>
      </c>
      <c r="D22" s="1213">
        <f t="shared" ref="D22:K22" si="3">SUM(D17:D21)</f>
        <v>15362</v>
      </c>
      <c r="E22" s="1214">
        <f t="shared" si="3"/>
        <v>15362</v>
      </c>
      <c r="F22" s="1215">
        <f t="shared" si="3"/>
        <v>20002</v>
      </c>
      <c r="G22" s="1213">
        <f t="shared" si="3"/>
        <v>20002</v>
      </c>
      <c r="H22" s="1216">
        <f t="shared" si="3"/>
        <v>20002</v>
      </c>
      <c r="I22" s="1217">
        <f t="shared" si="3"/>
        <v>20002</v>
      </c>
      <c r="J22" s="1213">
        <f t="shared" si="3"/>
        <v>20002</v>
      </c>
      <c r="K22" s="1214">
        <f t="shared" si="3"/>
        <v>20002</v>
      </c>
    </row>
    <row r="23" spans="1:11" ht="11.25" customHeight="1" x14ac:dyDescent="0.25">
      <c r="A23" s="63" t="s">
        <v>213</v>
      </c>
      <c r="B23" s="55"/>
      <c r="C23" s="1228">
        <f>'SA9'!E84</f>
        <v>0</v>
      </c>
      <c r="D23" s="1228">
        <f>'SA9'!F84</f>
        <v>0</v>
      </c>
      <c r="E23" s="1736">
        <f>'SA9'!G84</f>
        <v>0</v>
      </c>
      <c r="F23" s="1232">
        <f>'SA9'!H84</f>
        <v>410</v>
      </c>
      <c r="G23" s="1228">
        <f>'SA9'!I84</f>
        <v>410</v>
      </c>
      <c r="H23" s="1736">
        <f>'SA9'!J84</f>
        <v>410</v>
      </c>
      <c r="I23" s="1232">
        <f>'SA9'!K84</f>
        <v>410</v>
      </c>
      <c r="J23" s="1228">
        <f>'SA9'!L84</f>
        <v>410</v>
      </c>
      <c r="K23" s="1736">
        <f>'SA9'!M84</f>
        <v>410</v>
      </c>
    </row>
    <row r="24" spans="1:11" ht="11.25" customHeight="1" x14ac:dyDescent="0.25">
      <c r="A24" s="63" t="s">
        <v>1087</v>
      </c>
      <c r="B24" s="55"/>
      <c r="C24" s="1228">
        <f>'SA9'!E85</f>
        <v>0</v>
      </c>
      <c r="D24" s="1228">
        <f>'SA9'!F85</f>
        <v>0</v>
      </c>
      <c r="E24" s="1736">
        <f>'SA9'!G85</f>
        <v>0</v>
      </c>
      <c r="F24" s="1232">
        <f>'SA9'!H85</f>
        <v>0</v>
      </c>
      <c r="G24" s="1228">
        <f>'SA9'!I85</f>
        <v>0</v>
      </c>
      <c r="H24" s="1736">
        <f>'SA9'!J85</f>
        <v>0</v>
      </c>
      <c r="I24" s="1232">
        <f>'SA9'!K85</f>
        <v>0</v>
      </c>
      <c r="J24" s="1228">
        <f>'SA9'!L85</f>
        <v>0</v>
      </c>
      <c r="K24" s="1736">
        <f>'SA9'!M85</f>
        <v>0</v>
      </c>
    </row>
    <row r="25" spans="1:11" ht="11.25" customHeight="1" x14ac:dyDescent="0.25">
      <c r="A25" s="63" t="s">
        <v>1249</v>
      </c>
      <c r="B25" s="55"/>
      <c r="C25" s="1228">
        <f>'SA9'!E86</f>
        <v>0</v>
      </c>
      <c r="D25" s="1228">
        <f>'SA9'!F86</f>
        <v>0</v>
      </c>
      <c r="E25" s="1736">
        <f>'SA9'!G86</f>
        <v>0</v>
      </c>
      <c r="F25" s="1232">
        <f>'SA9'!H86</f>
        <v>0</v>
      </c>
      <c r="G25" s="1228">
        <f>'SA9'!I86</f>
        <v>0</v>
      </c>
      <c r="H25" s="1736">
        <f>'SA9'!J86</f>
        <v>0</v>
      </c>
      <c r="I25" s="1232">
        <f>'SA9'!K86</f>
        <v>0</v>
      </c>
      <c r="J25" s="1228">
        <f>'SA9'!L86</f>
        <v>0</v>
      </c>
      <c r="K25" s="1736">
        <f>'SA9'!M86</f>
        <v>0</v>
      </c>
    </row>
    <row r="26" spans="1:11" ht="11.25" customHeight="1" x14ac:dyDescent="0.25">
      <c r="A26" s="881" t="str">
        <f>$A$14</f>
        <v>Below Minimum Service Level sub-total</v>
      </c>
      <c r="B26" s="55"/>
      <c r="C26" s="1218">
        <f>SUM(C23:C25)</f>
        <v>0</v>
      </c>
      <c r="D26" s="1218">
        <f t="shared" ref="D26:K26" si="4">SUM(D23:D25)</f>
        <v>0</v>
      </c>
      <c r="E26" s="1219">
        <f t="shared" si="4"/>
        <v>0</v>
      </c>
      <c r="F26" s="1220">
        <f t="shared" si="4"/>
        <v>410</v>
      </c>
      <c r="G26" s="1218">
        <f t="shared" si="4"/>
        <v>410</v>
      </c>
      <c r="H26" s="1221">
        <f t="shared" si="4"/>
        <v>410</v>
      </c>
      <c r="I26" s="1222">
        <f t="shared" si="4"/>
        <v>410</v>
      </c>
      <c r="J26" s="1218">
        <f t="shared" si="4"/>
        <v>410</v>
      </c>
      <c r="K26" s="1219">
        <f t="shared" si="4"/>
        <v>410</v>
      </c>
    </row>
    <row r="27" spans="1:11" ht="11.25" customHeight="1" x14ac:dyDescent="0.25">
      <c r="A27" s="70" t="str">
        <f>$A$15</f>
        <v>Total number of households</v>
      </c>
      <c r="B27" s="55">
        <f>$B$15</f>
        <v>5</v>
      </c>
      <c r="C27" s="1223">
        <f>C22+C26</f>
        <v>0</v>
      </c>
      <c r="D27" s="1223">
        <f t="shared" ref="D27:K27" si="5">D22+D26</f>
        <v>15362</v>
      </c>
      <c r="E27" s="1224">
        <f t="shared" si="5"/>
        <v>15362</v>
      </c>
      <c r="F27" s="1225">
        <f t="shared" si="5"/>
        <v>20412</v>
      </c>
      <c r="G27" s="1223">
        <f t="shared" si="5"/>
        <v>20412</v>
      </c>
      <c r="H27" s="1226">
        <f t="shared" si="5"/>
        <v>20412</v>
      </c>
      <c r="I27" s="1227">
        <f t="shared" si="5"/>
        <v>20412</v>
      </c>
      <c r="J27" s="1223">
        <f t="shared" si="5"/>
        <v>20412</v>
      </c>
      <c r="K27" s="1224">
        <f t="shared" si="5"/>
        <v>20412</v>
      </c>
    </row>
    <row r="28" spans="1:11" ht="15.75" customHeight="1" x14ac:dyDescent="0.25">
      <c r="A28" s="692" t="s">
        <v>594</v>
      </c>
      <c r="B28" s="55"/>
      <c r="C28" s="601"/>
      <c r="D28" s="601"/>
      <c r="E28" s="896"/>
      <c r="F28" s="74"/>
      <c r="G28" s="601"/>
      <c r="I28" s="829"/>
      <c r="J28" s="601"/>
      <c r="K28" s="896"/>
    </row>
    <row r="29" spans="1:11" ht="11.25" customHeight="1" x14ac:dyDescent="0.25">
      <c r="A29" s="63" t="s">
        <v>1088</v>
      </c>
      <c r="B29" s="55"/>
      <c r="C29" s="1228">
        <f>'SA9'!E90</f>
        <v>0</v>
      </c>
      <c r="D29" s="1228">
        <f>'SA9'!F90</f>
        <v>1243</v>
      </c>
      <c r="E29" s="1736">
        <f>'SA9'!G90</f>
        <v>1243</v>
      </c>
      <c r="F29" s="1232">
        <f>'SA9'!H90</f>
        <v>1204</v>
      </c>
      <c r="G29" s="1228">
        <f>'SA9'!I90</f>
        <v>1204</v>
      </c>
      <c r="H29" s="1736">
        <f>'SA9'!J90</f>
        <v>1204</v>
      </c>
      <c r="I29" s="1232">
        <f>'SA9'!K90</f>
        <v>1204</v>
      </c>
      <c r="J29" s="1228">
        <f>'SA9'!L90</f>
        <v>1204</v>
      </c>
      <c r="K29" s="1736">
        <f>'SA9'!M90</f>
        <v>1204</v>
      </c>
    </row>
    <row r="30" spans="1:11" ht="11.25" customHeight="1" x14ac:dyDescent="0.25">
      <c r="A30" s="63" t="s">
        <v>439</v>
      </c>
      <c r="B30" s="55"/>
      <c r="C30" s="1228">
        <f>'SA9'!E91</f>
        <v>0</v>
      </c>
      <c r="D30" s="1228">
        <f>'SA9'!F91</f>
        <v>6143</v>
      </c>
      <c r="E30" s="1736">
        <f>'SA9'!G91</f>
        <v>6143</v>
      </c>
      <c r="F30" s="1232">
        <f>'SA9'!H91</f>
        <v>6143</v>
      </c>
      <c r="G30" s="1228">
        <f>'SA9'!I91</f>
        <v>6143</v>
      </c>
      <c r="H30" s="1736">
        <f>'SA9'!J91</f>
        <v>6143</v>
      </c>
      <c r="I30" s="1232">
        <f>'SA9'!K91</f>
        <v>6143</v>
      </c>
      <c r="J30" s="1228">
        <f>'SA9'!L91</f>
        <v>6143</v>
      </c>
      <c r="K30" s="1736">
        <f>'SA9'!M91</f>
        <v>6143</v>
      </c>
    </row>
    <row r="31" spans="1:11" ht="11.25" customHeight="1" x14ac:dyDescent="0.25">
      <c r="A31" s="881" t="str">
        <f>$A$10</f>
        <v>Minimum Service Level and Above sub-total</v>
      </c>
      <c r="B31" s="55"/>
      <c r="C31" s="1213">
        <f>SUM(C29:C30)</f>
        <v>0</v>
      </c>
      <c r="D31" s="1213">
        <f t="shared" ref="D31:K31" si="6">SUM(D29:D30)</f>
        <v>7386</v>
      </c>
      <c r="E31" s="1214">
        <f t="shared" si="6"/>
        <v>7386</v>
      </c>
      <c r="F31" s="1215">
        <f t="shared" si="6"/>
        <v>7347</v>
      </c>
      <c r="G31" s="1213">
        <f t="shared" si="6"/>
        <v>7347</v>
      </c>
      <c r="H31" s="1216">
        <f t="shared" si="6"/>
        <v>7347</v>
      </c>
      <c r="I31" s="1217">
        <f t="shared" si="6"/>
        <v>7347</v>
      </c>
      <c r="J31" s="1213">
        <f t="shared" si="6"/>
        <v>7347</v>
      </c>
      <c r="K31" s="1214">
        <f t="shared" si="6"/>
        <v>7347</v>
      </c>
    </row>
    <row r="32" spans="1:11" ht="11.25" customHeight="1" x14ac:dyDescent="0.25">
      <c r="A32" s="63" t="s">
        <v>440</v>
      </c>
      <c r="B32" s="55"/>
      <c r="C32" s="1228">
        <f>'SA9'!E93</f>
        <v>0</v>
      </c>
      <c r="D32" s="1228">
        <f>'SA9'!F93</f>
        <v>77</v>
      </c>
      <c r="E32" s="1736">
        <f>'SA9'!G93</f>
        <v>0</v>
      </c>
      <c r="F32" s="1232">
        <f>'SA9'!H93</f>
        <v>0</v>
      </c>
      <c r="G32" s="1228">
        <f>'SA9'!I93</f>
        <v>0</v>
      </c>
      <c r="H32" s="1736">
        <f>'SA9'!J93</f>
        <v>0</v>
      </c>
      <c r="I32" s="1232">
        <f>'SA9'!K93</f>
        <v>0</v>
      </c>
      <c r="J32" s="1228">
        <f>'SA9'!L93</f>
        <v>0</v>
      </c>
      <c r="K32" s="1736">
        <f>'SA9'!M93</f>
        <v>0</v>
      </c>
    </row>
    <row r="33" spans="1:11" ht="11.25" customHeight="1" x14ac:dyDescent="0.25">
      <c r="A33" s="63" t="s">
        <v>441</v>
      </c>
      <c r="B33" s="55"/>
      <c r="C33" s="1228">
        <f>'SA9'!E94</f>
        <v>0</v>
      </c>
      <c r="D33" s="1228">
        <f>'SA9'!F94</f>
        <v>0</v>
      </c>
      <c r="E33" s="1736">
        <f>'SA9'!G94</f>
        <v>0</v>
      </c>
      <c r="F33" s="1232">
        <f>'SA9'!H94</f>
        <v>0</v>
      </c>
      <c r="G33" s="1228">
        <f>'SA9'!I94</f>
        <v>0</v>
      </c>
      <c r="H33" s="1736">
        <f>'SA9'!J94</f>
        <v>0</v>
      </c>
      <c r="I33" s="1232">
        <f>'SA9'!K94</f>
        <v>0</v>
      </c>
      <c r="J33" s="1228">
        <f>'SA9'!L94</f>
        <v>0</v>
      </c>
      <c r="K33" s="1736">
        <f>'SA9'!M94</f>
        <v>0</v>
      </c>
    </row>
    <row r="34" spans="1:11" ht="11.25" customHeight="1" x14ac:dyDescent="0.25">
      <c r="A34" s="63" t="s">
        <v>595</v>
      </c>
      <c r="B34" s="55"/>
      <c r="C34" s="1228">
        <f>'SA9'!E95</f>
        <v>0</v>
      </c>
      <c r="D34" s="1228">
        <f>'SA9'!F95</f>
        <v>0</v>
      </c>
      <c r="E34" s="1736">
        <f>'SA9'!G95</f>
        <v>0</v>
      </c>
      <c r="F34" s="1232">
        <f>'SA9'!H95</f>
        <v>0</v>
      </c>
      <c r="G34" s="1228">
        <f>'SA9'!I95</f>
        <v>0</v>
      </c>
      <c r="H34" s="1736">
        <f>'SA9'!J95</f>
        <v>0</v>
      </c>
      <c r="I34" s="1232">
        <f>'SA9'!K95</f>
        <v>0</v>
      </c>
      <c r="J34" s="1228">
        <f>'SA9'!L95</f>
        <v>0</v>
      </c>
      <c r="K34" s="1736">
        <f>'SA9'!M95</f>
        <v>0</v>
      </c>
    </row>
    <row r="35" spans="1:11" ht="11.25" customHeight="1" x14ac:dyDescent="0.25">
      <c r="A35" s="881" t="str">
        <f>$A$14</f>
        <v>Below Minimum Service Level sub-total</v>
      </c>
      <c r="B35" s="55"/>
      <c r="C35" s="1218">
        <f>SUM(C32:C34)</f>
        <v>0</v>
      </c>
      <c r="D35" s="1218">
        <f t="shared" ref="D35:K35" si="7">SUM(D32:D34)</f>
        <v>77</v>
      </c>
      <c r="E35" s="1219">
        <f t="shared" si="7"/>
        <v>0</v>
      </c>
      <c r="F35" s="1220">
        <f t="shared" si="7"/>
        <v>0</v>
      </c>
      <c r="G35" s="1218">
        <f t="shared" si="7"/>
        <v>0</v>
      </c>
      <c r="H35" s="1221">
        <f t="shared" si="7"/>
        <v>0</v>
      </c>
      <c r="I35" s="1222">
        <f t="shared" si="7"/>
        <v>0</v>
      </c>
      <c r="J35" s="1218">
        <f t="shared" si="7"/>
        <v>0</v>
      </c>
      <c r="K35" s="1219">
        <f t="shared" si="7"/>
        <v>0</v>
      </c>
    </row>
    <row r="36" spans="1:11" ht="11.25" customHeight="1" x14ac:dyDescent="0.25">
      <c r="A36" s="70" t="str">
        <f>$A$15</f>
        <v>Total number of households</v>
      </c>
      <c r="B36" s="55">
        <f>$B$15</f>
        <v>5</v>
      </c>
      <c r="C36" s="1223">
        <f>C31+C35</f>
        <v>0</v>
      </c>
      <c r="D36" s="1223">
        <f t="shared" ref="D36:K36" si="8">D31+D35</f>
        <v>7463</v>
      </c>
      <c r="E36" s="1224">
        <f t="shared" si="8"/>
        <v>7386</v>
      </c>
      <c r="F36" s="1225">
        <f t="shared" si="8"/>
        <v>7347</v>
      </c>
      <c r="G36" s="1223">
        <f t="shared" si="8"/>
        <v>7347</v>
      </c>
      <c r="H36" s="1226">
        <f t="shared" si="8"/>
        <v>7347</v>
      </c>
      <c r="I36" s="1227">
        <f t="shared" si="8"/>
        <v>7347</v>
      </c>
      <c r="J36" s="1223">
        <f t="shared" si="8"/>
        <v>7347</v>
      </c>
      <c r="K36" s="1224">
        <f t="shared" si="8"/>
        <v>7347</v>
      </c>
    </row>
    <row r="37" spans="1:11" ht="15.75" customHeight="1" x14ac:dyDescent="0.25">
      <c r="A37" s="692" t="s">
        <v>597</v>
      </c>
      <c r="B37" s="55"/>
      <c r="C37" s="601"/>
      <c r="D37" s="601"/>
      <c r="E37" s="896"/>
      <c r="F37" s="74"/>
      <c r="G37" s="601"/>
      <c r="I37" s="829"/>
      <c r="J37" s="601"/>
      <c r="K37" s="896"/>
    </row>
    <row r="38" spans="1:11" ht="11.25" customHeight="1" x14ac:dyDescent="0.25">
      <c r="A38" s="63" t="s">
        <v>642</v>
      </c>
      <c r="B38" s="55"/>
      <c r="C38" s="1228">
        <f>'SA9'!E99</f>
        <v>0</v>
      </c>
      <c r="D38" s="1228">
        <f>'SA9'!F99</f>
        <v>2235</v>
      </c>
      <c r="E38" s="1736">
        <f>'SA9'!G99</f>
        <v>2235</v>
      </c>
      <c r="F38" s="1232">
        <f>'SA9'!H99</f>
        <v>2235</v>
      </c>
      <c r="G38" s="1228">
        <f>'SA9'!I99</f>
        <v>2235</v>
      </c>
      <c r="H38" s="1736">
        <f>'SA9'!J99</f>
        <v>2235</v>
      </c>
      <c r="I38" s="1232">
        <f>'SA9'!K99</f>
        <v>2235</v>
      </c>
      <c r="J38" s="1228">
        <f>'SA9'!L99</f>
        <v>2235</v>
      </c>
      <c r="K38" s="1736">
        <f>'SA9'!M99</f>
        <v>2235</v>
      </c>
    </row>
    <row r="39" spans="1:11" ht="11.25" customHeight="1" x14ac:dyDescent="0.25">
      <c r="A39" s="881" t="str">
        <f>$A$10</f>
        <v>Minimum Service Level and Above sub-total</v>
      </c>
      <c r="B39" s="55"/>
      <c r="C39" s="1228">
        <f>SUM(C38)</f>
        <v>0</v>
      </c>
      <c r="D39" s="1228">
        <f t="shared" ref="D39:K39" si="9">SUM(D38)</f>
        <v>2235</v>
      </c>
      <c r="E39" s="1229">
        <f t="shared" si="9"/>
        <v>2235</v>
      </c>
      <c r="F39" s="1230">
        <f t="shared" si="9"/>
        <v>2235</v>
      </c>
      <c r="G39" s="1228">
        <f t="shared" si="9"/>
        <v>2235</v>
      </c>
      <c r="H39" s="1231">
        <f t="shared" si="9"/>
        <v>2235</v>
      </c>
      <c r="I39" s="1232">
        <f t="shared" si="9"/>
        <v>2235</v>
      </c>
      <c r="J39" s="1228">
        <f t="shared" si="9"/>
        <v>2235</v>
      </c>
      <c r="K39" s="1229">
        <f t="shared" si="9"/>
        <v>2235</v>
      </c>
    </row>
    <row r="40" spans="1:11" ht="11.25" customHeight="1" x14ac:dyDescent="0.25">
      <c r="A40" s="63" t="s">
        <v>598</v>
      </c>
      <c r="B40" s="55"/>
      <c r="C40" s="1228">
        <f>'SA9'!E101</f>
        <v>0</v>
      </c>
      <c r="D40" s="1228">
        <f>'SA9'!F101</f>
        <v>523</v>
      </c>
      <c r="E40" s="1736">
        <f>'SA9'!G101</f>
        <v>523</v>
      </c>
      <c r="F40" s="1232">
        <f>'SA9'!H101</f>
        <v>523</v>
      </c>
      <c r="G40" s="1228">
        <f>'SA9'!I101</f>
        <v>523</v>
      </c>
      <c r="H40" s="1736">
        <f>'SA9'!J101</f>
        <v>523</v>
      </c>
      <c r="I40" s="1232">
        <f>'SA9'!K101</f>
        <v>523</v>
      </c>
      <c r="J40" s="1228">
        <f>'SA9'!L101</f>
        <v>523</v>
      </c>
      <c r="K40" s="1736">
        <f>'SA9'!M101</f>
        <v>523</v>
      </c>
    </row>
    <row r="41" spans="1:11" ht="11.25" customHeight="1" x14ac:dyDescent="0.25">
      <c r="A41" s="63" t="s">
        <v>599</v>
      </c>
      <c r="B41" s="55"/>
      <c r="C41" s="1228">
        <f>'SA9'!E102</f>
        <v>0</v>
      </c>
      <c r="D41" s="1228">
        <f>'SA9'!F102</f>
        <v>865</v>
      </c>
      <c r="E41" s="1736">
        <f>'SA9'!G102</f>
        <v>865</v>
      </c>
      <c r="F41" s="1232">
        <f>'SA9'!H102</f>
        <v>865</v>
      </c>
      <c r="G41" s="1228">
        <f>'SA9'!I102</f>
        <v>865</v>
      </c>
      <c r="H41" s="1736">
        <f>'SA9'!J102</f>
        <v>865</v>
      </c>
      <c r="I41" s="1232">
        <f>'SA9'!K102</f>
        <v>865</v>
      </c>
      <c r="J41" s="1228">
        <f>'SA9'!L102</f>
        <v>865</v>
      </c>
      <c r="K41" s="1736">
        <f>'SA9'!M102</f>
        <v>865</v>
      </c>
    </row>
    <row r="42" spans="1:11" ht="11.25" customHeight="1" x14ac:dyDescent="0.25">
      <c r="A42" s="63" t="s">
        <v>766</v>
      </c>
      <c r="B42" s="55"/>
      <c r="C42" s="1228">
        <f>'SA9'!E103</f>
        <v>0</v>
      </c>
      <c r="D42" s="1228">
        <f>'SA9'!F103</f>
        <v>523</v>
      </c>
      <c r="E42" s="1736">
        <f>'SA9'!G103</f>
        <v>523</v>
      </c>
      <c r="F42" s="1232">
        <f>'SA9'!H103</f>
        <v>523</v>
      </c>
      <c r="G42" s="1228">
        <f>'SA9'!I103</f>
        <v>523</v>
      </c>
      <c r="H42" s="1736">
        <f>'SA9'!J103</f>
        <v>523</v>
      </c>
      <c r="I42" s="1232">
        <f>'SA9'!K103</f>
        <v>523</v>
      </c>
      <c r="J42" s="1228">
        <f>'SA9'!L103</f>
        <v>523</v>
      </c>
      <c r="K42" s="1736">
        <f>'SA9'!M103</f>
        <v>523</v>
      </c>
    </row>
    <row r="43" spans="1:11" ht="11.25" customHeight="1" x14ac:dyDescent="0.25">
      <c r="A43" s="63" t="s">
        <v>767</v>
      </c>
      <c r="B43" s="55"/>
      <c r="C43" s="1228">
        <f>'SA9'!E104</f>
        <v>0</v>
      </c>
      <c r="D43" s="1228">
        <f>'SA9'!F104</f>
        <v>720</v>
      </c>
      <c r="E43" s="1736">
        <f>'SA9'!G104</f>
        <v>720</v>
      </c>
      <c r="F43" s="1232">
        <f>'SA9'!H104</f>
        <v>720</v>
      </c>
      <c r="G43" s="1228">
        <f>'SA9'!I104</f>
        <v>720</v>
      </c>
      <c r="H43" s="1736">
        <f>'SA9'!J104</f>
        <v>720</v>
      </c>
      <c r="I43" s="1232">
        <f>'SA9'!K104</f>
        <v>720</v>
      </c>
      <c r="J43" s="1228">
        <f>'SA9'!L104</f>
        <v>720</v>
      </c>
      <c r="K43" s="1736">
        <f>'SA9'!M104</f>
        <v>720</v>
      </c>
    </row>
    <row r="44" spans="1:11" ht="11.25" customHeight="1" x14ac:dyDescent="0.25">
      <c r="A44" s="63" t="s">
        <v>171</v>
      </c>
      <c r="B44" s="55"/>
      <c r="C44" s="1228">
        <f>'SA9'!E105</f>
        <v>0</v>
      </c>
      <c r="D44" s="1228">
        <f>'SA9'!F105</f>
        <v>124</v>
      </c>
      <c r="E44" s="1736">
        <f>'SA9'!G105</f>
        <v>124</v>
      </c>
      <c r="F44" s="1232">
        <f>'SA9'!H105</f>
        <v>124</v>
      </c>
      <c r="G44" s="1228">
        <f>'SA9'!I105</f>
        <v>124</v>
      </c>
      <c r="H44" s="1736">
        <f>'SA9'!J105</f>
        <v>124</v>
      </c>
      <c r="I44" s="1232">
        <f>'SA9'!K105</f>
        <v>124</v>
      </c>
      <c r="J44" s="1228">
        <f>'SA9'!L105</f>
        <v>124</v>
      </c>
      <c r="K44" s="1736">
        <f>'SA9'!M105</f>
        <v>124</v>
      </c>
    </row>
    <row r="45" spans="1:11" ht="11.25" customHeight="1" x14ac:dyDescent="0.25">
      <c r="A45" s="881" t="str">
        <f>$A$14</f>
        <v>Below Minimum Service Level sub-total</v>
      </c>
      <c r="B45" s="55"/>
      <c r="C45" s="1218">
        <f t="shared" ref="C45:K45" si="10">SUM(C40:C44)</f>
        <v>0</v>
      </c>
      <c r="D45" s="1218">
        <f t="shared" si="10"/>
        <v>2755</v>
      </c>
      <c r="E45" s="1219">
        <f t="shared" si="10"/>
        <v>2755</v>
      </c>
      <c r="F45" s="1220">
        <f t="shared" si="10"/>
        <v>2755</v>
      </c>
      <c r="G45" s="1218">
        <f t="shared" si="10"/>
        <v>2755</v>
      </c>
      <c r="H45" s="1221">
        <f t="shared" si="10"/>
        <v>2755</v>
      </c>
      <c r="I45" s="1222">
        <f t="shared" si="10"/>
        <v>2755</v>
      </c>
      <c r="J45" s="1218">
        <f t="shared" si="10"/>
        <v>2755</v>
      </c>
      <c r="K45" s="1219">
        <f t="shared" si="10"/>
        <v>2755</v>
      </c>
    </row>
    <row r="46" spans="1:11" ht="11.25" customHeight="1" x14ac:dyDescent="0.25">
      <c r="A46" s="70" t="str">
        <f>$A$15</f>
        <v>Total number of households</v>
      </c>
      <c r="B46" s="55">
        <f>$B$15</f>
        <v>5</v>
      </c>
      <c r="C46" s="1223">
        <f>C39+C45</f>
        <v>0</v>
      </c>
      <c r="D46" s="1223">
        <f t="shared" ref="D46:K46" si="11">D39+D45</f>
        <v>4990</v>
      </c>
      <c r="E46" s="1224">
        <f t="shared" si="11"/>
        <v>4990</v>
      </c>
      <c r="F46" s="1225">
        <f t="shared" si="11"/>
        <v>4990</v>
      </c>
      <c r="G46" s="1223">
        <f t="shared" si="11"/>
        <v>4990</v>
      </c>
      <c r="H46" s="1226">
        <f t="shared" si="11"/>
        <v>4990</v>
      </c>
      <c r="I46" s="1227">
        <f t="shared" si="11"/>
        <v>4990</v>
      </c>
      <c r="J46" s="1223">
        <f t="shared" si="11"/>
        <v>4990</v>
      </c>
      <c r="K46" s="1224">
        <f t="shared" si="11"/>
        <v>4990</v>
      </c>
    </row>
    <row r="47" spans="1:11" ht="4.9000000000000004" customHeight="1" x14ac:dyDescent="0.25">
      <c r="A47" s="693"/>
      <c r="B47" s="679"/>
      <c r="C47" s="694"/>
      <c r="D47" s="694"/>
      <c r="E47" s="695"/>
      <c r="F47" s="696"/>
      <c r="G47" s="694"/>
      <c r="H47" s="697"/>
      <c r="I47" s="698"/>
      <c r="J47" s="694"/>
      <c r="K47" s="695"/>
    </row>
    <row r="48" spans="1:11" ht="15.75" customHeight="1" x14ac:dyDescent="0.25">
      <c r="A48" s="54" t="s">
        <v>172</v>
      </c>
      <c r="B48" s="55">
        <v>7</v>
      </c>
      <c r="C48" s="76"/>
      <c r="D48" s="76"/>
      <c r="E48" s="699"/>
      <c r="F48" s="217"/>
      <c r="G48" s="76"/>
      <c r="H48" s="75"/>
      <c r="I48" s="79"/>
      <c r="J48" s="76"/>
      <c r="K48" s="77"/>
    </row>
    <row r="49" spans="1:11" ht="11.25" customHeight="1" x14ac:dyDescent="0.25">
      <c r="A49" s="63" t="s">
        <v>1162</v>
      </c>
      <c r="B49" s="55"/>
      <c r="C49" s="1228">
        <f>'SA9'!E263</f>
        <v>0</v>
      </c>
      <c r="D49" s="1228">
        <f>'SA9'!F263</f>
        <v>8036</v>
      </c>
      <c r="E49" s="1736">
        <f>'SA9'!G263</f>
        <v>7692</v>
      </c>
      <c r="F49" s="1232">
        <f>'SA9'!H263</f>
        <v>7692</v>
      </c>
      <c r="G49" s="1228">
        <f>'SA9'!I263</f>
        <v>7692</v>
      </c>
      <c r="H49" s="1736">
        <f>'SA9'!J263</f>
        <v>7692</v>
      </c>
      <c r="I49" s="1232">
        <f>'SA9'!K263</f>
        <v>7692</v>
      </c>
      <c r="J49" s="1228">
        <f>'SA9'!L263</f>
        <v>7692</v>
      </c>
      <c r="K49" s="1736">
        <f>'SA9'!M263</f>
        <v>7692</v>
      </c>
    </row>
    <row r="50" spans="1:11" ht="11.25" customHeight="1" x14ac:dyDescent="0.25">
      <c r="A50" s="63" t="s">
        <v>325</v>
      </c>
      <c r="B50" s="55"/>
      <c r="C50" s="1228">
        <f>'SA9'!E275</f>
        <v>0</v>
      </c>
      <c r="D50" s="1228">
        <f>'SA9'!F275</f>
        <v>6376</v>
      </c>
      <c r="E50" s="1736">
        <f>'SA9'!G275</f>
        <v>6610</v>
      </c>
      <c r="F50" s="1232">
        <f>'SA9'!H275</f>
        <v>6610</v>
      </c>
      <c r="G50" s="1228">
        <f>'SA9'!I275</f>
        <v>6610</v>
      </c>
      <c r="H50" s="1736">
        <f>'SA9'!J275</f>
        <v>6610</v>
      </c>
      <c r="I50" s="1232">
        <f>'SA9'!K275</f>
        <v>6610</v>
      </c>
      <c r="J50" s="1228">
        <f>'SA9'!L275</f>
        <v>6610</v>
      </c>
      <c r="K50" s="1736">
        <f>'SA9'!M275</f>
        <v>6610</v>
      </c>
    </row>
    <row r="51" spans="1:11" ht="11.25" customHeight="1" x14ac:dyDescent="0.25">
      <c r="A51" s="63" t="s">
        <v>1163</v>
      </c>
      <c r="B51" s="55"/>
      <c r="C51" s="1228">
        <f>'SA9'!E251</f>
        <v>0</v>
      </c>
      <c r="D51" s="1228">
        <f>'SA9'!F251</f>
        <v>3469</v>
      </c>
      <c r="E51" s="1736">
        <f>'SA9'!G251</f>
        <v>3469</v>
      </c>
      <c r="F51" s="1232">
        <f>'SA9'!H251</f>
        <v>3493</v>
      </c>
      <c r="G51" s="1228">
        <f>'SA9'!I251</f>
        <v>3493</v>
      </c>
      <c r="H51" s="1736">
        <f>'SA9'!J251</f>
        <v>3493</v>
      </c>
      <c r="I51" s="1232">
        <f>'SA9'!K251</f>
        <v>3493</v>
      </c>
      <c r="J51" s="1228">
        <f>'SA9'!L251</f>
        <v>3493</v>
      </c>
      <c r="K51" s="1736">
        <f>'SA9'!M251</f>
        <v>3493</v>
      </c>
    </row>
    <row r="52" spans="1:11" ht="11.25" customHeight="1" x14ac:dyDescent="0.25">
      <c r="A52" s="1729" t="s">
        <v>326</v>
      </c>
      <c r="B52" s="679"/>
      <c r="C52" s="1737">
        <f>'SA9'!E287</f>
        <v>0</v>
      </c>
      <c r="D52" s="1737">
        <f>'SA9'!F287</f>
        <v>6510</v>
      </c>
      <c r="E52" s="1738">
        <f>'SA9'!G287</f>
        <v>6732</v>
      </c>
      <c r="F52" s="1739">
        <f>'SA9'!H287</f>
        <v>6732</v>
      </c>
      <c r="G52" s="1737">
        <f>'SA9'!I287</f>
        <v>6732</v>
      </c>
      <c r="H52" s="1738">
        <f>'SA9'!J287</f>
        <v>6732</v>
      </c>
      <c r="I52" s="1739">
        <f>'SA9'!K287</f>
        <v>6732</v>
      </c>
      <c r="J52" s="1737">
        <f>'SA9'!L287</f>
        <v>6732</v>
      </c>
      <c r="K52" s="1738">
        <f>'SA9'!M287</f>
        <v>6732</v>
      </c>
    </row>
    <row r="53" spans="1:11" ht="4.5" customHeight="1" x14ac:dyDescent="0.25">
      <c r="A53" s="74"/>
      <c r="B53" s="55"/>
      <c r="C53" s="76"/>
      <c r="D53" s="76"/>
      <c r="E53" s="333"/>
      <c r="F53" s="79"/>
      <c r="G53" s="76"/>
      <c r="H53" s="75"/>
      <c r="I53" s="79"/>
      <c r="J53" s="76"/>
      <c r="K53" s="333"/>
    </row>
    <row r="54" spans="1:11" ht="11.25" customHeight="1" x14ac:dyDescent="0.25">
      <c r="A54" s="1743" t="s">
        <v>2068</v>
      </c>
      <c r="B54" s="55">
        <v>8</v>
      </c>
      <c r="C54" s="745"/>
      <c r="D54" s="745"/>
      <c r="E54" s="768"/>
      <c r="F54" s="769"/>
      <c r="G54" s="745"/>
      <c r="H54" s="770"/>
      <c r="I54" s="746"/>
      <c r="J54" s="745"/>
      <c r="K54" s="768"/>
    </row>
    <row r="55" spans="1:11" ht="11.25" customHeight="1" x14ac:dyDescent="0.25">
      <c r="A55" s="63" t="s">
        <v>2069</v>
      </c>
      <c r="B55" s="55"/>
      <c r="C55" s="76">
        <f>'SA1'!C20</f>
        <v>0</v>
      </c>
      <c r="D55" s="76">
        <f>'SA1'!D20</f>
        <v>5005682.03</v>
      </c>
      <c r="E55" s="77">
        <f>'SA1'!E20</f>
        <v>5565270.7999999998</v>
      </c>
      <c r="F55" s="78">
        <f>'SA1'!F20</f>
        <v>5968112</v>
      </c>
      <c r="G55" s="76">
        <f>'SA1'!G20</f>
        <v>2984056</v>
      </c>
      <c r="H55" s="75">
        <f>'SA1'!H20</f>
        <v>2984056</v>
      </c>
      <c r="I55" s="79">
        <f>'SA1'!J20</f>
        <v>5968112</v>
      </c>
      <c r="J55" s="76">
        <f>'SA1'!K20</f>
        <v>6326198.7200000007</v>
      </c>
      <c r="K55" s="77">
        <f>'SA1'!L20</f>
        <v>6705770.6432000007</v>
      </c>
    </row>
    <row r="56" spans="1:11" ht="11.25" customHeight="1" x14ac:dyDescent="0.25">
      <c r="A56" s="63" t="s">
        <v>2070</v>
      </c>
      <c r="B56" s="55"/>
      <c r="C56" s="76">
        <f>'SA1'!C26</f>
        <v>0</v>
      </c>
      <c r="D56" s="76">
        <f>'SA1'!D26</f>
        <v>4522917.1399999997</v>
      </c>
      <c r="E56" s="77">
        <f>'SA1'!E26</f>
        <v>5409756.79</v>
      </c>
      <c r="F56" s="78">
        <f>'SA1'!F26</f>
        <v>6032376</v>
      </c>
      <c r="G56" s="76">
        <f>'SA1'!G26</f>
        <v>6032376</v>
      </c>
      <c r="H56" s="75">
        <f>'SA1'!H26</f>
        <v>6032376</v>
      </c>
      <c r="I56" s="79">
        <f>'SA1'!J26</f>
        <v>6513672</v>
      </c>
      <c r="J56" s="76">
        <f>'SA1'!K26</f>
        <v>6904492.3200000003</v>
      </c>
      <c r="K56" s="77">
        <f>'SA1'!L26</f>
        <v>7318761.8592000008</v>
      </c>
    </row>
    <row r="57" spans="1:11" ht="11.25" customHeight="1" x14ac:dyDescent="0.25">
      <c r="A57" s="63" t="s">
        <v>2071</v>
      </c>
      <c r="B57" s="55"/>
      <c r="C57" s="76">
        <f>'SA1'!C14</f>
        <v>0</v>
      </c>
      <c r="D57" s="76">
        <f>'SA1'!D14</f>
        <v>3152779.58</v>
      </c>
      <c r="E57" s="77">
        <f>'SA1'!E14</f>
        <v>3090434</v>
      </c>
      <c r="F57" s="78">
        <f>'SA1'!F14</f>
        <v>3018956</v>
      </c>
      <c r="G57" s="76">
        <f>'SA1'!G14</f>
        <v>3018956</v>
      </c>
      <c r="H57" s="75">
        <f>'SA1'!H14</f>
        <v>3018956</v>
      </c>
      <c r="I57" s="79">
        <f>'SA1'!J14</f>
        <v>3029595</v>
      </c>
      <c r="J57" s="76">
        <f>'SA1'!K14</f>
        <v>3211370.7</v>
      </c>
      <c r="K57" s="77">
        <f>'SA1'!L14</f>
        <v>3404052.9420000003</v>
      </c>
    </row>
    <row r="58" spans="1:11" ht="11.25" customHeight="1" x14ac:dyDescent="0.25">
      <c r="A58" s="63" t="s">
        <v>2072</v>
      </c>
      <c r="B58" s="55"/>
      <c r="C58" s="76">
        <f>'SA1'!C33</f>
        <v>0</v>
      </c>
      <c r="D58" s="76">
        <f>'SA1'!D33</f>
        <v>3133427.25</v>
      </c>
      <c r="E58" s="77">
        <f>'SA1'!E33</f>
        <v>3992417.56</v>
      </c>
      <c r="F58" s="78">
        <f>'SA1'!F33</f>
        <v>6758112</v>
      </c>
      <c r="G58" s="76">
        <f>'SA1'!G33</f>
        <v>6758112</v>
      </c>
      <c r="H58" s="75">
        <f>'SA1'!H33</f>
        <v>6758112</v>
      </c>
      <c r="I58" s="79">
        <f>'SA1'!J33</f>
        <v>5184732</v>
      </c>
      <c r="J58" s="76">
        <f>'SA1'!K33</f>
        <v>5495815.9199999999</v>
      </c>
      <c r="K58" s="77">
        <f>'SA1'!L33</f>
        <v>5825564.8752000006</v>
      </c>
    </row>
    <row r="59" spans="1:11" ht="11.25" customHeight="1" x14ac:dyDescent="0.25">
      <c r="A59" s="1743" t="s">
        <v>2055</v>
      </c>
      <c r="B59" s="55"/>
      <c r="C59" s="76">
        <f>'SA9'!E260+'SA9'!E272+'SA9'!E284+'SA9'!E296</f>
        <v>0</v>
      </c>
      <c r="D59" s="76">
        <f>'SA9'!F260+'SA9'!F272+'SA9'!F284+'SA9'!F296</f>
        <v>0</v>
      </c>
      <c r="E59" s="77">
        <f>'SA9'!G260+'SA9'!G272+'SA9'!G284+'SA9'!G296</f>
        <v>0</v>
      </c>
      <c r="F59" s="78">
        <f>'SA9'!H260+'SA9'!H272+'SA9'!H284+'SA9'!H296</f>
        <v>0</v>
      </c>
      <c r="G59" s="76">
        <f>'SA9'!I260+'SA9'!I272+'SA9'!I284+'SA9'!I296</f>
        <v>0</v>
      </c>
      <c r="H59" s="75">
        <f>'SA9'!J260+'SA9'!J272+'SA9'!J284+'SA9'!J296</f>
        <v>0</v>
      </c>
      <c r="I59" s="79">
        <f>'SA9'!K260+'SA9'!K272+'SA9'!K284+'SA9'!K296</f>
        <v>0</v>
      </c>
      <c r="J59" s="76">
        <f>'SA9'!L260+'SA9'!L272+'SA9'!L284+'SA9'!L296</f>
        <v>0</v>
      </c>
      <c r="K59" s="77">
        <f>'SA9'!M260+'SA9'!M272+'SA9'!M284+'SA9'!M296</f>
        <v>0</v>
      </c>
    </row>
    <row r="60" spans="1:11" ht="11.25" customHeight="1" x14ac:dyDescent="0.25">
      <c r="A60" s="678" t="s">
        <v>2073</v>
      </c>
      <c r="B60" s="679"/>
      <c r="C60" s="122">
        <f t="shared" ref="C60:K60" si="12">SUM(C55:C59)</f>
        <v>0</v>
      </c>
      <c r="D60" s="122">
        <f t="shared" si="12"/>
        <v>15814806</v>
      </c>
      <c r="E60" s="123">
        <f t="shared" si="12"/>
        <v>18057879.149999999</v>
      </c>
      <c r="F60" s="124">
        <f t="shared" si="12"/>
        <v>21777556</v>
      </c>
      <c r="G60" s="122">
        <f t="shared" si="12"/>
        <v>18793500</v>
      </c>
      <c r="H60" s="121">
        <f t="shared" si="12"/>
        <v>18793500</v>
      </c>
      <c r="I60" s="125">
        <f t="shared" si="12"/>
        <v>20696111</v>
      </c>
      <c r="J60" s="122">
        <f t="shared" si="12"/>
        <v>21937877.660000004</v>
      </c>
      <c r="K60" s="123">
        <f t="shared" si="12"/>
        <v>23254150.319600001</v>
      </c>
    </row>
    <row r="61" spans="1:11" ht="3.75" customHeight="1" x14ac:dyDescent="0.25">
      <c r="A61" s="118"/>
      <c r="B61" s="55"/>
      <c r="C61" s="86"/>
      <c r="D61" s="86"/>
      <c r="E61" s="87"/>
      <c r="F61" s="88"/>
      <c r="G61" s="86"/>
      <c r="H61" s="85"/>
      <c r="I61" s="89"/>
      <c r="J61" s="86"/>
      <c r="K61" s="87"/>
    </row>
    <row r="62" spans="1:11" ht="11.25" customHeight="1" x14ac:dyDescent="0.25">
      <c r="A62" s="54" t="s">
        <v>2067</v>
      </c>
      <c r="B62" s="55"/>
      <c r="C62" s="76"/>
      <c r="D62" s="76"/>
      <c r="E62" s="77"/>
      <c r="F62" s="78"/>
      <c r="G62" s="76"/>
      <c r="H62" s="75"/>
      <c r="I62" s="79"/>
      <c r="J62" s="76"/>
      <c r="K62" s="77"/>
    </row>
    <row r="63" spans="1:11" ht="11.25" customHeight="1" x14ac:dyDescent="0.25">
      <c r="A63" s="63" t="s">
        <v>1683</v>
      </c>
      <c r="B63" s="55"/>
      <c r="C63" s="924"/>
      <c r="D63" s="924">
        <v>15000</v>
      </c>
      <c r="E63" s="925">
        <v>15000</v>
      </c>
      <c r="F63" s="1353">
        <v>15000</v>
      </c>
      <c r="G63" s="924">
        <v>15000</v>
      </c>
      <c r="H63" s="926">
        <v>15000</v>
      </c>
      <c r="I63" s="927">
        <v>15000</v>
      </c>
      <c r="J63" s="924">
        <v>15000</v>
      </c>
      <c r="K63" s="925">
        <v>15000</v>
      </c>
    </row>
    <row r="64" spans="1:11" ht="11.25" customHeight="1" x14ac:dyDescent="0.25">
      <c r="A64" s="63" t="s">
        <v>1250</v>
      </c>
      <c r="B64" s="55"/>
      <c r="C64" s="924"/>
      <c r="D64" s="1354">
        <v>6</v>
      </c>
      <c r="E64" s="1355">
        <v>6</v>
      </c>
      <c r="F64" s="1353">
        <v>6</v>
      </c>
      <c r="G64" s="1353">
        <v>6</v>
      </c>
      <c r="H64" s="1353">
        <v>6</v>
      </c>
      <c r="I64" s="1353">
        <v>6</v>
      </c>
      <c r="J64" s="1353">
        <v>6</v>
      </c>
      <c r="K64" s="1353">
        <v>6</v>
      </c>
    </row>
    <row r="65" spans="1:11" ht="11.25" customHeight="1" x14ac:dyDescent="0.25">
      <c r="A65" s="63" t="s">
        <v>1251</v>
      </c>
      <c r="B65" s="55"/>
      <c r="C65" s="924"/>
      <c r="D65" s="924"/>
      <c r="E65" s="925"/>
      <c r="F65" s="1353"/>
      <c r="G65" s="1353"/>
      <c r="H65" s="1353"/>
      <c r="I65" s="927"/>
      <c r="J65" s="924"/>
      <c r="K65" s="925"/>
    </row>
    <row r="66" spans="1:11" ht="11.25" customHeight="1" x14ac:dyDescent="0.25">
      <c r="A66" s="63" t="s">
        <v>593</v>
      </c>
      <c r="B66" s="55"/>
      <c r="C66" s="924"/>
      <c r="D66" s="924">
        <v>83.93</v>
      </c>
      <c r="E66" s="925">
        <v>89</v>
      </c>
      <c r="F66" s="1353">
        <v>94.660650000000018</v>
      </c>
      <c r="G66" s="1353">
        <v>94.660650000000018</v>
      </c>
      <c r="H66" s="1353">
        <v>94.660650000000018</v>
      </c>
      <c r="I66" s="927">
        <f>H66*1.06</f>
        <v>100.34028900000003</v>
      </c>
      <c r="J66" s="924">
        <f>I66*1.06</f>
        <v>106.36070634000004</v>
      </c>
      <c r="K66" s="925">
        <f>J66*1.06</f>
        <v>112.74234872040005</v>
      </c>
    </row>
    <row r="67" spans="1:11" ht="11.25" customHeight="1" x14ac:dyDescent="0.25">
      <c r="A67" s="63" t="s">
        <v>327</v>
      </c>
      <c r="B67" s="55"/>
      <c r="C67" s="924"/>
      <c r="D67" s="1354">
        <v>50</v>
      </c>
      <c r="E67" s="1355">
        <v>50</v>
      </c>
      <c r="F67" s="1353">
        <v>50</v>
      </c>
      <c r="G67" s="1353">
        <v>50</v>
      </c>
      <c r="H67" s="1353">
        <v>50</v>
      </c>
      <c r="I67" s="1353">
        <v>50</v>
      </c>
      <c r="J67" s="1353">
        <v>50</v>
      </c>
      <c r="K67" s="1353">
        <v>50</v>
      </c>
    </row>
    <row r="68" spans="1:11" ht="11.25" customHeight="1" x14ac:dyDescent="0.25">
      <c r="A68" s="1730" t="s">
        <v>596</v>
      </c>
      <c r="B68" s="679"/>
      <c r="C68" s="928"/>
      <c r="D68" s="928">
        <v>53.77</v>
      </c>
      <c r="E68" s="929">
        <v>57</v>
      </c>
      <c r="F68" s="1357">
        <v>82.818000000000012</v>
      </c>
      <c r="G68" s="1357">
        <v>82.818000000000012</v>
      </c>
      <c r="H68" s="1357">
        <v>82.818000000000012</v>
      </c>
      <c r="I68" s="930">
        <v>119</v>
      </c>
      <c r="J68" s="928">
        <f>I68*1.06</f>
        <v>126.14</v>
      </c>
      <c r="K68" s="929">
        <f>J68*1.06</f>
        <v>133.70840000000001</v>
      </c>
    </row>
    <row r="69" spans="1:11" ht="15.75" customHeight="1" x14ac:dyDescent="0.25">
      <c r="A69" s="54" t="s">
        <v>2074</v>
      </c>
      <c r="B69" s="55">
        <v>9</v>
      </c>
      <c r="C69" s="76"/>
      <c r="D69" s="76"/>
      <c r="E69" s="77"/>
      <c r="F69" s="78"/>
      <c r="G69" s="76"/>
      <c r="H69" s="75"/>
      <c r="I69" s="79"/>
      <c r="J69" s="76"/>
      <c r="K69" s="77"/>
    </row>
    <row r="70" spans="1:11" ht="25.5" x14ac:dyDescent="0.25">
      <c r="A70" s="146" t="s">
        <v>2079</v>
      </c>
      <c r="B70" s="55"/>
      <c r="C70" s="1316"/>
      <c r="D70" s="1316"/>
      <c r="E70" s="1325"/>
      <c r="F70" s="1326"/>
      <c r="G70" s="1316"/>
      <c r="H70" s="1327"/>
      <c r="I70" s="1318"/>
      <c r="J70" s="1316"/>
      <c r="K70" s="1325"/>
    </row>
    <row r="71" spans="1:11" ht="24" customHeight="1" x14ac:dyDescent="0.25">
      <c r="A71" s="146" t="s">
        <v>2080</v>
      </c>
      <c r="B71" s="55"/>
      <c r="C71" s="76">
        <f>'SA1'!C8</f>
        <v>0</v>
      </c>
      <c r="D71" s="76">
        <f>'SA1'!D8</f>
        <v>0</v>
      </c>
      <c r="E71" s="77">
        <f>'SA1'!E8</f>
        <v>0</v>
      </c>
      <c r="F71" s="78">
        <f>'SA1'!F8</f>
        <v>5133011</v>
      </c>
      <c r="G71" s="76">
        <f>'SA1'!G8</f>
        <v>8769190</v>
      </c>
      <c r="H71" s="75">
        <f>'SA1'!H8</f>
        <v>8769190</v>
      </c>
      <c r="I71" s="79">
        <f>'SA1'!J8</f>
        <v>4390400</v>
      </c>
      <c r="J71" s="76">
        <f>'SA1'!K8</f>
        <v>4653824</v>
      </c>
      <c r="K71" s="77">
        <f>'SA1'!L8</f>
        <v>4933053.4400000004</v>
      </c>
    </row>
    <row r="72" spans="1:11" ht="11.25" customHeight="1" x14ac:dyDescent="0.25">
      <c r="A72" s="63" t="s">
        <v>2075</v>
      </c>
      <c r="B72" s="55"/>
      <c r="C72" s="76">
        <f>'SA1'!C19</f>
        <v>0</v>
      </c>
      <c r="D72" s="76">
        <f>'SA1'!D19</f>
        <v>0</v>
      </c>
      <c r="E72" s="77">
        <f>'SA1'!E19</f>
        <v>0</v>
      </c>
      <c r="F72" s="78">
        <f>'SA1'!F19</f>
        <v>0</v>
      </c>
      <c r="G72" s="76">
        <f>'SA1'!G19</f>
        <v>0</v>
      </c>
      <c r="H72" s="75">
        <f>'SA1'!H19</f>
        <v>0</v>
      </c>
      <c r="I72" s="79">
        <f>'SA1'!J19</f>
        <v>0</v>
      </c>
      <c r="J72" s="76">
        <f>'SA1'!K19</f>
        <v>0</v>
      </c>
      <c r="K72" s="77">
        <f>'SA1'!L19</f>
        <v>0</v>
      </c>
    </row>
    <row r="73" spans="1:11" ht="11.25" customHeight="1" x14ac:dyDescent="0.25">
      <c r="A73" s="63" t="s">
        <v>2076</v>
      </c>
      <c r="B73" s="55"/>
      <c r="C73" s="76">
        <f>'SA1'!C25</f>
        <v>0</v>
      </c>
      <c r="D73" s="76">
        <f>'SA1'!D25</f>
        <v>0</v>
      </c>
      <c r="E73" s="77">
        <f>'SA1'!E25</f>
        <v>0</v>
      </c>
      <c r="F73" s="78">
        <f>'SA1'!F25</f>
        <v>0</v>
      </c>
      <c r="G73" s="76">
        <f>'SA1'!G25</f>
        <v>0</v>
      </c>
      <c r="H73" s="75">
        <f>'SA1'!H25</f>
        <v>0</v>
      </c>
      <c r="I73" s="79">
        <f>'SA1'!J25</f>
        <v>0</v>
      </c>
      <c r="J73" s="76">
        <f>'SA1'!K25</f>
        <v>0</v>
      </c>
      <c r="K73" s="77">
        <f>'SA1'!L25</f>
        <v>0</v>
      </c>
    </row>
    <row r="74" spans="1:11" ht="11.25" customHeight="1" x14ac:dyDescent="0.25">
      <c r="A74" s="63" t="s">
        <v>2077</v>
      </c>
      <c r="B74" s="55"/>
      <c r="C74" s="76">
        <f>'SA1'!C13</f>
        <v>0</v>
      </c>
      <c r="D74" s="76">
        <f>'SA1'!D13</f>
        <v>0</v>
      </c>
      <c r="E74" s="77">
        <f>'SA1'!E13</f>
        <v>0</v>
      </c>
      <c r="F74" s="78">
        <f>'SA1'!F13</f>
        <v>0</v>
      </c>
      <c r="G74" s="76">
        <f>'SA1'!G13</f>
        <v>0</v>
      </c>
      <c r="H74" s="75">
        <f>'SA1'!H13</f>
        <v>0</v>
      </c>
      <c r="I74" s="79">
        <f>'SA1'!J13</f>
        <v>0</v>
      </c>
      <c r="J74" s="76">
        <f>'SA1'!K13</f>
        <v>0</v>
      </c>
      <c r="K74" s="77">
        <f>'SA1'!L13</f>
        <v>0</v>
      </c>
    </row>
    <row r="75" spans="1:11" ht="11.25" customHeight="1" x14ac:dyDescent="0.25">
      <c r="A75" s="63" t="s">
        <v>2078</v>
      </c>
      <c r="B75" s="55"/>
      <c r="C75" s="76">
        <f>'SA1'!C32</f>
        <v>0</v>
      </c>
      <c r="D75" s="76">
        <f>'SA1'!D32</f>
        <v>0</v>
      </c>
      <c r="E75" s="77">
        <f>'SA1'!E32</f>
        <v>0</v>
      </c>
      <c r="F75" s="78">
        <f>'SA1'!F32</f>
        <v>0</v>
      </c>
      <c r="G75" s="76">
        <f>'SA1'!G32</f>
        <v>0</v>
      </c>
      <c r="H75" s="75">
        <f>'SA1'!H32</f>
        <v>0</v>
      </c>
      <c r="I75" s="79">
        <f>'SA1'!J32</f>
        <v>0</v>
      </c>
      <c r="J75" s="76">
        <f>'SA1'!K32</f>
        <v>0</v>
      </c>
      <c r="K75" s="77">
        <f>'SA1'!L32</f>
        <v>0</v>
      </c>
    </row>
    <row r="76" spans="1:11" ht="11.25" customHeight="1" x14ac:dyDescent="0.25">
      <c r="A76" s="63" t="s">
        <v>328</v>
      </c>
      <c r="B76" s="55"/>
      <c r="C76" s="1316"/>
      <c r="D76" s="1316"/>
      <c r="E76" s="1325"/>
      <c r="F76" s="1326"/>
      <c r="G76" s="1316"/>
      <c r="H76" s="1327"/>
      <c r="I76" s="1318"/>
      <c r="J76" s="1316"/>
      <c r="K76" s="1325"/>
    </row>
    <row r="77" spans="1:11" ht="11.25" customHeight="1" x14ac:dyDescent="0.25">
      <c r="A77" s="63" t="s">
        <v>329</v>
      </c>
      <c r="B77" s="55">
        <v>6</v>
      </c>
      <c r="C77" s="1316"/>
      <c r="D77" s="1316"/>
      <c r="E77" s="1325"/>
      <c r="F77" s="1326"/>
      <c r="G77" s="1316"/>
      <c r="H77" s="1327"/>
      <c r="I77" s="1318"/>
      <c r="J77" s="1316"/>
      <c r="K77" s="1325"/>
    </row>
    <row r="78" spans="1:11" ht="11.25" customHeight="1" x14ac:dyDescent="0.25">
      <c r="A78" s="63" t="s">
        <v>246</v>
      </c>
      <c r="B78" s="55"/>
      <c r="C78" s="1316"/>
      <c r="D78" s="1316"/>
      <c r="E78" s="1325"/>
      <c r="F78" s="1326"/>
      <c r="G78" s="1316"/>
      <c r="H78" s="1327"/>
      <c r="I78" s="1318"/>
      <c r="J78" s="1316"/>
      <c r="K78" s="1325"/>
    </row>
    <row r="79" spans="1:11" x14ac:dyDescent="0.25">
      <c r="A79" s="830" t="s">
        <v>2081</v>
      </c>
      <c r="B79" s="179"/>
      <c r="C79" s="95">
        <f>SUM(C70:C78)</f>
        <v>0</v>
      </c>
      <c r="D79" s="95">
        <f t="shared" ref="D79:I79" si="13">SUM(D70:D78)</f>
        <v>0</v>
      </c>
      <c r="E79" s="96">
        <f t="shared" si="13"/>
        <v>0</v>
      </c>
      <c r="F79" s="97">
        <f t="shared" si="13"/>
        <v>5133011</v>
      </c>
      <c r="G79" s="95">
        <f t="shared" si="13"/>
        <v>8769190</v>
      </c>
      <c r="H79" s="94">
        <f t="shared" si="13"/>
        <v>8769190</v>
      </c>
      <c r="I79" s="98">
        <f t="shared" si="13"/>
        <v>4390400</v>
      </c>
      <c r="J79" s="95">
        <f>SUM(J70:J78)</f>
        <v>4653824</v>
      </c>
      <c r="K79" s="96">
        <f>SUM(K70:K78)</f>
        <v>4933053.4400000004</v>
      </c>
    </row>
    <row r="80" spans="1:11" ht="11.25" customHeight="1" x14ac:dyDescent="0.25">
      <c r="A80" s="101" t="str">
        <f>head27a</f>
        <v>References</v>
      </c>
      <c r="B80" s="25"/>
    </row>
    <row r="81" spans="1:11" ht="11.25" customHeight="1" x14ac:dyDescent="0.25">
      <c r="A81" s="132" t="s">
        <v>442</v>
      </c>
      <c r="B81" s="25"/>
    </row>
    <row r="82" spans="1:11" ht="11.25" customHeight="1" x14ac:dyDescent="0.25">
      <c r="A82" s="132" t="s">
        <v>443</v>
      </c>
      <c r="B82" s="25"/>
    </row>
    <row r="83" spans="1:11" ht="11.25" customHeight="1" x14ac:dyDescent="0.25">
      <c r="A83" s="132" t="s">
        <v>444</v>
      </c>
      <c r="B83" s="25"/>
    </row>
    <row r="84" spans="1:11" ht="11.25" customHeight="1" x14ac:dyDescent="0.25">
      <c r="A84" s="132" t="s">
        <v>445</v>
      </c>
      <c r="B84" s="25"/>
    </row>
    <row r="85" spans="1:11" ht="11.25" customHeight="1" x14ac:dyDescent="0.25">
      <c r="A85" s="132" t="s">
        <v>2047</v>
      </c>
      <c r="B85" s="25"/>
    </row>
    <row r="86" spans="1:11" ht="11.25" customHeight="1" x14ac:dyDescent="0.25">
      <c r="A86" s="132" t="s">
        <v>446</v>
      </c>
      <c r="B86" s="25"/>
    </row>
    <row r="87" spans="1:11" ht="11.25" customHeight="1" x14ac:dyDescent="0.25">
      <c r="A87" s="132" t="s">
        <v>2046</v>
      </c>
      <c r="B87" s="25"/>
    </row>
    <row r="88" spans="1:11" ht="11.25" customHeight="1" x14ac:dyDescent="0.25">
      <c r="A88" s="132" t="s">
        <v>712</v>
      </c>
      <c r="B88" s="25"/>
    </row>
    <row r="89" spans="1:11" ht="11.25" customHeight="1" x14ac:dyDescent="0.25">
      <c r="A89" s="132" t="s">
        <v>1373</v>
      </c>
      <c r="B89" s="132"/>
    </row>
    <row r="90" spans="1:11" ht="11.25" customHeight="1" x14ac:dyDescent="0.25">
      <c r="B90" s="25"/>
    </row>
    <row r="91" spans="1:11" ht="11.25" customHeight="1" x14ac:dyDescent="0.25">
      <c r="B91" s="25"/>
    </row>
    <row r="92" spans="1:11" ht="11.25" customHeight="1" x14ac:dyDescent="0.25">
      <c r="A92" s="704"/>
      <c r="B92" s="25"/>
    </row>
    <row r="93" spans="1:11" ht="11.25" customHeight="1" x14ac:dyDescent="0.25">
      <c r="A93" s="1237"/>
      <c r="B93" s="25"/>
      <c r="C93" s="1231"/>
      <c r="D93" s="1231"/>
      <c r="E93" s="1231"/>
      <c r="F93" s="1231"/>
      <c r="G93" s="1231"/>
      <c r="H93" s="1231"/>
      <c r="I93" s="1231"/>
      <c r="J93" s="1231"/>
      <c r="K93" s="1231"/>
    </row>
    <row r="94" spans="1:11" ht="11.25" customHeight="1" x14ac:dyDescent="0.25">
      <c r="A94" s="1237"/>
      <c r="B94" s="25"/>
      <c r="C94" s="1231"/>
      <c r="D94" s="1231"/>
      <c r="E94" s="1231"/>
      <c r="F94" s="1231"/>
      <c r="G94" s="1231"/>
      <c r="H94" s="1231"/>
      <c r="I94" s="1231"/>
      <c r="J94" s="1231"/>
      <c r="K94" s="1231"/>
    </row>
    <row r="95" spans="1:11" ht="11.25" customHeight="1" x14ac:dyDescent="0.25">
      <c r="A95" s="1237"/>
      <c r="B95" s="25"/>
      <c r="C95" s="1231"/>
      <c r="D95" s="1231"/>
      <c r="E95" s="1231"/>
      <c r="F95" s="1231"/>
      <c r="G95" s="1231"/>
      <c r="H95" s="1231"/>
      <c r="I95" s="1231"/>
      <c r="J95" s="1231"/>
      <c r="K95" s="1231"/>
    </row>
    <row r="96" spans="1:11" ht="11.25" customHeight="1" x14ac:dyDescent="0.25">
      <c r="A96" s="1237"/>
      <c r="B96" s="25"/>
      <c r="C96" s="1231"/>
      <c r="D96" s="1231"/>
      <c r="E96" s="1231"/>
      <c r="F96" s="1231"/>
      <c r="G96" s="1231"/>
      <c r="H96" s="1231"/>
      <c r="I96" s="1231"/>
      <c r="J96" s="1231"/>
      <c r="K96" s="1231"/>
    </row>
    <row r="97" spans="2:2" ht="11.25" customHeight="1" x14ac:dyDescent="0.25">
      <c r="B97" s="25"/>
    </row>
    <row r="98" spans="2:2" ht="11.25" customHeight="1" x14ac:dyDescent="0.25">
      <c r="B98" s="25"/>
    </row>
    <row r="99" spans="2:2" ht="11.25" customHeight="1" x14ac:dyDescent="0.25">
      <c r="B99" s="25"/>
    </row>
    <row r="100" spans="2:2" ht="11.25" customHeight="1" x14ac:dyDescent="0.25">
      <c r="B100" s="25"/>
    </row>
    <row r="101" spans="2:2" ht="11.25" customHeight="1" x14ac:dyDescent="0.25">
      <c r="B101" s="25"/>
    </row>
    <row r="102" spans="2:2" ht="11.25" customHeight="1" x14ac:dyDescent="0.25">
      <c r="B102" s="25"/>
    </row>
    <row r="103" spans="2:2" ht="11.25" customHeight="1" x14ac:dyDescent="0.25">
      <c r="B103" s="25"/>
    </row>
    <row r="104" spans="2:2" ht="11.25" customHeight="1" x14ac:dyDescent="0.25">
      <c r="B104" s="25"/>
    </row>
    <row r="105" spans="2:2" ht="11.25" customHeight="1" x14ac:dyDescent="0.25">
      <c r="B105" s="25"/>
    </row>
    <row r="106" spans="2:2" ht="11.25" customHeight="1" x14ac:dyDescent="0.25">
      <c r="B106" s="25"/>
    </row>
    <row r="107" spans="2:2" ht="11.25" customHeight="1" x14ac:dyDescent="0.25">
      <c r="B107" s="25"/>
    </row>
    <row r="108" spans="2:2" ht="11.25" customHeight="1" x14ac:dyDescent="0.25">
      <c r="B108" s="25"/>
    </row>
    <row r="109" spans="2:2" ht="11.25" customHeight="1" x14ac:dyDescent="0.25">
      <c r="B109" s="25"/>
    </row>
    <row r="110" spans="2:2" ht="11.25" customHeight="1" x14ac:dyDescent="0.25">
      <c r="B110" s="25"/>
    </row>
    <row r="111" spans="2:2" ht="11.25" customHeight="1" x14ac:dyDescent="0.25">
      <c r="B111" s="25"/>
    </row>
    <row r="112" spans="2:2" ht="11.25" customHeight="1" x14ac:dyDescent="0.25">
      <c r="B112" s="25"/>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mergeCells count="4">
    <mergeCell ref="F2:H2"/>
    <mergeCell ref="I2:K2"/>
    <mergeCell ref="A2:A3"/>
    <mergeCell ref="B2:B3"/>
  </mergeCells>
  <phoneticPr fontId="3" type="noConversion"/>
  <dataValidations count="1">
    <dataValidation type="decimal" allowBlank="1" showInputMessage="1" showErrorMessage="1" sqref="C70:K78 C6:K9 C11:K13 C17:K21 C23:K25 C29:K30 C38:K38 C32:K34 C49:K52 C54:K59 C40:K44 C63:K68" xr:uid="{00000000-0002-0000-1300-000000000000}">
      <formula1>-9999999999999990000</formula1>
      <formula2>99999999999999900000</formula2>
    </dataValidation>
  </dataValidations>
  <printOptions horizontalCentered="1"/>
  <pageMargins left="0" right="0" top="0.78740157480314965" bottom="0.59055118110236227" header="0.51181102362204722" footer="0.39370078740157483"/>
  <pageSetup paperSize="9" scale="70" fitToHeight="2" orientation="portrait"/>
  <headerFooter alignWithMargins="0"/>
  <ignoredErrors>
    <ignoredError sqref="C58:H58 C71:H71 C75:H75 C59:K59 C49:K52 C55:H55 C56:H56 C57:H57 C72:H72 C73:H73 C74:H74"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1"/>
  <dimension ref="D2:AC288"/>
  <sheetViews>
    <sheetView showGridLines="0" topLeftCell="A4" zoomScaleNormal="100" zoomScaleSheetLayoutView="90" workbookViewId="0">
      <selection activeCell="Z3" sqref="Z3"/>
    </sheetView>
  </sheetViews>
  <sheetFormatPr defaultColWidth="8.7109375" defaultRowHeight="12.75" x14ac:dyDescent="0.2"/>
  <cols>
    <col min="1" max="18" width="8.7109375" customWidth="1"/>
    <col min="19" max="21" width="9.140625" customWidth="1"/>
    <col min="22" max="22" width="17.7109375" customWidth="1"/>
    <col min="23" max="23" width="18.42578125" style="868" customWidth="1"/>
    <col min="24" max="24" width="9.42578125" style="868" customWidth="1"/>
    <col min="25" max="25" width="12.7109375" style="868" customWidth="1"/>
    <col min="26" max="26" width="9.140625" customWidth="1"/>
    <col min="27" max="27" width="13" customWidth="1"/>
    <col min="28" max="28" width="24.7109375" customWidth="1"/>
    <col min="29" max="36" width="9.140625" customWidth="1"/>
  </cols>
  <sheetData>
    <row r="2" spans="4:29" x14ac:dyDescent="0.2">
      <c r="D2">
        <v>2020</v>
      </c>
    </row>
    <row r="4" spans="4:29" x14ac:dyDescent="0.2">
      <c r="X4" t="s">
        <v>365</v>
      </c>
    </row>
    <row r="5" spans="4:29" x14ac:dyDescent="0.2">
      <c r="X5" t="s">
        <v>717</v>
      </c>
    </row>
    <row r="6" spans="4:29" x14ac:dyDescent="0.2">
      <c r="AB6" s="871"/>
      <c r="AC6" s="835"/>
    </row>
    <row r="7" spans="4:29" x14ac:dyDescent="0.2">
      <c r="W7" t="s">
        <v>771</v>
      </c>
      <c r="AB7" s="871"/>
      <c r="AC7" s="837"/>
    </row>
    <row r="8" spans="4:29" x14ac:dyDescent="0.2">
      <c r="X8" t="s">
        <v>232</v>
      </c>
      <c r="AB8" s="871"/>
      <c r="AC8" s="835"/>
    </row>
    <row r="9" spans="4:29" x14ac:dyDescent="0.2">
      <c r="X9" t="s">
        <v>1586</v>
      </c>
      <c r="AB9" s="871"/>
      <c r="AC9" s="835"/>
    </row>
    <row r="10" spans="4:29" x14ac:dyDescent="0.2">
      <c r="AB10" s="871"/>
      <c r="AC10" s="835"/>
    </row>
    <row r="11" spans="4:29" x14ac:dyDescent="0.2">
      <c r="AB11" s="871"/>
      <c r="AC11" s="835"/>
    </row>
    <row r="12" spans="4:29" x14ac:dyDescent="0.2">
      <c r="AB12" s="871"/>
      <c r="AC12" s="835"/>
    </row>
    <row r="13" spans="4:29" x14ac:dyDescent="0.2">
      <c r="AB13" s="871"/>
      <c r="AC13" s="837"/>
    </row>
    <row r="14" spans="4:29" x14ac:dyDescent="0.2">
      <c r="AB14" s="871"/>
      <c r="AC14" s="835"/>
    </row>
    <row r="15" spans="4:29" x14ac:dyDescent="0.2">
      <c r="AB15" s="871"/>
      <c r="AC15" s="832"/>
    </row>
    <row r="16" spans="4:29" x14ac:dyDescent="0.2">
      <c r="AB16" s="871"/>
      <c r="AC16" s="832"/>
    </row>
    <row r="17" spans="23:29" x14ac:dyDescent="0.2">
      <c r="W17" t="s">
        <v>770</v>
      </c>
      <c r="X17">
        <v>2008</v>
      </c>
      <c r="AB17" s="871"/>
      <c r="AC17" s="832"/>
    </row>
    <row r="18" spans="23:29" x14ac:dyDescent="0.2">
      <c r="X18">
        <v>2009</v>
      </c>
      <c r="AB18" s="871"/>
      <c r="AC18" s="832"/>
    </row>
    <row r="19" spans="23:29" x14ac:dyDescent="0.2">
      <c r="X19">
        <v>2010</v>
      </c>
      <c r="AB19" s="871"/>
      <c r="AC19" s="832"/>
    </row>
    <row r="20" spans="23:29" x14ac:dyDescent="0.2">
      <c r="X20">
        <v>2011</v>
      </c>
      <c r="AB20" s="871"/>
      <c r="AC20" s="832"/>
    </row>
    <row r="21" spans="23:29" x14ac:dyDescent="0.2">
      <c r="X21">
        <v>2012</v>
      </c>
      <c r="AB21" s="871"/>
      <c r="AC21" s="832"/>
    </row>
    <row r="22" spans="23:29" x14ac:dyDescent="0.2">
      <c r="X22">
        <v>2013</v>
      </c>
      <c r="AB22" s="871"/>
      <c r="AC22" s="832"/>
    </row>
    <row r="23" spans="23:29" x14ac:dyDescent="0.2">
      <c r="X23">
        <v>2014</v>
      </c>
      <c r="AB23" s="871"/>
      <c r="AC23" s="832"/>
    </row>
    <row r="24" spans="23:29" x14ac:dyDescent="0.2">
      <c r="X24">
        <v>2015</v>
      </c>
      <c r="AB24" s="871"/>
      <c r="AC24" s="832"/>
    </row>
    <row r="25" spans="23:29" x14ac:dyDescent="0.2">
      <c r="X25">
        <v>2016</v>
      </c>
      <c r="AB25" s="871"/>
      <c r="AC25" s="832"/>
    </row>
    <row r="26" spans="23:29" x14ac:dyDescent="0.2">
      <c r="X26">
        <v>2017</v>
      </c>
      <c r="AB26" s="871"/>
      <c r="AC26" s="832"/>
    </row>
    <row r="27" spans="23:29" x14ac:dyDescent="0.2">
      <c r="X27">
        <v>2018</v>
      </c>
      <c r="AB27" s="871"/>
      <c r="AC27" s="832"/>
    </row>
    <row r="28" spans="23:29" x14ac:dyDescent="0.2">
      <c r="X28">
        <v>2019</v>
      </c>
      <c r="AB28" s="871"/>
      <c r="AC28" s="832"/>
    </row>
    <row r="29" spans="23:29" x14ac:dyDescent="0.2">
      <c r="X29">
        <v>2020</v>
      </c>
      <c r="AB29" s="871"/>
      <c r="AC29" s="832"/>
    </row>
    <row r="30" spans="23:29" x14ac:dyDescent="0.2">
      <c r="X30">
        <v>2021</v>
      </c>
      <c r="AB30" s="871"/>
      <c r="AC30" s="832"/>
    </row>
    <row r="31" spans="23:29" x14ac:dyDescent="0.2">
      <c r="X31">
        <v>2022</v>
      </c>
      <c r="AB31" s="871"/>
      <c r="AC31" s="832"/>
    </row>
    <row r="32" spans="23:29" x14ac:dyDescent="0.2">
      <c r="AB32" s="871"/>
      <c r="AC32" s="832"/>
    </row>
    <row r="33" spans="15:29" x14ac:dyDescent="0.2">
      <c r="W33" t="s">
        <v>1587</v>
      </c>
      <c r="X33" s="868">
        <v>12</v>
      </c>
      <c r="AB33" s="871"/>
      <c r="AC33" s="835"/>
    </row>
    <row r="34" spans="15:29" x14ac:dyDescent="0.2">
      <c r="W34" t="s">
        <v>1585</v>
      </c>
      <c r="X34" s="832">
        <f>INDEX(X17:X31,X33,1)</f>
        <v>2019</v>
      </c>
      <c r="AB34" s="871"/>
    </row>
    <row r="35" spans="15:29" x14ac:dyDescent="0.2">
      <c r="AB35" s="871"/>
    </row>
    <row r="36" spans="15:29" x14ac:dyDescent="0.2">
      <c r="W36" t="s">
        <v>1588</v>
      </c>
      <c r="X36" s="869" t="str">
        <f>MTREF&amp;"/"&amp;RIGHT(MTREF,2)+1</f>
        <v>2019/20</v>
      </c>
      <c r="AB36" s="871"/>
      <c r="AC36" s="832"/>
    </row>
    <row r="37" spans="15:29" x14ac:dyDescent="0.2">
      <c r="O37" s="1006"/>
      <c r="AB37" s="871"/>
      <c r="AC37" s="832"/>
    </row>
    <row r="38" spans="15:29" x14ac:dyDescent="0.2">
      <c r="O38" s="1006"/>
      <c r="AB38" s="871"/>
      <c r="AC38" s="832"/>
    </row>
    <row r="39" spans="15:29" x14ac:dyDescent="0.2">
      <c r="O39" s="1006"/>
      <c r="AB39" s="871"/>
      <c r="AC39" s="832"/>
    </row>
    <row r="40" spans="15:29" x14ac:dyDescent="0.2">
      <c r="O40" s="1007"/>
      <c r="AB40" s="871"/>
      <c r="AC40" s="832"/>
    </row>
    <row r="41" spans="15:29" x14ac:dyDescent="0.2">
      <c r="AB41" s="871"/>
      <c r="AC41" s="832"/>
    </row>
    <row r="42" spans="15:29" x14ac:dyDescent="0.2">
      <c r="AB42" s="871"/>
      <c r="AC42" s="832"/>
    </row>
    <row r="43" spans="15:29" x14ac:dyDescent="0.2">
      <c r="AB43" s="871"/>
      <c r="AC43" s="832"/>
    </row>
    <row r="44" spans="15:29" x14ac:dyDescent="0.2">
      <c r="AB44" s="871"/>
      <c r="AC44" s="832"/>
    </row>
    <row r="45" spans="15:29" x14ac:dyDescent="0.2">
      <c r="AB45" s="871"/>
      <c r="AC45" s="832"/>
    </row>
    <row r="46" spans="15:29" x14ac:dyDescent="0.2">
      <c r="AB46" s="871"/>
      <c r="AC46" s="832"/>
    </row>
    <row r="47" spans="15:29" x14ac:dyDescent="0.2">
      <c r="AB47" s="871"/>
      <c r="AC47" s="832"/>
    </row>
    <row r="48" spans="15:29" x14ac:dyDescent="0.2">
      <c r="AB48" s="871"/>
      <c r="AC48" s="832"/>
    </row>
    <row r="49" spans="28:29" x14ac:dyDescent="0.2">
      <c r="AB49" s="871"/>
      <c r="AC49" s="832"/>
    </row>
    <row r="50" spans="28:29" x14ac:dyDescent="0.2">
      <c r="AB50" s="871"/>
      <c r="AC50" s="832"/>
    </row>
    <row r="51" spans="28:29" x14ac:dyDescent="0.2">
      <c r="AB51" s="871"/>
      <c r="AC51" s="832"/>
    </row>
    <row r="52" spans="28:29" x14ac:dyDescent="0.2">
      <c r="AB52" s="871"/>
      <c r="AC52" s="832"/>
    </row>
    <row r="53" spans="28:29" x14ac:dyDescent="0.2">
      <c r="AB53" s="871"/>
      <c r="AC53" s="832"/>
    </row>
    <row r="54" spans="28:29" x14ac:dyDescent="0.2">
      <c r="AB54" s="871"/>
      <c r="AC54" s="832"/>
    </row>
    <row r="55" spans="28:29" x14ac:dyDescent="0.2">
      <c r="AB55" s="871"/>
      <c r="AC55" s="832"/>
    </row>
    <row r="56" spans="28:29" x14ac:dyDescent="0.2">
      <c r="AB56" s="871"/>
      <c r="AC56" s="832"/>
    </row>
    <row r="57" spans="28:29" x14ac:dyDescent="0.2">
      <c r="AB57" s="871"/>
      <c r="AC57" s="832"/>
    </row>
    <row r="58" spans="28:29" x14ac:dyDescent="0.2">
      <c r="AB58" s="871"/>
      <c r="AC58" s="832"/>
    </row>
    <row r="59" spans="28:29" x14ac:dyDescent="0.2">
      <c r="AB59" s="871"/>
      <c r="AC59" s="832"/>
    </row>
    <row r="60" spans="28:29" x14ac:dyDescent="0.2">
      <c r="AB60" s="871"/>
      <c r="AC60" s="832"/>
    </row>
    <row r="61" spans="28:29" x14ac:dyDescent="0.2">
      <c r="AB61" s="871"/>
      <c r="AC61" s="832"/>
    </row>
    <row r="62" spans="28:29" x14ac:dyDescent="0.2">
      <c r="AB62" s="871"/>
      <c r="AC62" s="832"/>
    </row>
    <row r="63" spans="28:29" x14ac:dyDescent="0.2">
      <c r="AB63" s="871"/>
      <c r="AC63" s="832"/>
    </row>
    <row r="64" spans="28:29" x14ac:dyDescent="0.2">
      <c r="AB64" s="871"/>
      <c r="AC64" s="832"/>
    </row>
    <row r="65" spans="28:29" x14ac:dyDescent="0.2">
      <c r="AB65" s="871"/>
      <c r="AC65" s="832"/>
    </row>
    <row r="66" spans="28:29" x14ac:dyDescent="0.2">
      <c r="AB66" s="871"/>
      <c r="AC66" s="832"/>
    </row>
    <row r="67" spans="28:29" x14ac:dyDescent="0.2">
      <c r="AB67" s="871"/>
      <c r="AC67" s="832"/>
    </row>
    <row r="68" spans="28:29" x14ac:dyDescent="0.2">
      <c r="AB68" s="871"/>
      <c r="AC68" s="832"/>
    </row>
    <row r="69" spans="28:29" x14ac:dyDescent="0.2">
      <c r="AB69" s="871"/>
      <c r="AC69" s="832"/>
    </row>
    <row r="70" spans="28:29" x14ac:dyDescent="0.2">
      <c r="AB70" s="871"/>
      <c r="AC70" s="832"/>
    </row>
    <row r="71" spans="28:29" x14ac:dyDescent="0.2">
      <c r="AB71" s="871"/>
      <c r="AC71" s="832"/>
    </row>
    <row r="72" spans="28:29" x14ac:dyDescent="0.2">
      <c r="AB72" s="871"/>
      <c r="AC72" s="832"/>
    </row>
    <row r="73" spans="28:29" x14ac:dyDescent="0.2">
      <c r="AB73" s="871"/>
      <c r="AC73" s="832"/>
    </row>
    <row r="74" spans="28:29" x14ac:dyDescent="0.2">
      <c r="AB74" s="871"/>
      <c r="AC74" s="832"/>
    </row>
    <row r="75" spans="28:29" x14ac:dyDescent="0.2">
      <c r="AB75" s="871"/>
      <c r="AC75" s="832"/>
    </row>
    <row r="76" spans="28:29" x14ac:dyDescent="0.2">
      <c r="AB76" s="871"/>
      <c r="AC76" s="832"/>
    </row>
    <row r="77" spans="28:29" x14ac:dyDescent="0.2">
      <c r="AB77" s="871"/>
      <c r="AC77" s="832"/>
    </row>
    <row r="78" spans="28:29" x14ac:dyDescent="0.2">
      <c r="AB78" s="871"/>
      <c r="AC78" s="832"/>
    </row>
    <row r="79" spans="28:29" x14ac:dyDescent="0.2">
      <c r="AB79" s="871"/>
      <c r="AC79" s="832"/>
    </row>
    <row r="80" spans="28:29" x14ac:dyDescent="0.2">
      <c r="AB80" s="871"/>
      <c r="AC80" s="832"/>
    </row>
    <row r="81" spans="28:29" x14ac:dyDescent="0.2">
      <c r="AB81" s="871"/>
      <c r="AC81" s="832"/>
    </row>
    <row r="82" spans="28:29" x14ac:dyDescent="0.2">
      <c r="AB82" s="871"/>
      <c r="AC82" s="832"/>
    </row>
    <row r="83" spans="28:29" x14ac:dyDescent="0.2">
      <c r="AB83" s="871"/>
      <c r="AC83" s="832"/>
    </row>
    <row r="84" spans="28:29" x14ac:dyDescent="0.2">
      <c r="AB84" s="871"/>
      <c r="AC84" s="832"/>
    </row>
    <row r="85" spans="28:29" x14ac:dyDescent="0.2">
      <c r="AB85" s="871"/>
      <c r="AC85" s="832"/>
    </row>
    <row r="86" spans="28:29" x14ac:dyDescent="0.2">
      <c r="AB86" s="871"/>
      <c r="AC86" s="832"/>
    </row>
    <row r="87" spans="28:29" x14ac:dyDescent="0.2">
      <c r="AB87" s="871"/>
      <c r="AC87" s="832"/>
    </row>
    <row r="88" spans="28:29" x14ac:dyDescent="0.2">
      <c r="AB88" s="871"/>
      <c r="AC88" s="832"/>
    </row>
    <row r="89" spans="28:29" x14ac:dyDescent="0.2">
      <c r="AB89" s="871"/>
      <c r="AC89" s="832"/>
    </row>
    <row r="90" spans="28:29" x14ac:dyDescent="0.2">
      <c r="AB90" s="871"/>
      <c r="AC90" s="832"/>
    </row>
    <row r="91" spans="28:29" x14ac:dyDescent="0.2">
      <c r="AB91" s="871"/>
      <c r="AC91" s="832"/>
    </row>
    <row r="92" spans="28:29" x14ac:dyDescent="0.2">
      <c r="AB92" s="871"/>
      <c r="AC92" s="832"/>
    </row>
    <row r="93" spans="28:29" x14ac:dyDescent="0.2">
      <c r="AB93" s="871"/>
      <c r="AC93" s="832"/>
    </row>
    <row r="94" spans="28:29" x14ac:dyDescent="0.2">
      <c r="AB94" s="871"/>
      <c r="AC94" s="832"/>
    </row>
    <row r="95" spans="28:29" x14ac:dyDescent="0.2">
      <c r="AB95" s="871"/>
      <c r="AC95" s="832"/>
    </row>
    <row r="96" spans="28:29" x14ac:dyDescent="0.2">
      <c r="AB96" s="871"/>
      <c r="AC96" s="832"/>
    </row>
    <row r="97" spans="28:29" x14ac:dyDescent="0.2">
      <c r="AB97" s="871"/>
      <c r="AC97" s="832"/>
    </row>
    <row r="98" spans="28:29" x14ac:dyDescent="0.2">
      <c r="AB98" s="871"/>
      <c r="AC98" s="832"/>
    </row>
    <row r="99" spans="28:29" x14ac:dyDescent="0.2">
      <c r="AB99" s="871"/>
      <c r="AC99" s="832"/>
    </row>
    <row r="100" spans="28:29" x14ac:dyDescent="0.2">
      <c r="AB100" s="871"/>
      <c r="AC100" s="832"/>
    </row>
    <row r="101" spans="28:29" x14ac:dyDescent="0.2">
      <c r="AB101" s="871"/>
      <c r="AC101" s="832"/>
    </row>
    <row r="102" spans="28:29" x14ac:dyDescent="0.2">
      <c r="AB102" s="871"/>
      <c r="AC102" s="832"/>
    </row>
    <row r="103" spans="28:29" x14ac:dyDescent="0.2">
      <c r="AB103" s="871"/>
      <c r="AC103" s="832"/>
    </row>
    <row r="104" spans="28:29" x14ac:dyDescent="0.2">
      <c r="AB104" s="871"/>
      <c r="AC104" s="832"/>
    </row>
    <row r="105" spans="28:29" x14ac:dyDescent="0.2">
      <c r="AB105" s="871"/>
      <c r="AC105" s="832"/>
    </row>
    <row r="106" spans="28:29" x14ac:dyDescent="0.2">
      <c r="AB106" s="871"/>
      <c r="AC106" s="832"/>
    </row>
    <row r="107" spans="28:29" x14ac:dyDescent="0.2">
      <c r="AB107" s="871"/>
      <c r="AC107" s="832"/>
    </row>
    <row r="108" spans="28:29" x14ac:dyDescent="0.2">
      <c r="AB108" s="871"/>
      <c r="AC108" s="832"/>
    </row>
    <row r="109" spans="28:29" x14ac:dyDescent="0.2">
      <c r="AB109" s="871"/>
      <c r="AC109" s="832"/>
    </row>
    <row r="110" spans="28:29" x14ac:dyDescent="0.2">
      <c r="AB110" s="871"/>
      <c r="AC110" s="832"/>
    </row>
    <row r="111" spans="28:29" x14ac:dyDescent="0.2">
      <c r="AB111" s="871"/>
      <c r="AC111" s="832"/>
    </row>
    <row r="112" spans="28:29" x14ac:dyDescent="0.2">
      <c r="AB112" s="871"/>
      <c r="AC112" s="832"/>
    </row>
    <row r="113" spans="28:29" x14ac:dyDescent="0.2">
      <c r="AB113" s="871"/>
      <c r="AC113" s="832"/>
    </row>
    <row r="114" spans="28:29" x14ac:dyDescent="0.2">
      <c r="AB114" s="871"/>
      <c r="AC114" s="832"/>
    </row>
    <row r="115" spans="28:29" x14ac:dyDescent="0.2">
      <c r="AB115" s="871"/>
      <c r="AC115" s="832"/>
    </row>
    <row r="116" spans="28:29" x14ac:dyDescent="0.2">
      <c r="AB116" s="871"/>
      <c r="AC116" s="832"/>
    </row>
    <row r="117" spans="28:29" x14ac:dyDescent="0.2">
      <c r="AB117" s="871"/>
      <c r="AC117" s="832"/>
    </row>
    <row r="118" spans="28:29" x14ac:dyDescent="0.2">
      <c r="AB118" s="871"/>
      <c r="AC118" s="832"/>
    </row>
    <row r="119" spans="28:29" x14ac:dyDescent="0.2">
      <c r="AB119" s="871"/>
      <c r="AC119" s="832"/>
    </row>
    <row r="120" spans="28:29" x14ac:dyDescent="0.2">
      <c r="AB120" s="871"/>
      <c r="AC120" s="832"/>
    </row>
    <row r="121" spans="28:29" x14ac:dyDescent="0.2">
      <c r="AB121" s="871"/>
      <c r="AC121" s="832"/>
    </row>
    <row r="122" spans="28:29" x14ac:dyDescent="0.2">
      <c r="AB122" s="871"/>
      <c r="AC122" s="832"/>
    </row>
    <row r="123" spans="28:29" x14ac:dyDescent="0.2">
      <c r="AB123" s="871"/>
      <c r="AC123" s="832"/>
    </row>
    <row r="124" spans="28:29" x14ac:dyDescent="0.2">
      <c r="AB124" s="871"/>
      <c r="AC124" s="832"/>
    </row>
    <row r="125" spans="28:29" x14ac:dyDescent="0.2">
      <c r="AB125" s="871"/>
      <c r="AC125" s="832"/>
    </row>
    <row r="126" spans="28:29" x14ac:dyDescent="0.2">
      <c r="AB126" s="871"/>
      <c r="AC126" s="832"/>
    </row>
    <row r="127" spans="28:29" x14ac:dyDescent="0.2">
      <c r="AB127" s="871"/>
      <c r="AC127" s="832"/>
    </row>
    <row r="128" spans="28:29" x14ac:dyDescent="0.2">
      <c r="AB128" s="871"/>
      <c r="AC128" s="832"/>
    </row>
    <row r="129" spans="28:29" x14ac:dyDescent="0.2">
      <c r="AB129" s="871"/>
      <c r="AC129" s="832"/>
    </row>
    <row r="130" spans="28:29" x14ac:dyDescent="0.2">
      <c r="AB130" s="871"/>
      <c r="AC130" s="832"/>
    </row>
    <row r="131" spans="28:29" x14ac:dyDescent="0.2">
      <c r="AB131" s="871"/>
      <c r="AC131" s="832"/>
    </row>
    <row r="132" spans="28:29" x14ac:dyDescent="0.2">
      <c r="AB132" s="871"/>
      <c r="AC132" s="832"/>
    </row>
    <row r="133" spans="28:29" x14ac:dyDescent="0.2">
      <c r="AB133" s="871"/>
      <c r="AC133" s="832"/>
    </row>
    <row r="134" spans="28:29" x14ac:dyDescent="0.2">
      <c r="AB134" s="871"/>
      <c r="AC134" s="832"/>
    </row>
    <row r="135" spans="28:29" x14ac:dyDescent="0.2">
      <c r="AB135" s="871"/>
      <c r="AC135" s="832"/>
    </row>
    <row r="136" spans="28:29" x14ac:dyDescent="0.2">
      <c r="AB136" s="871"/>
      <c r="AC136" s="832"/>
    </row>
    <row r="137" spans="28:29" x14ac:dyDescent="0.2">
      <c r="AB137" s="871"/>
      <c r="AC137" s="832"/>
    </row>
    <row r="138" spans="28:29" x14ac:dyDescent="0.2">
      <c r="AB138" s="871"/>
      <c r="AC138" s="832"/>
    </row>
    <row r="139" spans="28:29" x14ac:dyDescent="0.2">
      <c r="AB139" s="871"/>
      <c r="AC139" s="832"/>
    </row>
    <row r="140" spans="28:29" x14ac:dyDescent="0.2">
      <c r="AB140" s="871"/>
      <c r="AC140" s="832"/>
    </row>
    <row r="141" spans="28:29" x14ac:dyDescent="0.2">
      <c r="AB141" s="871"/>
      <c r="AC141" s="832"/>
    </row>
    <row r="142" spans="28:29" x14ac:dyDescent="0.2">
      <c r="AB142" s="871"/>
      <c r="AC142" s="832"/>
    </row>
    <row r="143" spans="28:29" x14ac:dyDescent="0.2">
      <c r="AB143" s="871"/>
      <c r="AC143" s="832"/>
    </row>
    <row r="144" spans="28:29" x14ac:dyDescent="0.2">
      <c r="AB144" s="871"/>
      <c r="AC144" s="832"/>
    </row>
    <row r="145" spans="28:29" x14ac:dyDescent="0.2">
      <c r="AB145" s="871"/>
      <c r="AC145" s="832"/>
    </row>
    <row r="146" spans="28:29" x14ac:dyDescent="0.2">
      <c r="AB146" s="871"/>
      <c r="AC146" s="832"/>
    </row>
    <row r="147" spans="28:29" x14ac:dyDescent="0.2">
      <c r="AB147" s="871"/>
      <c r="AC147" s="832"/>
    </row>
    <row r="148" spans="28:29" x14ac:dyDescent="0.2">
      <c r="AB148" s="871"/>
      <c r="AC148" s="832"/>
    </row>
    <row r="149" spans="28:29" x14ac:dyDescent="0.2">
      <c r="AB149" s="871"/>
      <c r="AC149" s="832"/>
    </row>
    <row r="150" spans="28:29" x14ac:dyDescent="0.2">
      <c r="AB150" s="871"/>
      <c r="AC150" s="832"/>
    </row>
    <row r="151" spans="28:29" x14ac:dyDescent="0.2">
      <c r="AB151" s="871"/>
      <c r="AC151" s="832"/>
    </row>
    <row r="152" spans="28:29" x14ac:dyDescent="0.2">
      <c r="AB152" s="871"/>
      <c r="AC152" s="832"/>
    </row>
    <row r="153" spans="28:29" x14ac:dyDescent="0.2">
      <c r="AB153" s="871"/>
      <c r="AC153" s="832"/>
    </row>
    <row r="154" spans="28:29" x14ac:dyDescent="0.2">
      <c r="AB154" s="871"/>
      <c r="AC154" s="832"/>
    </row>
    <row r="155" spans="28:29" x14ac:dyDescent="0.2">
      <c r="AB155" s="871"/>
      <c r="AC155" s="832"/>
    </row>
    <row r="156" spans="28:29" x14ac:dyDescent="0.2">
      <c r="AB156" s="871"/>
      <c r="AC156" s="832"/>
    </row>
    <row r="157" spans="28:29" x14ac:dyDescent="0.2">
      <c r="AB157" s="871"/>
      <c r="AC157" s="832"/>
    </row>
    <row r="158" spans="28:29" x14ac:dyDescent="0.2">
      <c r="AB158" s="871"/>
      <c r="AC158" s="832"/>
    </row>
    <row r="159" spans="28:29" x14ac:dyDescent="0.2">
      <c r="AB159" s="871"/>
      <c r="AC159" s="832"/>
    </row>
    <row r="160" spans="28:29" x14ac:dyDescent="0.2">
      <c r="AB160" s="871"/>
      <c r="AC160" s="832"/>
    </row>
    <row r="161" spans="28:29" x14ac:dyDescent="0.2">
      <c r="AB161" s="871"/>
      <c r="AC161" s="832"/>
    </row>
    <row r="162" spans="28:29" x14ac:dyDescent="0.2">
      <c r="AB162" s="871"/>
      <c r="AC162" s="832"/>
    </row>
    <row r="163" spans="28:29" x14ac:dyDescent="0.2">
      <c r="AB163" s="871"/>
      <c r="AC163" s="832"/>
    </row>
    <row r="164" spans="28:29" x14ac:dyDescent="0.2">
      <c r="AB164" s="871"/>
      <c r="AC164" s="832"/>
    </row>
    <row r="165" spans="28:29" x14ac:dyDescent="0.2">
      <c r="AB165" s="871"/>
      <c r="AC165" s="832"/>
    </row>
    <row r="166" spans="28:29" x14ac:dyDescent="0.2">
      <c r="AB166" s="871"/>
      <c r="AC166" s="832"/>
    </row>
    <row r="167" spans="28:29" x14ac:dyDescent="0.2">
      <c r="AB167" s="871"/>
      <c r="AC167" s="832"/>
    </row>
    <row r="168" spans="28:29" x14ac:dyDescent="0.2">
      <c r="AB168" s="871"/>
      <c r="AC168" s="832"/>
    </row>
    <row r="169" spans="28:29" x14ac:dyDescent="0.2">
      <c r="AB169" s="871"/>
      <c r="AC169" s="832"/>
    </row>
    <row r="170" spans="28:29" x14ac:dyDescent="0.2">
      <c r="AB170" s="871"/>
      <c r="AC170" s="832"/>
    </row>
    <row r="171" spans="28:29" x14ac:dyDescent="0.2">
      <c r="AB171" s="871"/>
      <c r="AC171" s="832"/>
    </row>
    <row r="172" spans="28:29" x14ac:dyDescent="0.2">
      <c r="AB172" s="871"/>
      <c r="AC172" s="832"/>
    </row>
    <row r="173" spans="28:29" x14ac:dyDescent="0.2">
      <c r="AB173" s="871"/>
      <c r="AC173" s="832"/>
    </row>
    <row r="174" spans="28:29" x14ac:dyDescent="0.2">
      <c r="AB174" s="871"/>
      <c r="AC174" s="832"/>
    </row>
    <row r="175" spans="28:29" x14ac:dyDescent="0.2">
      <c r="AB175" s="871"/>
      <c r="AC175" s="832"/>
    </row>
    <row r="176" spans="28:29" x14ac:dyDescent="0.2">
      <c r="AB176" s="871"/>
      <c r="AC176" s="832"/>
    </row>
    <row r="177" spans="28:29" x14ac:dyDescent="0.2">
      <c r="AB177" s="871"/>
      <c r="AC177" s="832"/>
    </row>
    <row r="178" spans="28:29" x14ac:dyDescent="0.2">
      <c r="AB178" s="871"/>
      <c r="AC178" s="832"/>
    </row>
    <row r="179" spans="28:29" x14ac:dyDescent="0.2">
      <c r="AB179" s="871"/>
      <c r="AC179" s="832"/>
    </row>
    <row r="180" spans="28:29" x14ac:dyDescent="0.2">
      <c r="AB180" s="871"/>
      <c r="AC180" s="832"/>
    </row>
    <row r="181" spans="28:29" x14ac:dyDescent="0.2">
      <c r="AB181" s="871"/>
      <c r="AC181" s="832"/>
    </row>
    <row r="182" spans="28:29" x14ac:dyDescent="0.2">
      <c r="AB182" s="871"/>
      <c r="AC182" s="832"/>
    </row>
    <row r="183" spans="28:29" x14ac:dyDescent="0.2">
      <c r="AB183" s="871"/>
      <c r="AC183" s="832"/>
    </row>
    <row r="184" spans="28:29" x14ac:dyDescent="0.2">
      <c r="AB184" s="871"/>
      <c r="AC184" s="832"/>
    </row>
    <row r="185" spans="28:29" x14ac:dyDescent="0.2">
      <c r="AB185" s="871"/>
      <c r="AC185" s="832"/>
    </row>
    <row r="186" spans="28:29" x14ac:dyDescent="0.2">
      <c r="AB186" s="871"/>
      <c r="AC186" s="832"/>
    </row>
    <row r="187" spans="28:29" x14ac:dyDescent="0.2">
      <c r="AB187" s="871"/>
      <c r="AC187" s="832"/>
    </row>
    <row r="188" spans="28:29" x14ac:dyDescent="0.2">
      <c r="AB188" s="871"/>
      <c r="AC188" s="832"/>
    </row>
    <row r="189" spans="28:29" x14ac:dyDescent="0.2">
      <c r="AB189" s="871"/>
      <c r="AC189" s="832"/>
    </row>
    <row r="190" spans="28:29" x14ac:dyDescent="0.2">
      <c r="AB190" s="871"/>
      <c r="AC190" s="832"/>
    </row>
    <row r="191" spans="28:29" x14ac:dyDescent="0.2">
      <c r="AB191" s="871"/>
      <c r="AC191" s="832"/>
    </row>
    <row r="192" spans="28:29" x14ac:dyDescent="0.2">
      <c r="AB192" s="871"/>
      <c r="AC192" s="832"/>
    </row>
    <row r="193" spans="28:29" x14ac:dyDescent="0.2">
      <c r="AB193" s="871"/>
      <c r="AC193" s="832"/>
    </row>
    <row r="194" spans="28:29" x14ac:dyDescent="0.2">
      <c r="AB194" s="871"/>
      <c r="AC194" s="832"/>
    </row>
    <row r="195" spans="28:29" x14ac:dyDescent="0.2">
      <c r="AB195" s="871"/>
      <c r="AC195" s="832"/>
    </row>
    <row r="196" spans="28:29" x14ac:dyDescent="0.2">
      <c r="AB196" s="871"/>
      <c r="AC196" s="832"/>
    </row>
    <row r="197" spans="28:29" x14ac:dyDescent="0.2">
      <c r="AB197" s="871"/>
      <c r="AC197" s="832"/>
    </row>
    <row r="198" spans="28:29" x14ac:dyDescent="0.2">
      <c r="AB198" s="871"/>
      <c r="AC198" s="832"/>
    </row>
    <row r="199" spans="28:29" x14ac:dyDescent="0.2">
      <c r="AB199" s="871"/>
      <c r="AC199" s="832"/>
    </row>
    <row r="200" spans="28:29" x14ac:dyDescent="0.2">
      <c r="AB200" s="871"/>
      <c r="AC200" s="832"/>
    </row>
    <row r="201" spans="28:29" x14ac:dyDescent="0.2">
      <c r="AB201" s="871"/>
      <c r="AC201" s="832"/>
    </row>
    <row r="202" spans="28:29" x14ac:dyDescent="0.2">
      <c r="AB202" s="871"/>
      <c r="AC202" s="832"/>
    </row>
    <row r="203" spans="28:29" x14ac:dyDescent="0.2">
      <c r="AB203" s="871"/>
      <c r="AC203" s="832"/>
    </row>
    <row r="204" spans="28:29" x14ac:dyDescent="0.2">
      <c r="AB204" s="871"/>
      <c r="AC204" s="832"/>
    </row>
    <row r="205" spans="28:29" x14ac:dyDescent="0.2">
      <c r="AB205" s="871"/>
      <c r="AC205" s="832"/>
    </row>
    <row r="206" spans="28:29" x14ac:dyDescent="0.2">
      <c r="AB206" s="871"/>
      <c r="AC206" s="832"/>
    </row>
    <row r="207" spans="28:29" x14ac:dyDescent="0.2">
      <c r="AB207" s="871"/>
      <c r="AC207" s="832"/>
    </row>
    <row r="208" spans="28:29" x14ac:dyDescent="0.2">
      <c r="AB208" s="871"/>
      <c r="AC208" s="832"/>
    </row>
    <row r="209" spans="28:29" x14ac:dyDescent="0.2">
      <c r="AB209" s="871"/>
      <c r="AC209" s="832"/>
    </row>
    <row r="210" spans="28:29" x14ac:dyDescent="0.2">
      <c r="AB210" s="871"/>
      <c r="AC210" s="832"/>
    </row>
    <row r="211" spans="28:29" x14ac:dyDescent="0.2">
      <c r="AB211" s="871"/>
      <c r="AC211" s="832"/>
    </row>
    <row r="212" spans="28:29" x14ac:dyDescent="0.2">
      <c r="AB212" s="871"/>
      <c r="AC212" s="832"/>
    </row>
    <row r="213" spans="28:29" x14ac:dyDescent="0.2">
      <c r="AB213" s="871"/>
      <c r="AC213" s="832"/>
    </row>
    <row r="214" spans="28:29" x14ac:dyDescent="0.2">
      <c r="AB214" s="871"/>
      <c r="AC214" s="832"/>
    </row>
    <row r="215" spans="28:29" x14ac:dyDescent="0.2">
      <c r="AB215" s="871"/>
      <c r="AC215" s="832"/>
    </row>
    <row r="216" spans="28:29" x14ac:dyDescent="0.2">
      <c r="AB216" s="871"/>
      <c r="AC216" s="832"/>
    </row>
    <row r="217" spans="28:29" x14ac:dyDescent="0.2">
      <c r="AB217" s="871"/>
      <c r="AC217" s="832"/>
    </row>
    <row r="218" spans="28:29" x14ac:dyDescent="0.2">
      <c r="AB218" s="871"/>
      <c r="AC218" s="832"/>
    </row>
    <row r="219" spans="28:29" x14ac:dyDescent="0.2">
      <c r="AB219" s="871"/>
      <c r="AC219" s="832"/>
    </row>
    <row r="220" spans="28:29" x14ac:dyDescent="0.2">
      <c r="AB220" s="871"/>
      <c r="AC220" s="832"/>
    </row>
    <row r="221" spans="28:29" x14ac:dyDescent="0.2">
      <c r="AB221" s="871"/>
      <c r="AC221" s="832"/>
    </row>
    <row r="222" spans="28:29" x14ac:dyDescent="0.2">
      <c r="AB222" s="871"/>
      <c r="AC222" s="832"/>
    </row>
    <row r="223" spans="28:29" x14ac:dyDescent="0.2">
      <c r="AB223" s="871"/>
      <c r="AC223" s="832"/>
    </row>
    <row r="224" spans="28:29" x14ac:dyDescent="0.2">
      <c r="AB224" s="871"/>
      <c r="AC224" s="832"/>
    </row>
    <row r="225" spans="28:29" x14ac:dyDescent="0.2">
      <c r="AB225" s="871"/>
      <c r="AC225" s="832"/>
    </row>
    <row r="226" spans="28:29" x14ac:dyDescent="0.2">
      <c r="AB226" s="871"/>
      <c r="AC226" s="832"/>
    </row>
    <row r="227" spans="28:29" x14ac:dyDescent="0.2">
      <c r="AB227" s="871"/>
      <c r="AC227" s="832"/>
    </row>
    <row r="228" spans="28:29" x14ac:dyDescent="0.2">
      <c r="AB228" s="871"/>
      <c r="AC228" s="832"/>
    </row>
    <row r="229" spans="28:29" x14ac:dyDescent="0.2">
      <c r="AB229" s="871"/>
      <c r="AC229" s="832"/>
    </row>
    <row r="230" spans="28:29" x14ac:dyDescent="0.2">
      <c r="AB230" s="871"/>
      <c r="AC230" s="832"/>
    </row>
    <row r="231" spans="28:29" x14ac:dyDescent="0.2">
      <c r="AB231" s="871"/>
      <c r="AC231" s="832"/>
    </row>
    <row r="232" spans="28:29" x14ac:dyDescent="0.2">
      <c r="AB232" s="871"/>
      <c r="AC232" s="832"/>
    </row>
    <row r="233" spans="28:29" x14ac:dyDescent="0.2">
      <c r="AB233" s="871"/>
      <c r="AC233" s="832"/>
    </row>
    <row r="234" spans="28:29" x14ac:dyDescent="0.2">
      <c r="AB234" s="871"/>
      <c r="AC234" s="832"/>
    </row>
    <row r="235" spans="28:29" x14ac:dyDescent="0.2">
      <c r="AB235" s="871"/>
      <c r="AC235" s="832"/>
    </row>
    <row r="236" spans="28:29" x14ac:dyDescent="0.2">
      <c r="AB236" s="871"/>
      <c r="AC236" s="832"/>
    </row>
    <row r="237" spans="28:29" x14ac:dyDescent="0.2">
      <c r="AB237" s="871"/>
      <c r="AC237" s="832"/>
    </row>
    <row r="238" spans="28:29" x14ac:dyDescent="0.2">
      <c r="AB238" s="871"/>
      <c r="AC238" s="832"/>
    </row>
    <row r="239" spans="28:29" x14ac:dyDescent="0.2">
      <c r="AB239" s="871"/>
      <c r="AC239" s="832"/>
    </row>
    <row r="240" spans="28:29" x14ac:dyDescent="0.2">
      <c r="AB240" s="871"/>
      <c r="AC240" s="832"/>
    </row>
    <row r="241" spans="28:29" x14ac:dyDescent="0.2">
      <c r="AB241" s="871"/>
      <c r="AC241" s="832"/>
    </row>
    <row r="242" spans="28:29" x14ac:dyDescent="0.2">
      <c r="AB242" s="871"/>
      <c r="AC242" s="832"/>
    </row>
    <row r="243" spans="28:29" x14ac:dyDescent="0.2">
      <c r="AB243" s="871"/>
      <c r="AC243" s="832"/>
    </row>
    <row r="244" spans="28:29" x14ac:dyDescent="0.2">
      <c r="AB244" s="871"/>
      <c r="AC244" s="832"/>
    </row>
    <row r="245" spans="28:29" x14ac:dyDescent="0.2">
      <c r="AB245" s="871"/>
      <c r="AC245" s="832"/>
    </row>
    <row r="246" spans="28:29" x14ac:dyDescent="0.2">
      <c r="AB246" s="871"/>
      <c r="AC246" s="832"/>
    </row>
    <row r="247" spans="28:29" x14ac:dyDescent="0.2">
      <c r="AB247" s="871"/>
      <c r="AC247" s="832"/>
    </row>
    <row r="248" spans="28:29" x14ac:dyDescent="0.2">
      <c r="AB248" s="871"/>
      <c r="AC248" s="832"/>
    </row>
    <row r="249" spans="28:29" x14ac:dyDescent="0.2">
      <c r="AB249" s="871"/>
      <c r="AC249" s="832"/>
    </row>
    <row r="250" spans="28:29" x14ac:dyDescent="0.2">
      <c r="AB250" s="871"/>
      <c r="AC250" s="832"/>
    </row>
    <row r="251" spans="28:29" x14ac:dyDescent="0.2">
      <c r="AB251" s="871"/>
      <c r="AC251" s="832"/>
    </row>
    <row r="252" spans="28:29" x14ac:dyDescent="0.2">
      <c r="AB252" s="871"/>
      <c r="AC252" s="832"/>
    </row>
    <row r="253" spans="28:29" x14ac:dyDescent="0.2">
      <c r="AB253" s="871"/>
      <c r="AC253" s="832"/>
    </row>
    <row r="254" spans="28:29" x14ac:dyDescent="0.2">
      <c r="AB254" s="871"/>
      <c r="AC254" s="832"/>
    </row>
    <row r="255" spans="28:29" x14ac:dyDescent="0.2">
      <c r="AB255" s="871"/>
      <c r="AC255" s="832"/>
    </row>
    <row r="256" spans="28:29" x14ac:dyDescent="0.2">
      <c r="AB256" s="871"/>
      <c r="AC256" s="832"/>
    </row>
    <row r="257" spans="28:29" x14ac:dyDescent="0.2">
      <c r="AB257" s="871"/>
      <c r="AC257" s="832"/>
    </row>
    <row r="258" spans="28:29" x14ac:dyDescent="0.2">
      <c r="AB258" s="871"/>
      <c r="AC258" s="832"/>
    </row>
    <row r="259" spans="28:29" x14ac:dyDescent="0.2">
      <c r="AB259" s="871"/>
      <c r="AC259" s="832"/>
    </row>
    <row r="260" spans="28:29" x14ac:dyDescent="0.2">
      <c r="AB260" s="871"/>
      <c r="AC260" s="832"/>
    </row>
    <row r="261" spans="28:29" x14ac:dyDescent="0.2">
      <c r="AB261" s="871"/>
      <c r="AC261" s="832"/>
    </row>
    <row r="262" spans="28:29" x14ac:dyDescent="0.2">
      <c r="AB262" s="871"/>
      <c r="AC262" s="832"/>
    </row>
    <row r="263" spans="28:29" x14ac:dyDescent="0.2">
      <c r="AB263" s="871"/>
      <c r="AC263" s="832"/>
    </row>
    <row r="264" spans="28:29" x14ac:dyDescent="0.2">
      <c r="AB264" s="871"/>
      <c r="AC264" s="832"/>
    </row>
    <row r="265" spans="28:29" x14ac:dyDescent="0.2">
      <c r="AB265" s="871"/>
      <c r="AC265" s="832"/>
    </row>
    <row r="266" spans="28:29" x14ac:dyDescent="0.2">
      <c r="AB266" s="871"/>
      <c r="AC266" s="832"/>
    </row>
    <row r="267" spans="28:29" x14ac:dyDescent="0.2">
      <c r="AB267" s="871"/>
      <c r="AC267" s="832"/>
    </row>
    <row r="268" spans="28:29" x14ac:dyDescent="0.2">
      <c r="AB268" s="871"/>
      <c r="AC268" s="832"/>
    </row>
    <row r="269" spans="28:29" x14ac:dyDescent="0.2">
      <c r="AB269" s="871"/>
      <c r="AC269" s="832"/>
    </row>
    <row r="270" spans="28:29" x14ac:dyDescent="0.2">
      <c r="AB270" s="871"/>
      <c r="AC270" s="832"/>
    </row>
    <row r="271" spans="28:29" x14ac:dyDescent="0.2">
      <c r="AB271" s="871"/>
      <c r="AC271" s="832"/>
    </row>
    <row r="272" spans="28:29" x14ac:dyDescent="0.2">
      <c r="AB272" s="871"/>
      <c r="AC272" s="832"/>
    </row>
    <row r="273" spans="28:29" x14ac:dyDescent="0.2">
      <c r="AB273" s="871"/>
      <c r="AC273" s="832"/>
    </row>
    <row r="274" spans="28:29" x14ac:dyDescent="0.2">
      <c r="AB274" s="871"/>
      <c r="AC274" s="832"/>
    </row>
    <row r="275" spans="28:29" x14ac:dyDescent="0.2">
      <c r="AB275" s="871"/>
      <c r="AC275" s="832"/>
    </row>
    <row r="276" spans="28:29" x14ac:dyDescent="0.2">
      <c r="AB276" s="871"/>
      <c r="AC276" s="832"/>
    </row>
    <row r="277" spans="28:29" x14ac:dyDescent="0.2">
      <c r="AB277" s="871"/>
      <c r="AC277" s="832"/>
    </row>
    <row r="278" spans="28:29" x14ac:dyDescent="0.2">
      <c r="AB278" s="871"/>
      <c r="AC278" s="832"/>
    </row>
    <row r="279" spans="28:29" x14ac:dyDescent="0.2">
      <c r="AB279" s="871"/>
      <c r="AC279" s="832"/>
    </row>
    <row r="280" spans="28:29" x14ac:dyDescent="0.2">
      <c r="AB280" s="871"/>
      <c r="AC280" s="832"/>
    </row>
    <row r="281" spans="28:29" x14ac:dyDescent="0.2">
      <c r="AB281" s="871"/>
      <c r="AC281" s="832"/>
    </row>
    <row r="282" spans="28:29" x14ac:dyDescent="0.2">
      <c r="AB282" s="871"/>
      <c r="AC282" s="832"/>
    </row>
    <row r="283" spans="28:29" x14ac:dyDescent="0.2">
      <c r="AB283" s="871"/>
      <c r="AC283" s="832"/>
    </row>
    <row r="284" spans="28:29" x14ac:dyDescent="0.2">
      <c r="AB284" s="871"/>
      <c r="AC284" s="832"/>
    </row>
    <row r="285" spans="28:29" x14ac:dyDescent="0.2">
      <c r="AB285" s="871"/>
      <c r="AC285" s="832"/>
    </row>
    <row r="286" spans="28:29" x14ac:dyDescent="0.2">
      <c r="AB286" s="871"/>
      <c r="AC286" s="832"/>
    </row>
    <row r="287" spans="28:29" x14ac:dyDescent="0.2">
      <c r="AB287" s="871"/>
      <c r="AC287" s="832"/>
    </row>
    <row r="288" spans="28:29" x14ac:dyDescent="0.2">
      <c r="AB288" s="871"/>
      <c r="AC288" s="832"/>
    </row>
  </sheetData>
  <dataConsolidate/>
  <phoneticPr fontId="3" type="noConversion"/>
  <pageMargins left="0.74803149606299213" right="0.74803149606299213" top="0.98425196850393704" bottom="0.98425196850393704" header="0.51181102362204722" footer="0.51181102362204722"/>
  <pageSetup scale="75" orientation="portrait" horizontalDpi="200" verticalDpi="200"/>
  <headerFooter alignWithMargins="0"/>
  <drawing r:id="rId1"/>
  <legacyDrawing r:id="rId2"/>
  <controls>
    <mc:AlternateContent xmlns:mc="http://schemas.openxmlformats.org/markup-compatibility/2006">
      <mc:Choice Requires="x14">
        <control shapeId="123946" r:id="rId3" name="TextBox3">
          <controlPr defaultSize="0" autoLine="0" linkedCell="Contacts!B71" r:id="rId4">
            <anchor moveWithCells="1">
              <from>
                <xdr:col>5</xdr:col>
                <xdr:colOff>152400</xdr:colOff>
                <xdr:row>7</xdr:row>
                <xdr:rowOff>38100</xdr:rowOff>
              </from>
              <to>
                <xdr:col>10</xdr:col>
                <xdr:colOff>38100</xdr:colOff>
                <xdr:row>8</xdr:row>
                <xdr:rowOff>66675</xdr:rowOff>
              </to>
            </anchor>
          </controlPr>
        </control>
      </mc:Choice>
      <mc:Fallback>
        <control shapeId="123946" r:id="rId3" name="TextBox3"/>
      </mc:Fallback>
    </mc:AlternateContent>
    <mc:AlternateContent xmlns:mc="http://schemas.openxmlformats.org/markup-compatibility/2006">
      <mc:Choice Requires="x14">
        <control shapeId="123947" r:id="rId5" name="TextBox4">
          <controlPr defaultSize="0" autoLine="0" linkedCell="Contacts!B72" r:id="rId6">
            <anchor moveWithCells="1">
              <from>
                <xdr:col>5</xdr:col>
                <xdr:colOff>142875</xdr:colOff>
                <xdr:row>9</xdr:row>
                <xdr:rowOff>114300</xdr:rowOff>
              </from>
              <to>
                <xdr:col>7</xdr:col>
                <xdr:colOff>142875</xdr:colOff>
                <xdr:row>10</xdr:row>
                <xdr:rowOff>142875</xdr:rowOff>
              </to>
            </anchor>
          </controlPr>
        </control>
      </mc:Choice>
      <mc:Fallback>
        <control shapeId="123947" r:id="rId5" name="TextBox4"/>
      </mc:Fallback>
    </mc:AlternateContent>
    <mc:AlternateContent xmlns:mc="http://schemas.openxmlformats.org/markup-compatibility/2006">
      <mc:Choice Requires="x14">
        <control shapeId="123948" r:id="rId7" name="TextBox5">
          <controlPr defaultSize="0" autoLine="0" linkedCell="Contacts!B75" r:id="rId8">
            <anchor moveWithCells="1">
              <from>
                <xdr:col>5</xdr:col>
                <xdr:colOff>180975</xdr:colOff>
                <xdr:row>12</xdr:row>
                <xdr:rowOff>19050</xdr:rowOff>
              </from>
              <to>
                <xdr:col>10</xdr:col>
                <xdr:colOff>66675</xdr:colOff>
                <xdr:row>13</xdr:row>
                <xdr:rowOff>47625</xdr:rowOff>
              </to>
            </anchor>
          </controlPr>
        </control>
      </mc:Choice>
      <mc:Fallback>
        <control shapeId="123948" r:id="rId7" name="TextBox5"/>
      </mc:Fallback>
    </mc:AlternateContent>
    <mc:AlternateContent xmlns:mc="http://schemas.openxmlformats.org/markup-compatibility/2006">
      <mc:Choice Requires="x14">
        <control shapeId="123950" r:id="rId9" name="TextBox6">
          <controlPr defaultSize="0" autoLine="0" linkedCell="Contacts!B74" r:id="rId10">
            <anchor moveWithCells="1">
              <from>
                <xdr:col>9</xdr:col>
                <xdr:colOff>19050</xdr:colOff>
                <xdr:row>9</xdr:row>
                <xdr:rowOff>114300</xdr:rowOff>
              </from>
              <to>
                <xdr:col>10</xdr:col>
                <xdr:colOff>495300</xdr:colOff>
                <xdr:row>10</xdr:row>
                <xdr:rowOff>142875</xdr:rowOff>
              </to>
            </anchor>
          </controlPr>
        </control>
      </mc:Choice>
      <mc:Fallback>
        <control shapeId="123950" r:id="rId9" name="TextBox6"/>
      </mc:Fallback>
    </mc:AlternateContent>
    <mc:AlternateContent xmlns:mc="http://schemas.openxmlformats.org/markup-compatibility/2006">
      <mc:Choice Requires="x14">
        <control shapeId="124039" r:id="rId11" name="ToggleReferenceColumns">
          <controlPr defaultSize="0" autoLine="0" r:id="rId12">
            <anchor moveWithCells="1">
              <from>
                <xdr:col>1</xdr:col>
                <xdr:colOff>438150</xdr:colOff>
                <xdr:row>36</xdr:row>
                <xdr:rowOff>142875</xdr:rowOff>
              </from>
              <to>
                <xdr:col>4</xdr:col>
                <xdr:colOff>514350</xdr:colOff>
                <xdr:row>38</xdr:row>
                <xdr:rowOff>57150</xdr:rowOff>
              </to>
            </anchor>
          </controlPr>
        </control>
      </mc:Choice>
      <mc:Fallback>
        <control shapeId="124039" r:id="rId11" name="ToggleReferenceColumns"/>
      </mc:Fallback>
    </mc:AlternateContent>
    <mc:AlternateContent xmlns:mc="http://schemas.openxmlformats.org/markup-compatibility/2006">
      <mc:Choice Requires="x14">
        <control shapeId="124040" r:id="rId13" name="TogglePreAuditColums">
          <controlPr defaultSize="0" autoLine="0" r:id="rId14">
            <anchor moveWithCells="1">
              <from>
                <xdr:col>1</xdr:col>
                <xdr:colOff>438150</xdr:colOff>
                <xdr:row>34</xdr:row>
                <xdr:rowOff>142875</xdr:rowOff>
              </from>
              <to>
                <xdr:col>4</xdr:col>
                <xdr:colOff>514350</xdr:colOff>
                <xdr:row>36</xdr:row>
                <xdr:rowOff>57150</xdr:rowOff>
              </to>
            </anchor>
          </controlPr>
        </control>
      </mc:Choice>
      <mc:Fallback>
        <control shapeId="124040" r:id="rId13" name="TogglePreAuditColums"/>
      </mc:Fallback>
    </mc:AlternateContent>
    <mc:AlternateContent xmlns:mc="http://schemas.openxmlformats.org/markup-compatibility/2006">
      <mc:Choice Requires="x14">
        <control shapeId="124042" r:id="rId15" name="ToggleHiddenColumns">
          <controlPr defaultSize="0" autoLine="0" r:id="rId16">
            <anchor moveWithCells="1">
              <from>
                <xdr:col>1</xdr:col>
                <xdr:colOff>485775</xdr:colOff>
                <xdr:row>41</xdr:row>
                <xdr:rowOff>142875</xdr:rowOff>
              </from>
              <to>
                <xdr:col>4</xdr:col>
                <xdr:colOff>561975</xdr:colOff>
                <xdr:row>43</xdr:row>
                <xdr:rowOff>76200</xdr:rowOff>
              </to>
            </anchor>
          </controlPr>
        </control>
      </mc:Choice>
      <mc:Fallback>
        <control shapeId="124042" r:id="rId15" name="ToggleHiddenColumns"/>
      </mc:Fallback>
    </mc:AlternateContent>
    <mc:AlternateContent xmlns:mc="http://schemas.openxmlformats.org/markup-compatibility/2006">
      <mc:Choice Requires="x14">
        <control shapeId="123931" r:id="rId17" name="Drop Down 27">
          <controlPr defaultSize="0" autoLine="0" autoPict="0">
            <anchor moveWithCells="1">
              <from>
                <xdr:col>5</xdr:col>
                <xdr:colOff>209550</xdr:colOff>
                <xdr:row>18</xdr:row>
                <xdr:rowOff>38100</xdr:rowOff>
              </from>
              <to>
                <xdr:col>6</xdr:col>
                <xdr:colOff>247650</xdr:colOff>
                <xdr:row>19</xdr:row>
                <xdr:rowOff>57150</xdr:rowOff>
              </to>
            </anchor>
          </controlPr>
        </control>
      </mc:Choice>
    </mc:AlternateContent>
    <mc:AlternateContent xmlns:mc="http://schemas.openxmlformats.org/markup-compatibility/2006">
      <mc:Choice Requires="x14">
        <control shapeId="123932" r:id="rId18" name="Drop Down 28">
          <controlPr locked="0" defaultSize="0" autoLine="0" autoPict="0">
            <anchor moveWithCells="1">
              <from>
                <xdr:col>5</xdr:col>
                <xdr:colOff>180975</xdr:colOff>
                <xdr:row>21</xdr:row>
                <xdr:rowOff>38100</xdr:rowOff>
              </from>
              <to>
                <xdr:col>7</xdr:col>
                <xdr:colOff>180975</xdr:colOff>
                <xdr:row>22</xdr:row>
                <xdr:rowOff>57150</xdr:rowOff>
              </to>
            </anchor>
          </controlPr>
        </control>
      </mc:Choice>
    </mc:AlternateContent>
    <mc:AlternateContent xmlns:mc="http://schemas.openxmlformats.org/markup-compatibility/2006">
      <mc:Choice Requires="x14">
        <control shapeId="123936" r:id="rId19" name="Drop Down 32">
          <controlPr defaultSize="0" autoLine="0" autoPict="0">
            <anchor moveWithCells="1">
              <from>
                <xdr:col>5</xdr:col>
                <xdr:colOff>209550</xdr:colOff>
                <xdr:row>15</xdr:row>
                <xdr:rowOff>85725</xdr:rowOff>
              </from>
              <to>
                <xdr:col>6</xdr:col>
                <xdr:colOff>533400</xdr:colOff>
                <xdr:row>16</xdr:row>
                <xdr:rowOff>114300</xdr:rowOff>
              </to>
            </anchor>
          </controlPr>
        </control>
      </mc:Choice>
    </mc:AlternateContent>
    <mc:AlternateContent xmlns:mc="http://schemas.openxmlformats.org/markup-compatibility/2006">
      <mc:Choice Requires="x14">
        <control shapeId="124151" r:id="rId20" name="Drop Down 247">
          <controlPr defaultSize="0" autoLine="0" autoPict="0">
            <anchor moveWithCells="1">
              <from>
                <xdr:col>5</xdr:col>
                <xdr:colOff>114300</xdr:colOff>
                <xdr:row>4</xdr:row>
                <xdr:rowOff>104775</xdr:rowOff>
              </from>
              <to>
                <xdr:col>9</xdr:col>
                <xdr:colOff>438150</xdr:colOff>
                <xdr:row>5</xdr:row>
                <xdr:rowOff>123825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L279"/>
  <sheetViews>
    <sheetView showGridLines="0" zoomScale="120" zoomScaleNormal="120" workbookViewId="0">
      <pane xSplit="1" ySplit="4" topLeftCell="B29" activePane="bottomRight" state="frozen"/>
      <selection pane="topRight"/>
      <selection pane="bottomLeft"/>
      <selection pane="bottomRight" activeCell="E31" sqref="E31"/>
    </sheetView>
  </sheetViews>
  <sheetFormatPr defaultRowHeight="12.75" x14ac:dyDescent="0.25"/>
  <cols>
    <col min="1" max="1" width="38.140625" style="25" customWidth="1"/>
    <col min="2" max="2" width="3" style="102" customWidth="1"/>
    <col min="3" max="8" width="9.28515625" style="25" customWidth="1"/>
    <col min="9" max="9" width="9.140625" style="25" customWidth="1"/>
    <col min="10"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s="52" customFormat="1" x14ac:dyDescent="0.2">
      <c r="A1" s="23" t="str">
        <f>muni&amp;" - "&amp;TableA1</f>
        <v>EC101 Dr Beyers Naude - Supporting Table SA1 Supportinging detail to 'Budgeted Financial Performance'</v>
      </c>
      <c r="B1" s="23"/>
      <c r="C1" s="23"/>
      <c r="D1" s="23"/>
      <c r="E1" s="23"/>
      <c r="F1" s="23"/>
      <c r="G1" s="23"/>
      <c r="H1" s="23"/>
      <c r="I1" s="23"/>
      <c r="J1" s="23"/>
      <c r="K1" s="23"/>
      <c r="L1" s="23"/>
    </row>
    <row r="2" spans="1:12" ht="28.5" customHeight="1" x14ac:dyDescent="0.25">
      <c r="A2" s="1928" t="str">
        <f>desc</f>
        <v>Description</v>
      </c>
      <c r="B2" s="193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2" ht="25.5" x14ac:dyDescent="0.25">
      <c r="A3" s="1932"/>
      <c r="B3" s="1933"/>
      <c r="C3" s="28" t="str">
        <f>Head5</f>
        <v>Audited Outcome</v>
      </c>
      <c r="D3" s="28" t="str">
        <f>Head5</f>
        <v>Audited Outcome</v>
      </c>
      <c r="E3" s="29" t="str">
        <f>Head5</f>
        <v>Audited Outcome</v>
      </c>
      <c r="F3" s="27" t="str">
        <f>Head6</f>
        <v>Original Budget</v>
      </c>
      <c r="G3" s="28" t="str">
        <f>Head7</f>
        <v>Adjusted Budget</v>
      </c>
      <c r="H3" s="29" t="str">
        <f>Head8</f>
        <v>Full Year Forecast</v>
      </c>
      <c r="I3" s="30" t="str">
        <f>Head5b</f>
        <v>Pre-audit outcome</v>
      </c>
      <c r="J3" s="27" t="str">
        <f>Head9</f>
        <v>Budget Year 2019/20</v>
      </c>
      <c r="K3" s="28" t="str">
        <f>Head10</f>
        <v>Budget Year +1 2020/21</v>
      </c>
      <c r="L3" s="29" t="str">
        <f>Head11</f>
        <v>Budget Year +2 2021/22</v>
      </c>
    </row>
    <row r="4" spans="1:12" x14ac:dyDescent="0.25">
      <c r="A4" s="53" t="s">
        <v>573</v>
      </c>
      <c r="B4" s="135"/>
      <c r="C4" s="15"/>
      <c r="D4" s="15"/>
      <c r="E4" s="32"/>
      <c r="F4" s="31"/>
      <c r="G4" s="15"/>
      <c r="H4" s="32"/>
      <c r="I4" s="33"/>
      <c r="J4" s="31"/>
      <c r="K4" s="15"/>
      <c r="L4" s="32"/>
    </row>
    <row r="5" spans="1:12" x14ac:dyDescent="0.25">
      <c r="A5" s="118" t="s">
        <v>469</v>
      </c>
      <c r="B5" s="136"/>
      <c r="C5" s="207"/>
      <c r="D5" s="207"/>
      <c r="E5" s="68"/>
      <c r="F5" s="208"/>
      <c r="G5" s="207"/>
      <c r="H5" s="68"/>
      <c r="I5" s="148"/>
      <c r="J5" s="209"/>
      <c r="K5" s="207"/>
      <c r="L5" s="68"/>
    </row>
    <row r="6" spans="1:12" x14ac:dyDescent="0.25">
      <c r="A6" s="54" t="str">
        <f>'A4-FinPerf RE'!A5</f>
        <v>Property rates</v>
      </c>
      <c r="B6" s="55">
        <v>6</v>
      </c>
      <c r="C6" s="210"/>
      <c r="D6" s="210"/>
      <c r="E6" s="68"/>
      <c r="F6" s="208"/>
      <c r="G6" s="210"/>
      <c r="H6" s="68"/>
      <c r="I6" s="148"/>
      <c r="J6" s="211"/>
      <c r="K6" s="210"/>
      <c r="L6" s="68"/>
    </row>
    <row r="7" spans="1:12" x14ac:dyDescent="0.25">
      <c r="A7" s="187" t="s">
        <v>379</v>
      </c>
      <c r="B7" s="55"/>
      <c r="C7" s="1358"/>
      <c r="D7" s="1358">
        <v>21625697</v>
      </c>
      <c r="E7" s="1359">
        <v>31809377</v>
      </c>
      <c r="F7" s="1360">
        <v>34712276</v>
      </c>
      <c r="G7" s="1358">
        <v>34745194.670000002</v>
      </c>
      <c r="H7" s="1359">
        <v>34745194.670000002</v>
      </c>
      <c r="I7" s="1361">
        <v>34745194.670000002</v>
      </c>
      <c r="J7" s="1362">
        <v>45383062.229999997</v>
      </c>
      <c r="K7" s="1358">
        <f>J7*1.06</f>
        <v>48106045.963799998</v>
      </c>
      <c r="L7" s="1359">
        <f>K7*1.06</f>
        <v>50992408.721628003</v>
      </c>
    </row>
    <row r="8" spans="1:12" ht="38.25" x14ac:dyDescent="0.25">
      <c r="A8" s="1704" t="s">
        <v>2082</v>
      </c>
      <c r="B8" s="55"/>
      <c r="C8" s="1316"/>
      <c r="D8" s="1316"/>
      <c r="E8" s="1325"/>
      <c r="F8" s="1326">
        <v>5133011</v>
      </c>
      <c r="G8" s="1316">
        <v>8769190</v>
      </c>
      <c r="H8" s="1325">
        <v>8769190</v>
      </c>
      <c r="I8" s="1327">
        <v>8769190</v>
      </c>
      <c r="J8" s="1318">
        <v>4390400</v>
      </c>
      <c r="K8" s="1316">
        <f>J8*1.06</f>
        <v>4653824</v>
      </c>
      <c r="L8" s="1325">
        <f>K8*1.06</f>
        <v>4933053.4400000004</v>
      </c>
    </row>
    <row r="9" spans="1:12" x14ac:dyDescent="0.25">
      <c r="A9" s="189" t="s">
        <v>380</v>
      </c>
      <c r="B9" s="55"/>
      <c r="C9" s="81">
        <f>C7-C8</f>
        <v>0</v>
      </c>
      <c r="D9" s="81">
        <f t="shared" ref="D9:L9" si="0">D7-D8</f>
        <v>21625697</v>
      </c>
      <c r="E9" s="82">
        <f t="shared" si="0"/>
        <v>31809377</v>
      </c>
      <c r="F9" s="83">
        <f t="shared" si="0"/>
        <v>29579265</v>
      </c>
      <c r="G9" s="81">
        <f t="shared" si="0"/>
        <v>25976004.670000002</v>
      </c>
      <c r="H9" s="82">
        <f t="shared" si="0"/>
        <v>25976004.670000002</v>
      </c>
      <c r="I9" s="80">
        <f t="shared" si="0"/>
        <v>25976004.670000002</v>
      </c>
      <c r="J9" s="84">
        <f t="shared" si="0"/>
        <v>40992662.229999997</v>
      </c>
      <c r="K9" s="81">
        <f t="shared" si="0"/>
        <v>43452221.963799998</v>
      </c>
      <c r="L9" s="82">
        <f t="shared" si="0"/>
        <v>46059355.281628005</v>
      </c>
    </row>
    <row r="10" spans="1:12" ht="4.9000000000000004" customHeight="1" x14ac:dyDescent="0.25">
      <c r="A10" s="63"/>
      <c r="B10" s="55"/>
      <c r="C10" s="210"/>
      <c r="D10" s="210"/>
      <c r="E10" s="68"/>
      <c r="F10" s="208"/>
      <c r="G10" s="210"/>
      <c r="H10" s="68"/>
      <c r="I10" s="148"/>
      <c r="J10" s="211"/>
      <c r="K10" s="210"/>
      <c r="L10" s="68"/>
    </row>
    <row r="11" spans="1:12" x14ac:dyDescent="0.25">
      <c r="A11" s="54" t="str">
        <f>'A4-FinPerf RE'!A6</f>
        <v>Service charges - electricity revenue</v>
      </c>
      <c r="B11" s="55">
        <v>6</v>
      </c>
      <c r="C11" s="210"/>
      <c r="D11" s="210"/>
      <c r="E11" s="68"/>
      <c r="F11" s="208"/>
      <c r="G11" s="210"/>
      <c r="H11" s="68"/>
      <c r="I11" s="148"/>
      <c r="J11" s="211"/>
      <c r="K11" s="210"/>
      <c r="L11" s="68"/>
    </row>
    <row r="12" spans="1:12" x14ac:dyDescent="0.25">
      <c r="A12" s="187" t="str">
        <f>"Total "&amp;A11</f>
        <v>Total Service charges - electricity revenue</v>
      </c>
      <c r="B12" s="55"/>
      <c r="C12" s="1358"/>
      <c r="D12" s="1358">
        <f>85747062+D14</f>
        <v>88899841.579999998</v>
      </c>
      <c r="E12" s="1359">
        <f>99389627+E14</f>
        <v>102480061</v>
      </c>
      <c r="F12" s="1360">
        <v>104568167</v>
      </c>
      <c r="G12" s="1358">
        <v>118081017</v>
      </c>
      <c r="H12" s="1359">
        <v>118081017</v>
      </c>
      <c r="I12" s="1361">
        <v>118081017</v>
      </c>
      <c r="J12" s="1362">
        <v>133065412</v>
      </c>
      <c r="K12" s="1358">
        <f>J12*1.06</f>
        <v>141049336.72</v>
      </c>
      <c r="L12" s="1359">
        <f>K12*1.06</f>
        <v>149512296.92320001</v>
      </c>
    </row>
    <row r="13" spans="1:12" ht="25.5" x14ac:dyDescent="0.25">
      <c r="A13" s="1704" t="s">
        <v>2083</v>
      </c>
      <c r="B13" s="55"/>
      <c r="C13" s="1358"/>
      <c r="D13" s="1358"/>
      <c r="E13" s="1359"/>
      <c r="F13" s="1360"/>
      <c r="G13" s="1358"/>
      <c r="H13" s="1359"/>
      <c r="I13" s="1361"/>
      <c r="J13" s="1362"/>
      <c r="K13" s="1358"/>
      <c r="L13" s="1359"/>
    </row>
    <row r="14" spans="1:12" ht="25.5" x14ac:dyDescent="0.25">
      <c r="A14" s="1731" t="s">
        <v>2057</v>
      </c>
      <c r="B14" s="55"/>
      <c r="C14" s="1732">
        <f>'SA9'!E250</f>
        <v>0</v>
      </c>
      <c r="D14" s="1732">
        <f>'SA9'!F250</f>
        <v>3152779.58</v>
      </c>
      <c r="E14" s="1733">
        <f>'SA9'!G250</f>
        <v>3090434</v>
      </c>
      <c r="F14" s="1734">
        <f>'SA9'!H250</f>
        <v>3018956</v>
      </c>
      <c r="G14" s="1732">
        <v>3018956</v>
      </c>
      <c r="H14" s="1733">
        <f>'SA9'!J250</f>
        <v>3018956</v>
      </c>
      <c r="I14" s="1361">
        <f>H14</f>
        <v>3018956</v>
      </c>
      <c r="J14" s="1735">
        <f>'SA9'!K250</f>
        <v>3029595</v>
      </c>
      <c r="K14" s="1732">
        <f>'SA9'!L250</f>
        <v>3211370.7</v>
      </c>
      <c r="L14" s="1733">
        <f>'SA9'!M250</f>
        <v>3404052.9420000003</v>
      </c>
    </row>
    <row r="15" spans="1:12" ht="12.75" customHeight="1" x14ac:dyDescent="0.25">
      <c r="A15" s="189" t="str">
        <f>"Net "&amp; A11</f>
        <v>Net Service charges - electricity revenue</v>
      </c>
      <c r="B15" s="55"/>
      <c r="C15" s="1699">
        <f>C12-C13-C14</f>
        <v>0</v>
      </c>
      <c r="D15" s="1699">
        <f t="shared" ref="D15:L15" si="1">D12-D13-D14</f>
        <v>85747062</v>
      </c>
      <c r="E15" s="1700">
        <f t="shared" si="1"/>
        <v>99389627</v>
      </c>
      <c r="F15" s="1701">
        <f t="shared" si="1"/>
        <v>101549211</v>
      </c>
      <c r="G15" s="1699">
        <f t="shared" si="1"/>
        <v>115062061</v>
      </c>
      <c r="H15" s="1700">
        <f t="shared" si="1"/>
        <v>115062061</v>
      </c>
      <c r="I15" s="1702">
        <f t="shared" si="1"/>
        <v>115062061</v>
      </c>
      <c r="J15" s="1703">
        <f t="shared" si="1"/>
        <v>130035817</v>
      </c>
      <c r="K15" s="1699">
        <f t="shared" si="1"/>
        <v>137837966.02000001</v>
      </c>
      <c r="L15" s="1700">
        <f t="shared" si="1"/>
        <v>146108243.98120001</v>
      </c>
    </row>
    <row r="16" spans="1:12" ht="4.9000000000000004" customHeight="1" x14ac:dyDescent="0.25">
      <c r="B16" s="55"/>
      <c r="C16" s="403"/>
      <c r="D16" s="403"/>
      <c r="E16" s="90"/>
      <c r="F16" s="368"/>
      <c r="G16" s="403"/>
      <c r="H16" s="90"/>
      <c r="I16" s="104"/>
      <c r="J16" s="712"/>
      <c r="K16" s="403"/>
      <c r="L16" s="90"/>
    </row>
    <row r="17" spans="1:12" x14ac:dyDescent="0.25">
      <c r="A17" s="713" t="str">
        <f>'A4-FinPerf RE'!A7</f>
        <v>Service charges - water revenue</v>
      </c>
      <c r="B17" s="55">
        <v>6</v>
      </c>
      <c r="C17" s="403"/>
      <c r="D17" s="403"/>
      <c r="E17" s="90"/>
      <c r="F17" s="368"/>
      <c r="G17" s="403"/>
      <c r="H17" s="90"/>
      <c r="I17" s="104"/>
      <c r="J17" s="712"/>
      <c r="K17" s="403"/>
      <c r="L17" s="90"/>
    </row>
    <row r="18" spans="1:12" x14ac:dyDescent="0.25">
      <c r="A18" s="187" t="str">
        <f>"Total "&amp;A17</f>
        <v>Total Service charges - water revenue</v>
      </c>
      <c r="B18" s="55"/>
      <c r="C18" s="1363"/>
      <c r="D18" s="1363">
        <f>24228251+D20</f>
        <v>29233933.030000001</v>
      </c>
      <c r="E18" s="1364">
        <f>26572699+E20</f>
        <v>32137969.800000001</v>
      </c>
      <c r="F18" s="1365">
        <v>31438285</v>
      </c>
      <c r="G18" s="1363">
        <v>31685942</v>
      </c>
      <c r="H18" s="1364">
        <v>31685942</v>
      </c>
      <c r="I18" s="1366">
        <v>31685942</v>
      </c>
      <c r="J18" s="1367">
        <v>33511528</v>
      </c>
      <c r="K18" s="1363">
        <f>J18*1.06</f>
        <v>35522219.68</v>
      </c>
      <c r="L18" s="1364">
        <f>K18*1.06</f>
        <v>37653552.860799998</v>
      </c>
    </row>
    <row r="19" spans="1:12" ht="25.5" x14ac:dyDescent="0.25">
      <c r="A19" s="1704" t="s">
        <v>2084</v>
      </c>
      <c r="B19" s="55"/>
      <c r="C19" s="1363"/>
      <c r="D19" s="1363"/>
      <c r="E19" s="1364"/>
      <c r="F19" s="1365"/>
      <c r="G19" s="1363"/>
      <c r="H19" s="1364"/>
      <c r="I19" s="1366"/>
      <c r="J19" s="1362"/>
      <c r="K19" s="1358"/>
      <c r="L19" s="1359"/>
    </row>
    <row r="20" spans="1:12" ht="25.5" x14ac:dyDescent="0.25">
      <c r="A20" s="1731" t="s">
        <v>2056</v>
      </c>
      <c r="B20" s="55"/>
      <c r="C20" s="1732">
        <f>'SA9'!E262</f>
        <v>0</v>
      </c>
      <c r="D20" s="1732">
        <f>'SA9'!F262</f>
        <v>5005682.03</v>
      </c>
      <c r="E20" s="1733">
        <f>'SA9'!G262</f>
        <v>5565270.7999999998</v>
      </c>
      <c r="F20" s="1734">
        <f>'SA9'!H262</f>
        <v>5968112</v>
      </c>
      <c r="G20" s="1732">
        <v>2984056</v>
      </c>
      <c r="H20" s="1733">
        <f>'SA9'!J262</f>
        <v>2984056</v>
      </c>
      <c r="I20" s="1361">
        <f>H20</f>
        <v>2984056</v>
      </c>
      <c r="J20" s="1735">
        <f>'SA9'!K262</f>
        <v>5968112</v>
      </c>
      <c r="K20" s="1732">
        <f>'SA9'!L262</f>
        <v>6326198.7200000007</v>
      </c>
      <c r="L20" s="1733">
        <f>'SA9'!M262</f>
        <v>6705770.6432000007</v>
      </c>
    </row>
    <row r="21" spans="1:12" x14ac:dyDescent="0.25">
      <c r="A21" s="189" t="str">
        <f>"Net "&amp; A17</f>
        <v>Net Service charges - water revenue</v>
      </c>
      <c r="B21" s="55"/>
      <c r="C21" s="1699">
        <f>C18-C19-C20</f>
        <v>0</v>
      </c>
      <c r="D21" s="1699">
        <f t="shared" ref="D21:L21" si="2">D18-D19-D20</f>
        <v>24228251</v>
      </c>
      <c r="E21" s="1700">
        <f t="shared" si="2"/>
        <v>26572699</v>
      </c>
      <c r="F21" s="1701">
        <f t="shared" si="2"/>
        <v>25470173</v>
      </c>
      <c r="G21" s="1699">
        <f t="shared" si="2"/>
        <v>28701886</v>
      </c>
      <c r="H21" s="1700">
        <f t="shared" si="2"/>
        <v>28701886</v>
      </c>
      <c r="I21" s="1702">
        <f t="shared" si="2"/>
        <v>28701886</v>
      </c>
      <c r="J21" s="1703">
        <f t="shared" si="2"/>
        <v>27543416</v>
      </c>
      <c r="K21" s="1699">
        <f t="shared" si="2"/>
        <v>29196020.960000001</v>
      </c>
      <c r="L21" s="1700">
        <f t="shared" si="2"/>
        <v>30947782.217599995</v>
      </c>
    </row>
    <row r="22" spans="1:12" ht="4.5" customHeight="1" x14ac:dyDescent="0.25">
      <c r="A22" s="189"/>
      <c r="B22" s="55"/>
      <c r="C22" s="403"/>
      <c r="D22" s="403"/>
      <c r="E22" s="90"/>
      <c r="F22" s="368"/>
      <c r="G22" s="403"/>
      <c r="H22" s="90"/>
      <c r="I22" s="104"/>
      <c r="J22" s="712"/>
      <c r="K22" s="403"/>
      <c r="L22" s="90"/>
    </row>
    <row r="23" spans="1:12" x14ac:dyDescent="0.25">
      <c r="A23" s="713" t="str">
        <f>'A4-FinPerf RE'!A8</f>
        <v>Service charges - sanitation revenue</v>
      </c>
      <c r="B23" s="55"/>
      <c r="C23" s="403"/>
      <c r="D23" s="403"/>
      <c r="E23" s="90"/>
      <c r="F23" s="368"/>
      <c r="G23" s="403"/>
      <c r="H23" s="90"/>
      <c r="I23" s="104"/>
      <c r="J23" s="712"/>
      <c r="K23" s="403"/>
      <c r="L23" s="90"/>
    </row>
    <row r="24" spans="1:12" x14ac:dyDescent="0.25">
      <c r="A24" s="187" t="str">
        <f>"Total "&amp;A23</f>
        <v>Total Service charges - sanitation revenue</v>
      </c>
      <c r="B24" s="55"/>
      <c r="C24" s="1363"/>
      <c r="D24" s="1363">
        <f>2030046+D26</f>
        <v>6552963.1399999997</v>
      </c>
      <c r="E24" s="1364">
        <f>12557944+E26</f>
        <v>17967700.789999999</v>
      </c>
      <c r="F24" s="1365">
        <v>16333144</v>
      </c>
      <c r="G24" s="1363">
        <v>16333144</v>
      </c>
      <c r="H24" s="1364">
        <v>16333144</v>
      </c>
      <c r="I24" s="1366">
        <v>16333144</v>
      </c>
      <c r="J24" s="1367">
        <v>22899104</v>
      </c>
      <c r="K24" s="1363">
        <f>J24*1.06</f>
        <v>24273050.240000002</v>
      </c>
      <c r="L24" s="1364">
        <f>K24*1.06</f>
        <v>25729433.254400004</v>
      </c>
    </row>
    <row r="25" spans="1:12" ht="25.5" x14ac:dyDescent="0.25">
      <c r="A25" s="1704" t="s">
        <v>2085</v>
      </c>
      <c r="B25" s="55"/>
      <c r="C25" s="1363"/>
      <c r="D25" s="1363"/>
      <c r="E25" s="1364"/>
      <c r="F25" s="1365"/>
      <c r="G25" s="1363"/>
      <c r="H25" s="1364"/>
      <c r="I25" s="1366"/>
      <c r="J25" s="1367"/>
      <c r="K25" s="1363"/>
      <c r="L25" s="1364"/>
    </row>
    <row r="26" spans="1:12" ht="25.5" x14ac:dyDescent="0.25">
      <c r="A26" s="1731" t="s">
        <v>2058</v>
      </c>
      <c r="B26" s="55"/>
      <c r="C26" s="1732">
        <f>'SA9'!E274</f>
        <v>0</v>
      </c>
      <c r="D26" s="1732">
        <f>'SA9'!F274</f>
        <v>4522917.1399999997</v>
      </c>
      <c r="E26" s="1733">
        <f>'SA9'!G274</f>
        <v>5409756.79</v>
      </c>
      <c r="F26" s="1734">
        <f>'SA9'!H274</f>
        <v>6032376</v>
      </c>
      <c r="G26" s="1732">
        <v>6032376</v>
      </c>
      <c r="H26" s="1733">
        <f>'SA9'!J274</f>
        <v>6032376</v>
      </c>
      <c r="I26" s="1361">
        <f>H26</f>
        <v>6032376</v>
      </c>
      <c r="J26" s="1735">
        <f>'SA9'!K274</f>
        <v>6513672</v>
      </c>
      <c r="K26" s="1732">
        <f>'SA9'!L274</f>
        <v>6904492.3200000003</v>
      </c>
      <c r="L26" s="1732">
        <f>'SA9'!M274</f>
        <v>7318761.8592000008</v>
      </c>
    </row>
    <row r="27" spans="1:12" x14ac:dyDescent="0.25">
      <c r="A27" s="189" t="str">
        <f>"Net "&amp; A23</f>
        <v>Net Service charges - sanitation revenue</v>
      </c>
      <c r="B27" s="55"/>
      <c r="C27" s="81">
        <f>C24-C25-C26</f>
        <v>0</v>
      </c>
      <c r="D27" s="81">
        <f>D24-D25-D26</f>
        <v>2030046</v>
      </c>
      <c r="E27" s="82">
        <f t="shared" ref="E27:L27" si="3">E24-E25-E26</f>
        <v>12557944</v>
      </c>
      <c r="F27" s="83">
        <f t="shared" si="3"/>
        <v>10300768</v>
      </c>
      <c r="G27" s="81">
        <f t="shared" si="3"/>
        <v>10300768</v>
      </c>
      <c r="H27" s="82">
        <f t="shared" si="3"/>
        <v>10300768</v>
      </c>
      <c r="I27" s="80">
        <f t="shared" si="3"/>
        <v>10300768</v>
      </c>
      <c r="J27" s="84">
        <f t="shared" si="3"/>
        <v>16385432</v>
      </c>
      <c r="K27" s="81">
        <f t="shared" si="3"/>
        <v>17368557.920000002</v>
      </c>
      <c r="L27" s="82">
        <f t="shared" si="3"/>
        <v>18410671.395200003</v>
      </c>
    </row>
    <row r="28" spans="1:12" ht="4.5" customHeight="1" x14ac:dyDescent="0.25">
      <c r="A28" s="189"/>
      <c r="B28" s="55"/>
      <c r="C28" s="403"/>
      <c r="D28" s="403"/>
      <c r="E28" s="90"/>
      <c r="F28" s="368"/>
      <c r="G28" s="403"/>
      <c r="H28" s="90"/>
      <c r="I28" s="104"/>
      <c r="J28" s="712"/>
      <c r="K28" s="403"/>
      <c r="L28" s="90"/>
    </row>
    <row r="29" spans="1:12" x14ac:dyDescent="0.25">
      <c r="A29" s="54" t="str">
        <f>'A4-FinPerf RE'!A9</f>
        <v>Service charges - refuse revenue</v>
      </c>
      <c r="B29" s="55">
        <v>6</v>
      </c>
      <c r="C29" s="210"/>
      <c r="D29" s="210"/>
      <c r="E29" s="68"/>
      <c r="F29" s="208"/>
      <c r="G29" s="210"/>
      <c r="H29" s="68"/>
      <c r="I29" s="148"/>
      <c r="J29" s="211"/>
      <c r="K29" s="210"/>
      <c r="L29" s="68"/>
    </row>
    <row r="30" spans="1:12" ht="11.25" customHeight="1" x14ac:dyDescent="0.25">
      <c r="A30" s="187" t="s">
        <v>1389</v>
      </c>
      <c r="B30" s="55"/>
      <c r="C30" s="1316"/>
      <c r="D30" s="1316">
        <f>4257423+D33</f>
        <v>7390850.25</v>
      </c>
      <c r="E30" s="1325">
        <f>15384259+E33</f>
        <v>19376676.559999999</v>
      </c>
      <c r="F30" s="1326">
        <v>18221368</v>
      </c>
      <c r="G30" s="1316">
        <v>18568759</v>
      </c>
      <c r="H30" s="1325">
        <v>18568759</v>
      </c>
      <c r="I30" s="1327">
        <v>18568759</v>
      </c>
      <c r="J30" s="1318">
        <v>28091247</v>
      </c>
      <c r="K30" s="1316">
        <f>J30*1.06</f>
        <v>29776721.82</v>
      </c>
      <c r="L30" s="1325">
        <f>K30*1.06</f>
        <v>31563325.1292</v>
      </c>
    </row>
    <row r="31" spans="1:12" ht="11.25" customHeight="1" x14ac:dyDescent="0.25">
      <c r="A31" s="187" t="s">
        <v>1390</v>
      </c>
      <c r="B31" s="55"/>
      <c r="C31" s="1316"/>
      <c r="D31" s="1316"/>
      <c r="E31" s="1325"/>
      <c r="F31" s="1326"/>
      <c r="G31" s="1316"/>
      <c r="H31" s="1325"/>
      <c r="I31" s="1327"/>
      <c r="J31" s="1318"/>
      <c r="K31" s="1316"/>
      <c r="L31" s="1325"/>
    </row>
    <row r="32" spans="1:12" ht="25.5" x14ac:dyDescent="0.25">
      <c r="A32" s="1704" t="s">
        <v>2086</v>
      </c>
      <c r="B32" s="55"/>
      <c r="C32" s="1316"/>
      <c r="D32" s="1316"/>
      <c r="E32" s="1325"/>
      <c r="F32" s="1326"/>
      <c r="G32" s="1316"/>
      <c r="H32" s="1325"/>
      <c r="I32" s="1327"/>
      <c r="J32" s="1318"/>
      <c r="K32" s="1316"/>
      <c r="L32" s="1325"/>
    </row>
    <row r="33" spans="1:12" ht="25.5" x14ac:dyDescent="0.25">
      <c r="A33" s="1731" t="s">
        <v>2059</v>
      </c>
      <c r="B33" s="55"/>
      <c r="C33" s="1732">
        <f>'SA9'!E286</f>
        <v>0</v>
      </c>
      <c r="D33" s="1732">
        <f>'SA9'!F286</f>
        <v>3133427.25</v>
      </c>
      <c r="E33" s="1733">
        <f>'SA9'!G286</f>
        <v>3992417.56</v>
      </c>
      <c r="F33" s="1734">
        <f>'SA9'!H286</f>
        <v>6758112</v>
      </c>
      <c r="G33" s="1732">
        <v>6758112</v>
      </c>
      <c r="H33" s="1733">
        <f>'SA9'!J286</f>
        <v>6758112</v>
      </c>
      <c r="I33" s="1361">
        <f>H33</f>
        <v>6758112</v>
      </c>
      <c r="J33" s="1735">
        <f>'SA9'!K286</f>
        <v>5184732</v>
      </c>
      <c r="K33" s="1732">
        <f>'SA9'!L286</f>
        <v>5495815.9199999999</v>
      </c>
      <c r="L33" s="1732">
        <f>'SA9'!M286</f>
        <v>5825564.8752000006</v>
      </c>
    </row>
    <row r="34" spans="1:12" x14ac:dyDescent="0.25">
      <c r="A34" s="189" t="str">
        <f>"Net "&amp; A29</f>
        <v>Net Service charges - refuse revenue</v>
      </c>
      <c r="B34" s="55"/>
      <c r="C34" s="81">
        <f>SUM(C30:C31)-C32-C33</f>
        <v>0</v>
      </c>
      <c r="D34" s="81">
        <f t="shared" ref="D34:L34" si="4">SUM(D30:D31)-D32-D33</f>
        <v>4257423</v>
      </c>
      <c r="E34" s="82">
        <f t="shared" si="4"/>
        <v>15384258.999999998</v>
      </c>
      <c r="F34" s="83">
        <f t="shared" si="4"/>
        <v>11463256</v>
      </c>
      <c r="G34" s="81">
        <f t="shared" si="4"/>
        <v>11810647</v>
      </c>
      <c r="H34" s="82">
        <f t="shared" si="4"/>
        <v>11810647</v>
      </c>
      <c r="I34" s="80">
        <f t="shared" si="4"/>
        <v>11810647</v>
      </c>
      <c r="J34" s="84">
        <f t="shared" si="4"/>
        <v>22906515</v>
      </c>
      <c r="K34" s="81">
        <f t="shared" si="4"/>
        <v>24280905.899999999</v>
      </c>
      <c r="L34" s="82">
        <f t="shared" si="4"/>
        <v>25737760.254000001</v>
      </c>
    </row>
    <row r="35" spans="1:12" ht="4.9000000000000004" customHeight="1" x14ac:dyDescent="0.25">
      <c r="A35" s="74"/>
      <c r="B35" s="55"/>
      <c r="C35" s="76"/>
      <c r="D35" s="76"/>
      <c r="E35" s="77"/>
      <c r="F35" s="78"/>
      <c r="G35" s="76"/>
      <c r="H35" s="77"/>
      <c r="I35" s="75"/>
      <c r="J35" s="79"/>
      <c r="K35" s="76"/>
      <c r="L35" s="77"/>
    </row>
    <row r="36" spans="1:12" ht="11.25" customHeight="1" x14ac:dyDescent="0.25">
      <c r="A36" s="54" t="s">
        <v>323</v>
      </c>
      <c r="B36" s="55"/>
      <c r="C36" s="153"/>
      <c r="D36" s="153"/>
      <c r="E36" s="156"/>
      <c r="F36" s="155"/>
      <c r="G36" s="153"/>
      <c r="H36" s="156"/>
      <c r="I36" s="154"/>
      <c r="J36" s="212"/>
      <c r="K36" s="153"/>
      <c r="L36" s="156"/>
    </row>
    <row r="37" spans="1:12" ht="11.25" customHeight="1" x14ac:dyDescent="0.25">
      <c r="A37" s="1368" t="s">
        <v>2049</v>
      </c>
      <c r="B37" s="55"/>
      <c r="C37" s="1316"/>
      <c r="D37" s="1316"/>
      <c r="E37" s="1325"/>
      <c r="F37" s="1326"/>
      <c r="G37" s="1316"/>
      <c r="H37" s="1325"/>
      <c r="I37" s="1327"/>
      <c r="J37" s="1318"/>
      <c r="K37" s="1316"/>
      <c r="L37" s="1325"/>
    </row>
    <row r="38" spans="1:12" ht="11.25" customHeight="1" x14ac:dyDescent="0.25">
      <c r="A38" s="1368" t="s">
        <v>2050</v>
      </c>
      <c r="B38" s="55"/>
      <c r="C38" s="1316"/>
      <c r="D38" s="1316">
        <v>1903550</v>
      </c>
      <c r="E38" s="1325">
        <v>3118956</v>
      </c>
      <c r="F38" s="1326">
        <v>90269</v>
      </c>
      <c r="G38" s="1316">
        <v>121800.5</v>
      </c>
      <c r="H38" s="1325">
        <v>121800.5</v>
      </c>
      <c r="I38" s="1327">
        <v>121800.5</v>
      </c>
      <c r="J38" s="1318">
        <v>5565853.5</v>
      </c>
      <c r="K38" s="1316">
        <f>J38*1.06</f>
        <v>5899804.71</v>
      </c>
      <c r="L38" s="1325">
        <f>K38*1.06</f>
        <v>6253792.9926000005</v>
      </c>
    </row>
    <row r="39" spans="1:12" ht="11.25" customHeight="1" x14ac:dyDescent="0.25">
      <c r="A39" s="1368" t="s">
        <v>2706</v>
      </c>
      <c r="B39" s="55"/>
      <c r="C39" s="1316"/>
      <c r="D39" s="1316"/>
      <c r="E39" s="1325"/>
      <c r="F39" s="1326">
        <v>4012924.16</v>
      </c>
      <c r="G39" s="1316">
        <v>4184083.16</v>
      </c>
      <c r="H39" s="1325">
        <v>4184083.16</v>
      </c>
      <c r="I39" s="1327">
        <v>4184083.16</v>
      </c>
      <c r="J39" s="1318"/>
      <c r="K39" s="1316"/>
      <c r="L39" s="1325"/>
    </row>
    <row r="40" spans="1:12" ht="11.25" customHeight="1" x14ac:dyDescent="0.25">
      <c r="A40" s="1369" t="s">
        <v>2707</v>
      </c>
      <c r="B40" s="55"/>
      <c r="C40" s="1316"/>
      <c r="D40" s="1316"/>
      <c r="E40" s="1325">
        <v>3369656</v>
      </c>
      <c r="F40" s="1326"/>
      <c r="G40" s="1316"/>
      <c r="H40" s="1325"/>
      <c r="I40" s="1327"/>
      <c r="J40" s="1318"/>
      <c r="K40" s="1316"/>
      <c r="L40" s="1325"/>
    </row>
    <row r="41" spans="1:12" ht="11.25" customHeight="1" x14ac:dyDescent="0.25">
      <c r="A41" s="1369" t="s">
        <v>2708</v>
      </c>
      <c r="B41" s="55"/>
      <c r="C41" s="1316"/>
      <c r="D41" s="1316"/>
      <c r="E41" s="1325"/>
      <c r="F41" s="1326">
        <v>72618</v>
      </c>
      <c r="G41" s="1316">
        <v>72618</v>
      </c>
      <c r="H41" s="1325">
        <v>72618</v>
      </c>
      <c r="I41" s="1327">
        <v>72618</v>
      </c>
      <c r="J41" s="1318"/>
      <c r="K41" s="1316"/>
      <c r="L41" s="1325"/>
    </row>
    <row r="42" spans="1:12" ht="11.25" customHeight="1" x14ac:dyDescent="0.25">
      <c r="A42" s="1369" t="s">
        <v>2709</v>
      </c>
      <c r="B42" s="55"/>
      <c r="C42" s="1316"/>
      <c r="D42" s="1316"/>
      <c r="E42" s="1325"/>
      <c r="F42" s="1326">
        <v>20000</v>
      </c>
      <c r="G42" s="1316">
        <v>20000</v>
      </c>
      <c r="H42" s="1325">
        <v>20000</v>
      </c>
      <c r="I42" s="1327">
        <v>20000</v>
      </c>
      <c r="J42" s="1318"/>
      <c r="K42" s="1316"/>
      <c r="L42" s="1325"/>
    </row>
    <row r="43" spans="1:12" ht="11.25" customHeight="1" x14ac:dyDescent="0.25">
      <c r="A43" s="1369" t="s">
        <v>2710</v>
      </c>
      <c r="B43" s="55"/>
      <c r="C43" s="1316"/>
      <c r="D43" s="1316"/>
      <c r="E43" s="1325"/>
      <c r="F43" s="1326">
        <v>220951</v>
      </c>
      <c r="G43" s="1316">
        <v>220951</v>
      </c>
      <c r="H43" s="1325">
        <v>220951</v>
      </c>
      <c r="I43" s="1327">
        <v>220951</v>
      </c>
      <c r="J43" s="1318"/>
      <c r="K43" s="1316"/>
      <c r="L43" s="1325"/>
    </row>
    <row r="44" spans="1:12" ht="11.25" customHeight="1" x14ac:dyDescent="0.25">
      <c r="A44" s="1369" t="s">
        <v>2711</v>
      </c>
      <c r="B44" s="55"/>
      <c r="C44" s="1316"/>
      <c r="D44" s="1316"/>
      <c r="E44" s="1325"/>
      <c r="F44" s="1326">
        <v>0</v>
      </c>
      <c r="G44" s="1316">
        <v>0</v>
      </c>
      <c r="H44" s="1325">
        <v>0</v>
      </c>
      <c r="I44" s="1327">
        <v>0</v>
      </c>
      <c r="J44" s="1318"/>
      <c r="K44" s="1316"/>
      <c r="L44" s="1325"/>
    </row>
    <row r="45" spans="1:12" ht="11.25" customHeight="1" x14ac:dyDescent="0.25">
      <c r="A45" s="1369" t="s">
        <v>2712</v>
      </c>
      <c r="B45" s="55"/>
      <c r="C45" s="1316"/>
      <c r="D45" s="1316"/>
      <c r="E45" s="1325"/>
      <c r="F45" s="1326">
        <v>43668</v>
      </c>
      <c r="G45" s="1316">
        <v>43668</v>
      </c>
      <c r="H45" s="1325">
        <v>43668</v>
      </c>
      <c r="I45" s="1327">
        <v>43668</v>
      </c>
      <c r="J45" s="1318"/>
      <c r="K45" s="1316"/>
      <c r="L45" s="1325"/>
    </row>
    <row r="46" spans="1:12" ht="11.25" customHeight="1" x14ac:dyDescent="0.25">
      <c r="A46" s="1369" t="s">
        <v>2713</v>
      </c>
      <c r="B46" s="55"/>
      <c r="C46" s="1316"/>
      <c r="D46" s="1316"/>
      <c r="E46" s="1325"/>
      <c r="F46" s="1326">
        <v>656452.5</v>
      </c>
      <c r="G46" s="1316">
        <v>656452.5</v>
      </c>
      <c r="H46" s="1325">
        <v>656452.5</v>
      </c>
      <c r="I46" s="1327">
        <v>656452.5</v>
      </c>
      <c r="J46" s="1318"/>
      <c r="K46" s="1316"/>
      <c r="L46" s="1325"/>
    </row>
    <row r="47" spans="1:12" ht="11.25" customHeight="1" x14ac:dyDescent="0.25">
      <c r="A47" s="1369"/>
      <c r="B47" s="55"/>
      <c r="C47" s="1316"/>
      <c r="D47" s="1316"/>
      <c r="E47" s="1325"/>
      <c r="F47" s="1326"/>
      <c r="G47" s="1316"/>
      <c r="H47" s="1325"/>
      <c r="I47" s="1327"/>
      <c r="J47" s="1318"/>
      <c r="K47" s="1316"/>
      <c r="L47" s="1325"/>
    </row>
    <row r="48" spans="1:12" ht="11.25" customHeight="1" x14ac:dyDescent="0.25">
      <c r="A48" s="1369"/>
      <c r="B48" s="55">
        <v>3</v>
      </c>
      <c r="C48" s="1316"/>
      <c r="D48" s="1316"/>
      <c r="E48" s="1325"/>
      <c r="F48" s="1326"/>
      <c r="G48" s="1316"/>
      <c r="H48" s="1325"/>
      <c r="I48" s="1327"/>
      <c r="J48" s="1318"/>
      <c r="K48" s="1316"/>
      <c r="L48" s="1325"/>
    </row>
    <row r="49" spans="1:12" ht="11.25" customHeight="1" x14ac:dyDescent="0.25">
      <c r="A49" s="189" t="s">
        <v>1064</v>
      </c>
      <c r="B49" s="55">
        <v>1</v>
      </c>
      <c r="C49" s="81">
        <f>SUM(C37:C48)</f>
        <v>0</v>
      </c>
      <c r="D49" s="81">
        <f t="shared" ref="D49:L49" si="5">SUM(D37:D48)</f>
        <v>1903550</v>
      </c>
      <c r="E49" s="82">
        <f t="shared" si="5"/>
        <v>6488612</v>
      </c>
      <c r="F49" s="83">
        <f t="shared" si="5"/>
        <v>5116882.66</v>
      </c>
      <c r="G49" s="81">
        <f t="shared" si="5"/>
        <v>5319573.16</v>
      </c>
      <c r="H49" s="82">
        <f t="shared" si="5"/>
        <v>5319573.16</v>
      </c>
      <c r="I49" s="80">
        <f t="shared" si="5"/>
        <v>5319573.16</v>
      </c>
      <c r="J49" s="84">
        <f t="shared" si="5"/>
        <v>5565853.5</v>
      </c>
      <c r="K49" s="81">
        <f t="shared" si="5"/>
        <v>5899804.71</v>
      </c>
      <c r="L49" s="82">
        <f t="shared" si="5"/>
        <v>6253792.9926000005</v>
      </c>
    </row>
    <row r="50" spans="1:12" ht="4.9000000000000004" customHeight="1" x14ac:dyDescent="0.25">
      <c r="A50" s="74"/>
      <c r="B50" s="55"/>
      <c r="C50" s="76"/>
      <c r="D50" s="76"/>
      <c r="E50" s="77"/>
      <c r="F50" s="78"/>
      <c r="G50" s="76"/>
      <c r="H50" s="77"/>
      <c r="I50" s="75"/>
      <c r="J50" s="79"/>
      <c r="K50" s="76"/>
      <c r="L50" s="77"/>
    </row>
    <row r="51" spans="1:12" ht="15.75" customHeight="1" x14ac:dyDescent="0.25">
      <c r="A51" s="213" t="s">
        <v>468</v>
      </c>
      <c r="B51" s="214"/>
      <c r="C51" s="185"/>
      <c r="D51" s="185"/>
      <c r="E51" s="186"/>
      <c r="F51" s="215"/>
      <c r="G51" s="185"/>
      <c r="H51" s="186"/>
      <c r="I51" s="216"/>
      <c r="J51" s="217"/>
      <c r="K51" s="185"/>
      <c r="L51" s="186"/>
    </row>
    <row r="52" spans="1:12" ht="11.25" customHeight="1" x14ac:dyDescent="0.25">
      <c r="A52" s="54" t="str">
        <f>'A4-FinPerf RE'!A24</f>
        <v>Employee related costs</v>
      </c>
      <c r="B52" s="55"/>
      <c r="C52" s="76"/>
      <c r="D52" s="76"/>
      <c r="E52" s="77"/>
      <c r="F52" s="78"/>
      <c r="G52" s="76"/>
      <c r="H52" s="77"/>
      <c r="I52" s="75"/>
      <c r="J52" s="79"/>
      <c r="K52" s="76"/>
      <c r="L52" s="77"/>
    </row>
    <row r="53" spans="1:12" ht="11.25" customHeight="1" x14ac:dyDescent="0.25">
      <c r="A53" s="63" t="s">
        <v>1152</v>
      </c>
      <c r="B53" s="55">
        <v>2</v>
      </c>
      <c r="C53" s="1316"/>
      <c r="D53" s="1316">
        <f>34517019+39581228</f>
        <v>74098247</v>
      </c>
      <c r="E53" s="1325">
        <f>42973365+57331389</f>
        <v>100304754</v>
      </c>
      <c r="F53" s="1326">
        <v>136617502</v>
      </c>
      <c r="G53" s="1316">
        <v>153963869</v>
      </c>
      <c r="H53" s="1325">
        <v>153963869</v>
      </c>
      <c r="I53" s="1327">
        <v>153963869</v>
      </c>
      <c r="J53" s="1318">
        <v>156731824.61079994</v>
      </c>
      <c r="K53" s="1316">
        <f>J53*1.06</f>
        <v>166135734.08744794</v>
      </c>
      <c r="L53" s="1325">
        <f>K53*1.06</f>
        <v>176103878.13269484</v>
      </c>
    </row>
    <row r="54" spans="1:12" ht="11.25" customHeight="1" x14ac:dyDescent="0.25">
      <c r="A54" s="63" t="s">
        <v>1822</v>
      </c>
      <c r="B54" s="55"/>
      <c r="C54" s="1316"/>
      <c r="D54" s="1316">
        <f>682623+13255768</f>
        <v>13938391</v>
      </c>
      <c r="E54" s="1325">
        <f>810531+14316238</f>
        <v>15126769</v>
      </c>
      <c r="F54" s="1326"/>
      <c r="G54" s="1316"/>
      <c r="H54" s="1325"/>
      <c r="I54" s="1327"/>
      <c r="J54" s="1318"/>
      <c r="K54" s="1316"/>
      <c r="L54" s="1325"/>
    </row>
    <row r="55" spans="1:12" ht="11.25" customHeight="1" x14ac:dyDescent="0.25">
      <c r="A55" s="63" t="s">
        <v>659</v>
      </c>
      <c r="B55" s="55"/>
      <c r="C55" s="1316"/>
      <c r="D55" s="1316">
        <v>6123624</v>
      </c>
      <c r="E55" s="1325">
        <v>5352680</v>
      </c>
      <c r="F55" s="1326"/>
      <c r="G55" s="1316"/>
      <c r="H55" s="1325"/>
      <c r="I55" s="1327"/>
      <c r="J55" s="1318"/>
      <c r="K55" s="1316"/>
      <c r="L55" s="1325"/>
    </row>
    <row r="56" spans="1:12" ht="11.25" customHeight="1" x14ac:dyDescent="0.25">
      <c r="A56" s="63" t="s">
        <v>961</v>
      </c>
      <c r="B56" s="55"/>
      <c r="C56" s="1316"/>
      <c r="D56" s="1316">
        <v>4342727</v>
      </c>
      <c r="E56" s="1325">
        <v>4835999</v>
      </c>
      <c r="F56" s="1326"/>
      <c r="G56" s="1316"/>
      <c r="H56" s="1325"/>
      <c r="I56" s="1327"/>
      <c r="J56" s="1318"/>
      <c r="K56" s="1316"/>
      <c r="L56" s="1325"/>
    </row>
    <row r="57" spans="1:12" ht="11.25" customHeight="1" x14ac:dyDescent="0.25">
      <c r="A57" s="63" t="s">
        <v>2704</v>
      </c>
      <c r="B57" s="55"/>
      <c r="C57" s="1316"/>
      <c r="D57" s="1316">
        <v>4802835</v>
      </c>
      <c r="E57" s="1325">
        <v>7907970</v>
      </c>
      <c r="F57" s="1326"/>
      <c r="G57" s="1316"/>
      <c r="H57" s="1325"/>
      <c r="I57" s="1327"/>
      <c r="J57" s="1318"/>
      <c r="K57" s="1316"/>
      <c r="L57" s="1325"/>
    </row>
    <row r="58" spans="1:12" ht="11.25" customHeight="1" x14ac:dyDescent="0.25">
      <c r="A58" s="63" t="s">
        <v>1970</v>
      </c>
      <c r="B58" s="55"/>
      <c r="C58" s="1316"/>
      <c r="D58" s="1316">
        <v>1371656</v>
      </c>
      <c r="E58" s="1325">
        <v>1774638</v>
      </c>
      <c r="F58" s="1326"/>
      <c r="G58" s="1316"/>
      <c r="H58" s="1325"/>
      <c r="I58" s="1327"/>
      <c r="J58" s="1318"/>
      <c r="K58" s="1316"/>
      <c r="L58" s="1325"/>
    </row>
    <row r="59" spans="1:12" ht="11.25" customHeight="1" x14ac:dyDescent="0.25">
      <c r="A59" s="63" t="s">
        <v>1823</v>
      </c>
      <c r="B59" s="55"/>
      <c r="C59" s="1316"/>
      <c r="D59" s="1316"/>
      <c r="E59" s="1325"/>
      <c r="F59" s="1326"/>
      <c r="G59" s="1316"/>
      <c r="H59" s="1325"/>
      <c r="I59" s="1327"/>
      <c r="J59" s="1318"/>
      <c r="K59" s="1316"/>
      <c r="L59" s="1325"/>
    </row>
    <row r="60" spans="1:12" ht="11.25" customHeight="1" x14ac:dyDescent="0.25">
      <c r="A60" s="63" t="s">
        <v>1971</v>
      </c>
      <c r="B60" s="55"/>
      <c r="C60" s="1316"/>
      <c r="D60" s="1316">
        <v>1063397</v>
      </c>
      <c r="E60" s="1325">
        <v>1182051</v>
      </c>
      <c r="F60" s="1326"/>
      <c r="G60" s="1316"/>
      <c r="H60" s="1325"/>
      <c r="I60" s="1327"/>
      <c r="J60" s="1318"/>
      <c r="K60" s="1316"/>
      <c r="L60" s="1325"/>
    </row>
    <row r="61" spans="1:12" ht="11.25" customHeight="1" x14ac:dyDescent="0.25">
      <c r="A61" s="63" t="s">
        <v>1364</v>
      </c>
      <c r="B61" s="55"/>
      <c r="C61" s="1316"/>
      <c r="D61" s="1316">
        <f>489999+910092+973451+8684</f>
        <v>2382226</v>
      </c>
      <c r="E61" s="1325">
        <f>717+1272499+52099+361115</f>
        <v>1686430</v>
      </c>
      <c r="F61" s="1326"/>
      <c r="G61" s="1316"/>
      <c r="H61" s="1325"/>
      <c r="I61" s="1327"/>
      <c r="J61" s="1318"/>
      <c r="K61" s="1316"/>
      <c r="L61" s="1325"/>
    </row>
    <row r="62" spans="1:12" ht="11.25" customHeight="1" x14ac:dyDescent="0.25">
      <c r="A62" s="63" t="s">
        <v>1477</v>
      </c>
      <c r="B62" s="55"/>
      <c r="C62" s="1316"/>
      <c r="D62" s="1316"/>
      <c r="E62" s="1325"/>
      <c r="F62" s="1326"/>
      <c r="G62" s="1316"/>
      <c r="H62" s="1325"/>
      <c r="I62" s="1327"/>
      <c r="J62" s="1318"/>
      <c r="K62" s="1316"/>
      <c r="L62" s="1325"/>
    </row>
    <row r="63" spans="1:12" ht="11.25" customHeight="1" x14ac:dyDescent="0.25">
      <c r="A63" s="63" t="s">
        <v>962</v>
      </c>
      <c r="B63" s="55"/>
      <c r="C63" s="1316"/>
      <c r="D63" s="1316"/>
      <c r="E63" s="1325"/>
      <c r="F63" s="1326"/>
      <c r="G63" s="1316"/>
      <c r="H63" s="1325"/>
      <c r="I63" s="1327"/>
      <c r="J63" s="1318"/>
      <c r="K63" s="1316"/>
      <c r="L63" s="1325"/>
    </row>
    <row r="64" spans="1:12" ht="11.25" customHeight="1" x14ac:dyDescent="0.25">
      <c r="A64" s="63" t="s">
        <v>1478</v>
      </c>
      <c r="B64" s="55">
        <v>4</v>
      </c>
      <c r="C64" s="1316"/>
      <c r="D64" s="1316"/>
      <c r="E64" s="1325"/>
      <c r="F64" s="1326"/>
      <c r="G64" s="1316"/>
      <c r="H64" s="1325"/>
      <c r="I64" s="1327"/>
      <c r="J64" s="1318"/>
      <c r="K64" s="1316"/>
      <c r="L64" s="1325"/>
    </row>
    <row r="65" spans="1:12" ht="11.25" customHeight="1" x14ac:dyDescent="0.25">
      <c r="A65" s="218" t="s">
        <v>118</v>
      </c>
      <c r="B65" s="55">
        <v>5</v>
      </c>
      <c r="C65" s="81">
        <f>SUM(C53:C64)</f>
        <v>0</v>
      </c>
      <c r="D65" s="81">
        <f t="shared" ref="D65:L65" si="6">SUM(D53:D64)</f>
        <v>108123103</v>
      </c>
      <c r="E65" s="82">
        <f t="shared" si="6"/>
        <v>138171291</v>
      </c>
      <c r="F65" s="83">
        <f t="shared" si="6"/>
        <v>136617502</v>
      </c>
      <c r="G65" s="81">
        <f t="shared" si="6"/>
        <v>153963869</v>
      </c>
      <c r="H65" s="82">
        <f t="shared" si="6"/>
        <v>153963869</v>
      </c>
      <c r="I65" s="80">
        <f t="shared" si="6"/>
        <v>153963869</v>
      </c>
      <c r="J65" s="84">
        <f t="shared" si="6"/>
        <v>156731824.61079994</v>
      </c>
      <c r="K65" s="81">
        <f t="shared" si="6"/>
        <v>166135734.08744794</v>
      </c>
      <c r="L65" s="82">
        <f t="shared" si="6"/>
        <v>176103878.13269484</v>
      </c>
    </row>
    <row r="66" spans="1:12" ht="11.25" customHeight="1" x14ac:dyDescent="0.25">
      <c r="A66" s="219" t="s">
        <v>431</v>
      </c>
      <c r="B66" s="55"/>
      <c r="C66" s="1316"/>
      <c r="D66" s="1316"/>
      <c r="E66" s="1325"/>
      <c r="F66" s="1326"/>
      <c r="G66" s="1316"/>
      <c r="H66" s="1325"/>
      <c r="I66" s="1327"/>
      <c r="J66" s="1318"/>
      <c r="K66" s="1316"/>
      <c r="L66" s="1325"/>
    </row>
    <row r="67" spans="1:12" ht="11.25" customHeight="1" x14ac:dyDescent="0.25">
      <c r="A67" s="118" t="str">
        <f>"Total "&amp;A52</f>
        <v>Total Employee related costs</v>
      </c>
      <c r="B67" s="55">
        <v>1</v>
      </c>
      <c r="C67" s="81">
        <f>C65-C66</f>
        <v>0</v>
      </c>
      <c r="D67" s="81">
        <f t="shared" ref="D67:L67" si="7">D65-D66</f>
        <v>108123103</v>
      </c>
      <c r="E67" s="82">
        <f t="shared" si="7"/>
        <v>138171291</v>
      </c>
      <c r="F67" s="83">
        <f t="shared" si="7"/>
        <v>136617502</v>
      </c>
      <c r="G67" s="81">
        <f t="shared" si="7"/>
        <v>153963869</v>
      </c>
      <c r="H67" s="82">
        <f t="shared" si="7"/>
        <v>153963869</v>
      </c>
      <c r="I67" s="80">
        <f t="shared" si="7"/>
        <v>153963869</v>
      </c>
      <c r="J67" s="84">
        <f t="shared" si="7"/>
        <v>156731824.61079994</v>
      </c>
      <c r="K67" s="81">
        <f t="shared" si="7"/>
        <v>166135734.08744794</v>
      </c>
      <c r="L67" s="82">
        <f t="shared" si="7"/>
        <v>176103878.13269484</v>
      </c>
    </row>
    <row r="68" spans="1:12" ht="4.9000000000000004" customHeight="1" x14ac:dyDescent="0.25">
      <c r="A68" s="74"/>
      <c r="B68" s="55"/>
      <c r="C68" s="76"/>
      <c r="D68" s="76"/>
      <c r="E68" s="77"/>
      <c r="F68" s="78"/>
      <c r="G68" s="76"/>
      <c r="H68" s="77"/>
      <c r="I68" s="75"/>
      <c r="J68" s="79"/>
      <c r="K68" s="76"/>
      <c r="L68" s="77"/>
    </row>
    <row r="69" spans="1:12" ht="11.25" customHeight="1" x14ac:dyDescent="0.25">
      <c r="A69" s="54" t="s">
        <v>709</v>
      </c>
      <c r="B69" s="55"/>
      <c r="C69" s="745"/>
      <c r="D69" s="745"/>
      <c r="E69" s="768"/>
      <c r="F69" s="769"/>
      <c r="G69" s="745"/>
      <c r="H69" s="768"/>
      <c r="I69" s="770"/>
      <c r="J69" s="746"/>
      <c r="K69" s="745"/>
      <c r="L69" s="768"/>
    </row>
    <row r="70" spans="1:12" ht="11.25" customHeight="1" x14ac:dyDescent="0.25">
      <c r="A70" s="1368" t="s">
        <v>710</v>
      </c>
      <c r="B70" s="55"/>
      <c r="C70" s="1316"/>
      <c r="D70" s="1316"/>
      <c r="E70" s="1325"/>
      <c r="F70" s="1326"/>
      <c r="G70" s="1316"/>
      <c r="H70" s="1325"/>
      <c r="I70" s="1327"/>
      <c r="J70" s="1318"/>
      <c r="K70" s="1316"/>
      <c r="L70" s="1325"/>
    </row>
    <row r="71" spans="1:12" ht="11.25" customHeight="1" x14ac:dyDescent="0.25">
      <c r="A71" s="1368"/>
      <c r="B71" s="55"/>
      <c r="C71" s="1316"/>
      <c r="D71" s="1316"/>
      <c r="E71" s="1325"/>
      <c r="F71" s="1326"/>
      <c r="G71" s="1316"/>
      <c r="H71" s="1325"/>
      <c r="I71" s="1327"/>
      <c r="J71" s="1318"/>
      <c r="K71" s="1316"/>
      <c r="L71" s="1325"/>
    </row>
    <row r="72" spans="1:12" ht="11.25" customHeight="1" x14ac:dyDescent="0.25">
      <c r="A72" s="1368"/>
      <c r="B72" s="55"/>
      <c r="C72" s="1316"/>
      <c r="D72" s="1316"/>
      <c r="E72" s="1325"/>
      <c r="F72" s="1326"/>
      <c r="G72" s="1316"/>
      <c r="H72" s="1325"/>
      <c r="I72" s="1327"/>
      <c r="J72" s="1318"/>
      <c r="K72" s="1316"/>
      <c r="L72" s="1325"/>
    </row>
    <row r="73" spans="1:12" ht="11.25" customHeight="1" x14ac:dyDescent="0.25">
      <c r="A73" s="1368"/>
      <c r="B73" s="55"/>
      <c r="C73" s="1316"/>
      <c r="D73" s="1316"/>
      <c r="E73" s="1325"/>
      <c r="F73" s="1326"/>
      <c r="G73" s="1316"/>
      <c r="H73" s="1325"/>
      <c r="I73" s="1327"/>
      <c r="J73" s="1318"/>
      <c r="K73" s="1316"/>
      <c r="L73" s="1325"/>
    </row>
    <row r="74" spans="1:12" ht="11.25" customHeight="1" x14ac:dyDescent="0.25">
      <c r="A74" s="1368"/>
      <c r="B74" s="55"/>
      <c r="C74" s="1316"/>
      <c r="D74" s="1316"/>
      <c r="E74" s="1325"/>
      <c r="F74" s="1326"/>
      <c r="G74" s="1316"/>
      <c r="H74" s="1325"/>
      <c r="I74" s="1327"/>
      <c r="J74" s="1318"/>
      <c r="K74" s="1316"/>
      <c r="L74" s="1325"/>
    </row>
    <row r="75" spans="1:12" ht="11.25" customHeight="1" x14ac:dyDescent="0.25">
      <c r="A75" s="1368"/>
      <c r="B75" s="55"/>
      <c r="C75" s="1316"/>
      <c r="D75" s="1316"/>
      <c r="E75" s="1325"/>
      <c r="F75" s="1326"/>
      <c r="G75" s="1316"/>
      <c r="H75" s="1325"/>
      <c r="I75" s="1327"/>
      <c r="J75" s="1318"/>
      <c r="K75" s="1316"/>
      <c r="L75" s="1325"/>
    </row>
    <row r="76" spans="1:12" ht="11.25" customHeight="1" x14ac:dyDescent="0.25">
      <c r="A76" s="118" t="str">
        <f>"Total "&amp;A69</f>
        <v>Total Contributions recognised - capital</v>
      </c>
      <c r="B76" s="55"/>
      <c r="C76" s="81">
        <f t="shared" ref="C76:L76" si="8">SUM(C70:C75)</f>
        <v>0</v>
      </c>
      <c r="D76" s="81">
        <f t="shared" si="8"/>
        <v>0</v>
      </c>
      <c r="E76" s="82">
        <f t="shared" si="8"/>
        <v>0</v>
      </c>
      <c r="F76" s="83">
        <f t="shared" si="8"/>
        <v>0</v>
      </c>
      <c r="G76" s="81">
        <f t="shared" si="8"/>
        <v>0</v>
      </c>
      <c r="H76" s="82">
        <f t="shared" si="8"/>
        <v>0</v>
      </c>
      <c r="I76" s="80">
        <f t="shared" si="8"/>
        <v>0</v>
      </c>
      <c r="J76" s="84">
        <f t="shared" si="8"/>
        <v>0</v>
      </c>
      <c r="K76" s="81">
        <f t="shared" si="8"/>
        <v>0</v>
      </c>
      <c r="L76" s="82">
        <f t="shared" si="8"/>
        <v>0</v>
      </c>
    </row>
    <row r="77" spans="1:12" ht="4.9000000000000004" customHeight="1" x14ac:dyDescent="0.25">
      <c r="A77" s="74"/>
      <c r="B77" s="55"/>
      <c r="C77" s="76"/>
      <c r="D77" s="76"/>
      <c r="E77" s="77"/>
      <c r="F77" s="78"/>
      <c r="G77" s="76"/>
      <c r="H77" s="77"/>
      <c r="I77" s="75"/>
      <c r="J77" s="79"/>
      <c r="K77" s="76"/>
      <c r="L77" s="77"/>
    </row>
    <row r="78" spans="1:12" ht="11.25" customHeight="1" x14ac:dyDescent="0.25">
      <c r="A78" s="54" t="str">
        <f>'A4-FinPerf RE'!A27</f>
        <v>Depreciation &amp; asset impairment</v>
      </c>
      <c r="B78" s="55"/>
      <c r="C78" s="76"/>
      <c r="D78" s="76"/>
      <c r="E78" s="77"/>
      <c r="F78" s="78"/>
      <c r="G78" s="76"/>
      <c r="H78" s="77"/>
      <c r="I78" s="75"/>
      <c r="J78" s="79"/>
      <c r="K78" s="76"/>
      <c r="L78" s="77"/>
    </row>
    <row r="79" spans="1:12" ht="11.25" customHeight="1" x14ac:dyDescent="0.25">
      <c r="A79" s="63" t="s">
        <v>1410</v>
      </c>
      <c r="B79" s="55"/>
      <c r="C79" s="1316"/>
      <c r="D79" s="1316">
        <v>65115683</v>
      </c>
      <c r="E79" s="1325">
        <v>62710848</v>
      </c>
      <c r="F79" s="1326">
        <v>35452742.372000001</v>
      </c>
      <c r="G79" s="1316">
        <v>65848563</v>
      </c>
      <c r="H79" s="1325">
        <v>65848563</v>
      </c>
      <c r="I79" s="1327">
        <v>65848563</v>
      </c>
      <c r="J79" s="1318">
        <v>65848563.600000001</v>
      </c>
      <c r="K79" s="1316">
        <f>J79*1.06</f>
        <v>69799477.416000009</v>
      </c>
      <c r="L79" s="1325">
        <f>K79*1.06</f>
        <v>73987446.06096001</v>
      </c>
    </row>
    <row r="80" spans="1:12" ht="11.25" customHeight="1" x14ac:dyDescent="0.25">
      <c r="A80" s="63" t="s">
        <v>838</v>
      </c>
      <c r="B80" s="55"/>
      <c r="C80" s="1316"/>
      <c r="D80" s="1316"/>
      <c r="E80" s="1325"/>
      <c r="F80" s="1326"/>
      <c r="G80" s="1316"/>
      <c r="H80" s="1325"/>
      <c r="I80" s="1327"/>
      <c r="J80" s="1318"/>
      <c r="K80" s="1316"/>
      <c r="L80" s="1325"/>
    </row>
    <row r="81" spans="1:12" ht="11.25" customHeight="1" x14ac:dyDescent="0.25">
      <c r="A81" s="63" t="s">
        <v>1300</v>
      </c>
      <c r="B81" s="55"/>
      <c r="C81" s="1316"/>
      <c r="D81" s="1316"/>
      <c r="E81" s="1325"/>
      <c r="F81" s="1326"/>
      <c r="G81" s="1316"/>
      <c r="H81" s="1325"/>
      <c r="I81" s="1327"/>
      <c r="J81" s="1318"/>
      <c r="K81" s="1316"/>
      <c r="L81" s="1325"/>
    </row>
    <row r="82" spans="1:12" ht="11.25" customHeight="1" x14ac:dyDescent="0.25">
      <c r="A82" s="63" t="s">
        <v>1972</v>
      </c>
      <c r="B82" s="55">
        <v>10</v>
      </c>
      <c r="C82" s="1316"/>
      <c r="D82" s="1316"/>
      <c r="E82" s="1325"/>
      <c r="F82" s="1326"/>
      <c r="G82" s="1316"/>
      <c r="H82" s="1325"/>
      <c r="I82" s="1327"/>
      <c r="J82" s="1318"/>
      <c r="K82" s="1316"/>
      <c r="L82" s="1325"/>
    </row>
    <row r="83" spans="1:12" ht="11.25" customHeight="1" x14ac:dyDescent="0.25">
      <c r="A83" s="118" t="str">
        <f>"Total "&amp;LEFT(A78,35)</f>
        <v>Total Depreciation &amp; asset impairment</v>
      </c>
      <c r="B83" s="55">
        <v>1</v>
      </c>
      <c r="C83" s="81">
        <f>SUM(C79:C81)-C82</f>
        <v>0</v>
      </c>
      <c r="D83" s="81">
        <f t="shared" ref="D83:L83" si="9">SUM(D79:D81)-D82</f>
        <v>65115683</v>
      </c>
      <c r="E83" s="82">
        <f t="shared" si="9"/>
        <v>62710848</v>
      </c>
      <c r="F83" s="83">
        <f t="shared" si="9"/>
        <v>35452742.372000001</v>
      </c>
      <c r="G83" s="81">
        <f t="shared" si="9"/>
        <v>65848563</v>
      </c>
      <c r="H83" s="82">
        <f t="shared" si="9"/>
        <v>65848563</v>
      </c>
      <c r="I83" s="80">
        <f t="shared" si="9"/>
        <v>65848563</v>
      </c>
      <c r="J83" s="84">
        <f>SUM(J79:J81)-J82</f>
        <v>65848563.600000001</v>
      </c>
      <c r="K83" s="81">
        <f t="shared" si="9"/>
        <v>69799477.416000009</v>
      </c>
      <c r="L83" s="82">
        <f t="shared" si="9"/>
        <v>73987446.06096001</v>
      </c>
    </row>
    <row r="84" spans="1:12" ht="4.9000000000000004" customHeight="1" x14ac:dyDescent="0.25">
      <c r="A84" s="118"/>
      <c r="B84" s="55"/>
      <c r="C84" s="86"/>
      <c r="D84" s="86"/>
      <c r="E84" s="87"/>
      <c r="F84" s="88"/>
      <c r="G84" s="86"/>
      <c r="H84" s="87"/>
      <c r="I84" s="85"/>
      <c r="J84" s="89"/>
      <c r="K84" s="86"/>
      <c r="L84" s="87"/>
    </row>
    <row r="85" spans="1:12" ht="11.25" customHeight="1" x14ac:dyDescent="0.25">
      <c r="A85" s="54" t="str">
        <f>'A4-FinPerf RE'!A29</f>
        <v>Bulk purchases</v>
      </c>
      <c r="B85" s="55"/>
      <c r="C85" s="86"/>
      <c r="D85" s="86"/>
      <c r="E85" s="87"/>
      <c r="F85" s="88"/>
      <c r="G85" s="86"/>
      <c r="H85" s="87"/>
      <c r="I85" s="85"/>
      <c r="J85" s="89"/>
      <c r="K85" s="86"/>
      <c r="L85" s="87"/>
    </row>
    <row r="86" spans="1:12" ht="11.25" customHeight="1" x14ac:dyDescent="0.25">
      <c r="A86" s="63" t="s">
        <v>1065</v>
      </c>
      <c r="B86" s="55"/>
      <c r="C86" s="1316"/>
      <c r="D86" s="1316">
        <v>69092068</v>
      </c>
      <c r="E86" s="1325">
        <v>81207643</v>
      </c>
      <c r="F86" s="1326">
        <v>82368100</v>
      </c>
      <c r="G86" s="1316">
        <v>82368100</v>
      </c>
      <c r="H86" s="1325">
        <v>82368100</v>
      </c>
      <c r="I86" s="1327">
        <v>82368100</v>
      </c>
      <c r="J86" s="1318">
        <v>90604910</v>
      </c>
      <c r="K86" s="1316">
        <f>J86*1.06</f>
        <v>96041204.600000009</v>
      </c>
      <c r="L86" s="1325">
        <f>K86*1.06</f>
        <v>101803676.87600002</v>
      </c>
    </row>
    <row r="87" spans="1:12" ht="11.25" customHeight="1" x14ac:dyDescent="0.25">
      <c r="A87" s="63" t="s">
        <v>1066</v>
      </c>
      <c r="B87" s="55"/>
      <c r="C87" s="1316"/>
      <c r="D87" s="1316"/>
      <c r="E87" s="1325"/>
      <c r="F87" s="1326"/>
      <c r="G87" s="1316"/>
      <c r="H87" s="1325"/>
      <c r="I87" s="1327"/>
      <c r="J87" s="1318"/>
      <c r="K87" s="1316"/>
      <c r="L87" s="1325"/>
    </row>
    <row r="88" spans="1:12" ht="10.5" customHeight="1" x14ac:dyDescent="0.25">
      <c r="A88" s="118" t="s">
        <v>1067</v>
      </c>
      <c r="B88" s="55">
        <v>1</v>
      </c>
      <c r="C88" s="81">
        <f>SUM(C86:C87)</f>
        <v>0</v>
      </c>
      <c r="D88" s="81">
        <f t="shared" ref="D88:L88" si="10">SUM(D86:D87)</f>
        <v>69092068</v>
      </c>
      <c r="E88" s="82">
        <f t="shared" si="10"/>
        <v>81207643</v>
      </c>
      <c r="F88" s="83">
        <f t="shared" si="10"/>
        <v>82368100</v>
      </c>
      <c r="G88" s="81">
        <f t="shared" si="10"/>
        <v>82368100</v>
      </c>
      <c r="H88" s="82">
        <f t="shared" si="10"/>
        <v>82368100</v>
      </c>
      <c r="I88" s="80">
        <f t="shared" si="10"/>
        <v>82368100</v>
      </c>
      <c r="J88" s="84">
        <f t="shared" si="10"/>
        <v>90604910</v>
      </c>
      <c r="K88" s="81">
        <f t="shared" si="10"/>
        <v>96041204.600000009</v>
      </c>
      <c r="L88" s="82">
        <f t="shared" si="10"/>
        <v>101803676.87600002</v>
      </c>
    </row>
    <row r="89" spans="1:12" ht="4.5" customHeight="1" x14ac:dyDescent="0.25">
      <c r="A89" s="118"/>
      <c r="B89" s="55"/>
      <c r="C89" s="86"/>
      <c r="D89" s="86"/>
      <c r="E89" s="87"/>
      <c r="F89" s="88"/>
      <c r="G89" s="86"/>
      <c r="H89" s="87"/>
      <c r="I89" s="85"/>
      <c r="J89" s="89"/>
      <c r="K89" s="86"/>
      <c r="L89" s="87"/>
    </row>
    <row r="90" spans="1:12" ht="12.75" customHeight="1" x14ac:dyDescent="0.25">
      <c r="A90" s="54" t="s">
        <v>683</v>
      </c>
      <c r="B90" s="55"/>
      <c r="C90" s="86"/>
      <c r="D90" s="86"/>
      <c r="E90" s="87"/>
      <c r="F90" s="88"/>
      <c r="G90" s="86"/>
      <c r="H90" s="87"/>
      <c r="I90" s="85"/>
      <c r="J90" s="89"/>
      <c r="K90" s="86"/>
      <c r="L90" s="87"/>
    </row>
    <row r="91" spans="1:12" ht="12.75" customHeight="1" x14ac:dyDescent="0.25">
      <c r="A91" s="63" t="s">
        <v>1963</v>
      </c>
      <c r="B91" s="55"/>
      <c r="C91" s="76">
        <f>'SA21'!C32</f>
        <v>0</v>
      </c>
      <c r="D91" s="76">
        <f>'SA21'!D32</f>
        <v>0</v>
      </c>
      <c r="E91" s="77">
        <f>'SA21'!E32</f>
        <v>0</v>
      </c>
      <c r="F91" s="78">
        <f>'SA21'!F32</f>
        <v>239188.76</v>
      </c>
      <c r="G91" s="76">
        <f>'SA21'!G32</f>
        <v>202593.76</v>
      </c>
      <c r="H91" s="77">
        <f>'SA21'!H32</f>
        <v>202593.76</v>
      </c>
      <c r="I91" s="75">
        <f>'SA21'!I32</f>
        <v>202593.76</v>
      </c>
      <c r="J91" s="79">
        <f>'SA21'!J32</f>
        <v>35394</v>
      </c>
      <c r="K91" s="76">
        <f>'SA21'!K32</f>
        <v>37517.64</v>
      </c>
      <c r="L91" s="77">
        <f>'SA21'!L32</f>
        <v>39768.698400000001</v>
      </c>
    </row>
    <row r="92" spans="1:12" ht="12.75" customHeight="1" x14ac:dyDescent="0.25">
      <c r="A92" s="63" t="s">
        <v>1964</v>
      </c>
      <c r="B92" s="55"/>
      <c r="C92" s="76">
        <f>'SA21'!C63</f>
        <v>0</v>
      </c>
      <c r="D92" s="76">
        <f>'SA21'!D63</f>
        <v>0</v>
      </c>
      <c r="E92" s="77">
        <f>'SA21'!E63</f>
        <v>0</v>
      </c>
      <c r="F92" s="78">
        <f>'SA21'!F63</f>
        <v>0</v>
      </c>
      <c r="G92" s="76">
        <f>'SA21'!G63</f>
        <v>0</v>
      </c>
      <c r="H92" s="77">
        <f>'SA21'!H63</f>
        <v>0</v>
      </c>
      <c r="I92" s="75">
        <f>'SA21'!I63</f>
        <v>0</v>
      </c>
      <c r="J92" s="79">
        <f>'SA21'!J63</f>
        <v>0</v>
      </c>
      <c r="K92" s="76">
        <f>'SA21'!K63</f>
        <v>0</v>
      </c>
      <c r="L92" s="77">
        <f>'SA21'!L63</f>
        <v>0</v>
      </c>
    </row>
    <row r="93" spans="1:12" ht="12.75" customHeight="1" x14ac:dyDescent="0.25">
      <c r="A93" s="118" t="s">
        <v>1965</v>
      </c>
      <c r="B93" s="55">
        <v>1</v>
      </c>
      <c r="C93" s="81">
        <f>SUM(C91:C92)</f>
        <v>0</v>
      </c>
      <c r="D93" s="81">
        <f t="shared" ref="D93:L93" si="11">SUM(D91:D92)</f>
        <v>0</v>
      </c>
      <c r="E93" s="82">
        <f t="shared" si="11"/>
        <v>0</v>
      </c>
      <c r="F93" s="83">
        <f t="shared" si="11"/>
        <v>239188.76</v>
      </c>
      <c r="G93" s="81">
        <f t="shared" si="11"/>
        <v>202593.76</v>
      </c>
      <c r="H93" s="82">
        <f t="shared" si="11"/>
        <v>202593.76</v>
      </c>
      <c r="I93" s="80">
        <f t="shared" si="11"/>
        <v>202593.76</v>
      </c>
      <c r="J93" s="84">
        <f t="shared" si="11"/>
        <v>35394</v>
      </c>
      <c r="K93" s="81">
        <f t="shared" si="11"/>
        <v>37517.64</v>
      </c>
      <c r="L93" s="82">
        <f t="shared" si="11"/>
        <v>39768.698400000001</v>
      </c>
    </row>
    <row r="94" spans="1:12" ht="4.5" customHeight="1" x14ac:dyDescent="0.25">
      <c r="A94" s="118"/>
      <c r="B94" s="55"/>
      <c r="C94" s="86"/>
      <c r="D94" s="86"/>
      <c r="E94" s="87"/>
      <c r="F94" s="88"/>
      <c r="G94" s="86"/>
      <c r="H94" s="87"/>
      <c r="I94" s="85"/>
      <c r="J94" s="89"/>
      <c r="K94" s="86"/>
      <c r="L94" s="87"/>
    </row>
    <row r="95" spans="1:12" ht="11.25" customHeight="1" x14ac:dyDescent="0.25">
      <c r="A95" s="54" t="str">
        <f>'A4-FinPerf RE'!A31</f>
        <v>Contracted services</v>
      </c>
      <c r="B95" s="55"/>
      <c r="C95" s="76"/>
      <c r="D95" s="76"/>
      <c r="E95" s="77"/>
      <c r="F95" s="78"/>
      <c r="G95" s="76"/>
      <c r="H95" s="77"/>
      <c r="I95" s="75"/>
      <c r="J95" s="79"/>
      <c r="K95" s="76"/>
      <c r="L95" s="77"/>
    </row>
    <row r="96" spans="1:12" ht="11.25" customHeight="1" x14ac:dyDescent="0.25">
      <c r="A96" s="1368" t="s">
        <v>2684</v>
      </c>
      <c r="B96" s="55"/>
      <c r="C96" s="1316"/>
      <c r="D96" s="1316">
        <v>3677892</v>
      </c>
      <c r="E96" s="1325">
        <v>3897685</v>
      </c>
      <c r="F96" s="1326">
        <v>15941266.856000001</v>
      </c>
      <c r="G96" s="1316">
        <v>13217873</v>
      </c>
      <c r="H96" s="1325">
        <v>13217873</v>
      </c>
      <c r="I96" s="1327">
        <v>13217873</v>
      </c>
      <c r="J96" s="1318">
        <v>4083418.88</v>
      </c>
      <c r="K96" s="1316">
        <f>J96*1.06</f>
        <v>4328424.0127999997</v>
      </c>
      <c r="L96" s="1867">
        <f>K96*1.06</f>
        <v>4588129.4535680003</v>
      </c>
    </row>
    <row r="97" spans="1:12" ht="11.25" customHeight="1" x14ac:dyDescent="0.25">
      <c r="A97" s="1368"/>
      <c r="B97" s="55"/>
      <c r="C97" s="1316"/>
      <c r="D97" s="1316"/>
      <c r="E97" s="1325"/>
      <c r="F97" s="1326"/>
      <c r="G97" s="1316"/>
      <c r="H97" s="1325"/>
      <c r="I97" s="1327"/>
      <c r="J97" s="1318"/>
      <c r="K97" s="1316"/>
      <c r="L97" s="1325"/>
    </row>
    <row r="98" spans="1:12" ht="11.25" customHeight="1" x14ac:dyDescent="0.25">
      <c r="A98" s="1368"/>
      <c r="B98" s="55"/>
      <c r="C98" s="1316"/>
      <c r="D98" s="1316"/>
      <c r="E98" s="1325"/>
      <c r="F98" s="1326"/>
      <c r="G98" s="1316"/>
      <c r="H98" s="1325"/>
      <c r="I98" s="1327"/>
      <c r="J98" s="1318"/>
      <c r="K98" s="1316"/>
      <c r="L98" s="1325"/>
    </row>
    <row r="99" spans="1:12" ht="11.25" customHeight="1" x14ac:dyDescent="0.25">
      <c r="A99" s="1368"/>
      <c r="B99" s="55"/>
      <c r="C99" s="1316"/>
      <c r="D99" s="1316"/>
      <c r="E99" s="1325"/>
      <c r="F99" s="1326"/>
      <c r="G99" s="1316"/>
      <c r="H99" s="1325"/>
      <c r="I99" s="1327"/>
      <c r="J99" s="1318"/>
      <c r="K99" s="1316"/>
      <c r="L99" s="1325"/>
    </row>
    <row r="100" spans="1:12" ht="11.25" customHeight="1" x14ac:dyDescent="0.25">
      <c r="A100" s="1368"/>
      <c r="B100" s="55"/>
      <c r="C100" s="1316"/>
      <c r="D100" s="1316"/>
      <c r="E100" s="1325"/>
      <c r="F100" s="1326"/>
      <c r="G100" s="1316"/>
      <c r="H100" s="1325"/>
      <c r="I100" s="1327"/>
      <c r="J100" s="1318"/>
      <c r="K100" s="1316"/>
      <c r="L100" s="1325"/>
    </row>
    <row r="101" spans="1:12" ht="11.25" customHeight="1" x14ac:dyDescent="0.25">
      <c r="A101" s="1368"/>
      <c r="B101" s="55"/>
      <c r="C101" s="1316"/>
      <c r="D101" s="1316"/>
      <c r="E101" s="1325"/>
      <c r="F101" s="1326"/>
      <c r="G101" s="1316"/>
      <c r="H101" s="1325"/>
      <c r="I101" s="1327"/>
      <c r="J101" s="1318"/>
      <c r="K101" s="1316"/>
      <c r="L101" s="1325"/>
    </row>
    <row r="102" spans="1:12" ht="11.25" customHeight="1" x14ac:dyDescent="0.25">
      <c r="A102" s="1368"/>
      <c r="B102" s="55"/>
      <c r="C102" s="1316"/>
      <c r="D102" s="1316"/>
      <c r="E102" s="1325"/>
      <c r="F102" s="1326"/>
      <c r="G102" s="1316"/>
      <c r="H102" s="1325"/>
      <c r="I102" s="1327"/>
      <c r="J102" s="1318"/>
      <c r="K102" s="1316"/>
      <c r="L102" s="1325"/>
    </row>
    <row r="103" spans="1:12" ht="11.25" customHeight="1" x14ac:dyDescent="0.25">
      <c r="A103" s="1368"/>
      <c r="B103" s="55"/>
      <c r="C103" s="1316"/>
      <c r="D103" s="1316"/>
      <c r="E103" s="1325"/>
      <c r="F103" s="1326"/>
      <c r="G103" s="1316"/>
      <c r="H103" s="1325"/>
      <c r="I103" s="1327"/>
      <c r="J103" s="1318"/>
      <c r="K103" s="1316"/>
      <c r="L103" s="1325"/>
    </row>
    <row r="104" spans="1:12" ht="11.25" customHeight="1" x14ac:dyDescent="0.25">
      <c r="A104" s="1368"/>
      <c r="B104" s="55"/>
      <c r="C104" s="1316"/>
      <c r="D104" s="1316"/>
      <c r="E104" s="1325"/>
      <c r="F104" s="1326"/>
      <c r="G104" s="1316"/>
      <c r="H104" s="1325"/>
      <c r="I104" s="1327"/>
      <c r="J104" s="1318"/>
      <c r="K104" s="1316"/>
      <c r="L104" s="1325"/>
    </row>
    <row r="105" spans="1:12" ht="11.25" customHeight="1" x14ac:dyDescent="0.25">
      <c r="A105" s="1368"/>
      <c r="B105" s="55"/>
      <c r="C105" s="1316"/>
      <c r="D105" s="1316"/>
      <c r="E105" s="1325"/>
      <c r="F105" s="1326"/>
      <c r="G105" s="1316"/>
      <c r="H105" s="1325"/>
      <c r="I105" s="1327"/>
      <c r="J105" s="1318"/>
      <c r="K105" s="1316"/>
      <c r="L105" s="1325"/>
    </row>
    <row r="106" spans="1:12" ht="11.25" customHeight="1" x14ac:dyDescent="0.25">
      <c r="A106" s="1368"/>
      <c r="B106" s="55"/>
      <c r="C106" s="1316"/>
      <c r="D106" s="1316"/>
      <c r="E106" s="1325"/>
      <c r="F106" s="1326"/>
      <c r="G106" s="1316"/>
      <c r="H106" s="1325"/>
      <c r="I106" s="1327"/>
      <c r="J106" s="1318"/>
      <c r="K106" s="1316"/>
      <c r="L106" s="1325"/>
    </row>
    <row r="107" spans="1:12" ht="11.25" customHeight="1" x14ac:dyDescent="0.25">
      <c r="A107" s="1368"/>
      <c r="B107" s="55"/>
      <c r="C107" s="1316"/>
      <c r="D107" s="1316"/>
      <c r="E107" s="1325"/>
      <c r="F107" s="1326"/>
      <c r="G107" s="1316"/>
      <c r="H107" s="1325"/>
      <c r="I107" s="1327"/>
      <c r="J107" s="1318"/>
      <c r="K107" s="1316"/>
      <c r="L107" s="1325"/>
    </row>
    <row r="108" spans="1:12" ht="11.25" customHeight="1" x14ac:dyDescent="0.25">
      <c r="A108" s="1368"/>
      <c r="B108" s="55"/>
      <c r="C108" s="1316"/>
      <c r="D108" s="1316"/>
      <c r="E108" s="1325"/>
      <c r="F108" s="1326"/>
      <c r="G108" s="1316"/>
      <c r="H108" s="1325"/>
      <c r="I108" s="1327"/>
      <c r="J108" s="1318"/>
      <c r="K108" s="1316"/>
      <c r="L108" s="1325"/>
    </row>
    <row r="109" spans="1:12" ht="11.25" customHeight="1" x14ac:dyDescent="0.25">
      <c r="A109" s="1368"/>
      <c r="B109" s="55"/>
      <c r="C109" s="1316"/>
      <c r="D109" s="1316"/>
      <c r="E109" s="1325"/>
      <c r="F109" s="1326"/>
      <c r="G109" s="1316"/>
      <c r="H109" s="1325"/>
      <c r="I109" s="1327"/>
      <c r="J109" s="1318"/>
      <c r="K109" s="1316"/>
      <c r="L109" s="1325"/>
    </row>
    <row r="110" spans="1:12" ht="11.25" customHeight="1" x14ac:dyDescent="0.25">
      <c r="A110" s="1368"/>
      <c r="B110" s="55"/>
      <c r="C110" s="1316"/>
      <c r="D110" s="1316"/>
      <c r="E110" s="1325"/>
      <c r="F110" s="1326"/>
      <c r="G110" s="1316"/>
      <c r="H110" s="1325"/>
      <c r="I110" s="1327"/>
      <c r="J110" s="1318"/>
      <c r="K110" s="1316"/>
      <c r="L110" s="1325"/>
    </row>
    <row r="111" spans="1:12" ht="11.25" customHeight="1" x14ac:dyDescent="0.25">
      <c r="A111" s="1368"/>
      <c r="B111" s="55"/>
      <c r="C111" s="1316"/>
      <c r="D111" s="1316"/>
      <c r="E111" s="1325"/>
      <c r="F111" s="1326"/>
      <c r="G111" s="1316"/>
      <c r="H111" s="1325"/>
      <c r="I111" s="1327"/>
      <c r="J111" s="1318"/>
      <c r="K111" s="1316"/>
      <c r="L111" s="1325"/>
    </row>
    <row r="112" spans="1:12" ht="11.25" customHeight="1" x14ac:dyDescent="0.25">
      <c r="A112" s="1368"/>
      <c r="B112" s="55"/>
      <c r="C112" s="1316"/>
      <c r="D112" s="1316"/>
      <c r="E112" s="1325"/>
      <c r="F112" s="1326"/>
      <c r="G112" s="1316"/>
      <c r="H112" s="1325"/>
      <c r="I112" s="1327"/>
      <c r="J112" s="1318"/>
      <c r="K112" s="1316"/>
      <c r="L112" s="1325"/>
    </row>
    <row r="113" spans="1:12" ht="11.25" customHeight="1" x14ac:dyDescent="0.25">
      <c r="A113" s="1368"/>
      <c r="B113" s="55"/>
      <c r="C113" s="1316"/>
      <c r="D113" s="1316"/>
      <c r="E113" s="1325"/>
      <c r="F113" s="1326"/>
      <c r="G113" s="1316"/>
      <c r="H113" s="1325"/>
      <c r="I113" s="1327"/>
      <c r="J113" s="1318"/>
      <c r="K113" s="1316"/>
      <c r="L113" s="1325"/>
    </row>
    <row r="114" spans="1:12" ht="11.25" customHeight="1" x14ac:dyDescent="0.25">
      <c r="A114" s="1368"/>
      <c r="B114" s="55"/>
      <c r="C114" s="1316"/>
      <c r="D114" s="1316"/>
      <c r="E114" s="1325"/>
      <c r="F114" s="1326"/>
      <c r="G114" s="1316"/>
      <c r="H114" s="1325"/>
      <c r="I114" s="1327"/>
      <c r="J114" s="1318"/>
      <c r="K114" s="1316"/>
      <c r="L114" s="1325"/>
    </row>
    <row r="115" spans="1:12" ht="11.25" customHeight="1" x14ac:dyDescent="0.25">
      <c r="A115" s="1368"/>
      <c r="B115" s="55"/>
      <c r="C115" s="1316"/>
      <c r="D115" s="1316"/>
      <c r="E115" s="1325"/>
      <c r="F115" s="1326"/>
      <c r="G115" s="1316"/>
      <c r="H115" s="1325"/>
      <c r="I115" s="1327"/>
      <c r="J115" s="1318"/>
      <c r="K115" s="1316"/>
      <c r="L115" s="1325"/>
    </row>
    <row r="116" spans="1:12" ht="11.25" customHeight="1" x14ac:dyDescent="0.25">
      <c r="A116" s="1368"/>
      <c r="B116" s="55"/>
      <c r="C116" s="1316"/>
      <c r="D116" s="1316"/>
      <c r="E116" s="1325"/>
      <c r="F116" s="1326"/>
      <c r="G116" s="1316"/>
      <c r="H116" s="1325"/>
      <c r="I116" s="1327"/>
      <c r="J116" s="1318"/>
      <c r="K116" s="1316"/>
      <c r="L116" s="1325"/>
    </row>
    <row r="117" spans="1:12" ht="11.25" customHeight="1" x14ac:dyDescent="0.25">
      <c r="A117" s="1368"/>
      <c r="B117" s="55"/>
      <c r="C117" s="1316"/>
      <c r="D117" s="1316"/>
      <c r="E117" s="1325"/>
      <c r="F117" s="1326"/>
      <c r="G117" s="1316"/>
      <c r="H117" s="1325"/>
      <c r="I117" s="1327"/>
      <c r="J117" s="1318"/>
      <c r="K117" s="1316"/>
      <c r="L117" s="1325"/>
    </row>
    <row r="118" spans="1:12" ht="11.25" customHeight="1" x14ac:dyDescent="0.25">
      <c r="A118" s="1368"/>
      <c r="B118" s="55"/>
      <c r="C118" s="1316"/>
      <c r="D118" s="1316"/>
      <c r="E118" s="1325"/>
      <c r="F118" s="1326"/>
      <c r="G118" s="1316"/>
      <c r="H118" s="1325"/>
      <c r="I118" s="1327"/>
      <c r="J118" s="1318"/>
      <c r="K118" s="1316"/>
      <c r="L118" s="1325"/>
    </row>
    <row r="119" spans="1:12" ht="11.25" customHeight="1" x14ac:dyDescent="0.25">
      <c r="A119" s="1368"/>
      <c r="B119" s="55"/>
      <c r="C119" s="1316"/>
      <c r="D119" s="1316"/>
      <c r="E119" s="1325"/>
      <c r="F119" s="1326"/>
      <c r="G119" s="1316"/>
      <c r="H119" s="1325"/>
      <c r="I119" s="1327"/>
      <c r="J119" s="1318"/>
      <c r="K119" s="1316"/>
      <c r="L119" s="1325"/>
    </row>
    <row r="120" spans="1:12" ht="11.25" customHeight="1" x14ac:dyDescent="0.25">
      <c r="A120" s="1368"/>
      <c r="B120" s="55"/>
      <c r="C120" s="1316"/>
      <c r="D120" s="1316"/>
      <c r="E120" s="1325"/>
      <c r="F120" s="1326"/>
      <c r="G120" s="1316"/>
      <c r="H120" s="1325"/>
      <c r="I120" s="1327"/>
      <c r="J120" s="1318"/>
      <c r="K120" s="1316"/>
      <c r="L120" s="1325"/>
    </row>
    <row r="121" spans="1:12" ht="11.25" customHeight="1" x14ac:dyDescent="0.25">
      <c r="A121" s="880" t="s">
        <v>118</v>
      </c>
      <c r="B121" s="55">
        <v>1</v>
      </c>
      <c r="C121" s="81">
        <f t="shared" ref="C121:L121" si="12">SUM(C96:C120)</f>
        <v>0</v>
      </c>
      <c r="D121" s="81">
        <f t="shared" si="12"/>
        <v>3677892</v>
      </c>
      <c r="E121" s="82">
        <f t="shared" si="12"/>
        <v>3897685</v>
      </c>
      <c r="F121" s="83">
        <f t="shared" si="12"/>
        <v>15941266.856000001</v>
      </c>
      <c r="G121" s="81">
        <f t="shared" si="12"/>
        <v>13217873</v>
      </c>
      <c r="H121" s="82">
        <f t="shared" si="12"/>
        <v>13217873</v>
      </c>
      <c r="I121" s="80">
        <f t="shared" si="12"/>
        <v>13217873</v>
      </c>
      <c r="J121" s="84">
        <f t="shared" si="12"/>
        <v>4083418.88</v>
      </c>
      <c r="K121" s="81">
        <f t="shared" si="12"/>
        <v>4328424.0127999997</v>
      </c>
      <c r="L121" s="82">
        <f t="shared" si="12"/>
        <v>4588129.4535680003</v>
      </c>
    </row>
    <row r="122" spans="1:12" ht="11.25" customHeight="1" x14ac:dyDescent="0.25">
      <c r="A122" s="189" t="s">
        <v>1303</v>
      </c>
      <c r="B122" s="55"/>
      <c r="C122" s="86"/>
      <c r="D122" s="86"/>
      <c r="E122" s="87"/>
      <c r="F122" s="88"/>
      <c r="G122" s="86"/>
      <c r="H122" s="87"/>
      <c r="I122" s="85"/>
      <c r="J122" s="89"/>
      <c r="K122" s="86"/>
      <c r="L122" s="87"/>
    </row>
    <row r="123" spans="1:12" ht="11.25" customHeight="1" x14ac:dyDescent="0.25">
      <c r="A123" s="187" t="s">
        <v>560</v>
      </c>
      <c r="B123" s="55"/>
      <c r="C123" s="1340"/>
      <c r="D123" s="1340"/>
      <c r="E123" s="1341"/>
      <c r="F123" s="1342"/>
      <c r="G123" s="1340"/>
      <c r="H123" s="1341"/>
      <c r="I123" s="923"/>
      <c r="J123" s="1370"/>
      <c r="K123" s="1340"/>
      <c r="L123" s="1341"/>
    </row>
    <row r="124" spans="1:12" ht="11.25" customHeight="1" x14ac:dyDescent="0.25">
      <c r="A124" s="187" t="s">
        <v>835</v>
      </c>
      <c r="B124" s="55"/>
      <c r="C124" s="1340"/>
      <c r="D124" s="1340"/>
      <c r="E124" s="1341"/>
      <c r="F124" s="1342"/>
      <c r="G124" s="1340"/>
      <c r="H124" s="1341"/>
      <c r="I124" s="923"/>
      <c r="J124" s="1370"/>
      <c r="K124" s="1340"/>
      <c r="L124" s="1341"/>
    </row>
    <row r="125" spans="1:12" ht="11.25" customHeight="1" x14ac:dyDescent="0.25">
      <c r="A125" s="187" t="s">
        <v>836</v>
      </c>
      <c r="B125" s="55"/>
      <c r="C125" s="1340"/>
      <c r="D125" s="1340"/>
      <c r="E125" s="1341"/>
      <c r="F125" s="1342"/>
      <c r="G125" s="1340"/>
      <c r="H125" s="1341"/>
      <c r="I125" s="923"/>
      <c r="J125" s="1370"/>
      <c r="K125" s="1340"/>
      <c r="L125" s="1341"/>
    </row>
    <row r="126" spans="1:12" ht="11.25" customHeight="1" x14ac:dyDescent="0.25">
      <c r="A126" s="187" t="s">
        <v>246</v>
      </c>
      <c r="B126" s="55"/>
      <c r="C126" s="1340"/>
      <c r="D126" s="1340"/>
      <c r="E126" s="1341"/>
      <c r="F126" s="1342"/>
      <c r="G126" s="1340"/>
      <c r="H126" s="1341"/>
      <c r="I126" s="923"/>
      <c r="J126" s="1370"/>
      <c r="K126" s="1340"/>
      <c r="L126" s="1341"/>
    </row>
    <row r="127" spans="1:12" ht="11.25" customHeight="1" x14ac:dyDescent="0.25">
      <c r="A127" s="118" t="s">
        <v>1304</v>
      </c>
      <c r="B127" s="55"/>
      <c r="C127" s="81">
        <f>SUM(C121:C126)</f>
        <v>0</v>
      </c>
      <c r="D127" s="81">
        <f t="shared" ref="D127:L127" si="13">SUM(D121:D126)</f>
        <v>3677892</v>
      </c>
      <c r="E127" s="82">
        <f t="shared" si="13"/>
        <v>3897685</v>
      </c>
      <c r="F127" s="83">
        <f t="shared" si="13"/>
        <v>15941266.856000001</v>
      </c>
      <c r="G127" s="81">
        <f t="shared" si="13"/>
        <v>13217873</v>
      </c>
      <c r="H127" s="82">
        <f t="shared" si="13"/>
        <v>13217873</v>
      </c>
      <c r="I127" s="80">
        <f t="shared" si="13"/>
        <v>13217873</v>
      </c>
      <c r="J127" s="84">
        <f t="shared" si="13"/>
        <v>4083418.88</v>
      </c>
      <c r="K127" s="81">
        <f t="shared" si="13"/>
        <v>4328424.0127999997</v>
      </c>
      <c r="L127" s="82">
        <f t="shared" si="13"/>
        <v>4588129.4535680003</v>
      </c>
    </row>
    <row r="128" spans="1:12" ht="4.9000000000000004" customHeight="1" x14ac:dyDescent="0.25">
      <c r="A128" s="74"/>
      <c r="B128" s="55"/>
      <c r="C128" s="76"/>
      <c r="D128" s="76"/>
      <c r="E128" s="77"/>
      <c r="F128" s="78"/>
      <c r="G128" s="76"/>
      <c r="H128" s="77"/>
      <c r="I128" s="75"/>
      <c r="J128" s="79"/>
      <c r="K128" s="76"/>
      <c r="L128" s="77"/>
    </row>
    <row r="129" spans="1:12" ht="11.25" customHeight="1" x14ac:dyDescent="0.25">
      <c r="A129" s="54" t="s">
        <v>34</v>
      </c>
      <c r="B129" s="138"/>
      <c r="C129" s="76"/>
      <c r="D129" s="76"/>
      <c r="E129" s="77"/>
      <c r="F129" s="78"/>
      <c r="G129" s="76"/>
      <c r="H129" s="77"/>
      <c r="I129" s="75"/>
      <c r="J129" s="79"/>
      <c r="K129" s="76"/>
      <c r="L129" s="77"/>
    </row>
    <row r="130" spans="1:12" ht="11.25" customHeight="1" x14ac:dyDescent="0.25">
      <c r="A130" s="63" t="s">
        <v>410</v>
      </c>
      <c r="B130" s="55"/>
      <c r="C130" s="1316"/>
      <c r="D130" s="1316"/>
      <c r="E130" s="1325"/>
      <c r="F130" s="1326"/>
      <c r="G130" s="1316"/>
      <c r="H130" s="1325"/>
      <c r="I130" s="1327"/>
      <c r="J130" s="1318"/>
      <c r="K130" s="1316"/>
      <c r="L130" s="1325"/>
    </row>
    <row r="131" spans="1:12" ht="11.25" customHeight="1" x14ac:dyDescent="0.25">
      <c r="A131" s="63" t="s">
        <v>1341</v>
      </c>
      <c r="B131" s="55"/>
      <c r="C131" s="1316"/>
      <c r="D131" s="1316">
        <v>1114579</v>
      </c>
      <c r="E131" s="1325">
        <v>7748114</v>
      </c>
      <c r="F131" s="1326"/>
      <c r="G131" s="1316"/>
      <c r="H131" s="1325"/>
      <c r="I131" s="1327"/>
      <c r="J131" s="1318"/>
      <c r="K131" s="1316"/>
      <c r="L131" s="1325"/>
    </row>
    <row r="132" spans="1:12" ht="11.25" customHeight="1" x14ac:dyDescent="0.25">
      <c r="A132" s="63" t="s">
        <v>604</v>
      </c>
      <c r="B132" s="55"/>
      <c r="C132" s="1316"/>
      <c r="D132" s="1316"/>
      <c r="E132" s="1325"/>
      <c r="F132" s="1326"/>
      <c r="G132" s="1316"/>
      <c r="H132" s="1325"/>
      <c r="I132" s="1327"/>
      <c r="J132" s="1318"/>
      <c r="K132" s="1316"/>
      <c r="L132" s="1325"/>
    </row>
    <row r="133" spans="1:12" ht="11.25" customHeight="1" x14ac:dyDescent="0.25">
      <c r="A133" s="63" t="s">
        <v>605</v>
      </c>
      <c r="B133" s="55"/>
      <c r="C133" s="1316"/>
      <c r="D133" s="1316">
        <v>7923230</v>
      </c>
      <c r="E133" s="1325">
        <v>6957827</v>
      </c>
      <c r="F133" s="1326"/>
      <c r="G133" s="1316"/>
      <c r="H133" s="1325"/>
      <c r="I133" s="1327"/>
      <c r="J133" s="1318"/>
      <c r="K133" s="1316"/>
      <c r="L133" s="1325"/>
    </row>
    <row r="134" spans="1:12" ht="11.25" customHeight="1" x14ac:dyDescent="0.25">
      <c r="A134" s="63" t="s">
        <v>413</v>
      </c>
      <c r="B134" s="55">
        <v>3</v>
      </c>
      <c r="C134" s="1316"/>
      <c r="D134" s="1316">
        <f>73496916-53560494</f>
        <v>19936422</v>
      </c>
      <c r="E134" s="1325">
        <f>110752250-79560176.99</f>
        <v>31192073.010000005</v>
      </c>
      <c r="F134" s="1326">
        <v>76472938.675091609</v>
      </c>
      <c r="G134" s="1316">
        <v>48147486.845091619</v>
      </c>
      <c r="H134" s="1325">
        <v>48147486.845091619</v>
      </c>
      <c r="I134" s="1327">
        <v>48147486.845091619</v>
      </c>
      <c r="J134" s="1318">
        <v>57758810.765000015</v>
      </c>
      <c r="K134" s="1316">
        <f>J134*1.06</f>
        <v>61224339.410900019</v>
      </c>
      <c r="L134" s="1325">
        <f>K134*1.06</f>
        <v>64897799.775554024</v>
      </c>
    </row>
    <row r="135" spans="1:12" ht="11.25" customHeight="1" x14ac:dyDescent="0.25">
      <c r="A135" s="1368" t="s">
        <v>2685</v>
      </c>
      <c r="B135" s="55"/>
      <c r="C135" s="1316"/>
      <c r="D135" s="1316">
        <v>683952</v>
      </c>
      <c r="E135" s="1325">
        <v>894680</v>
      </c>
      <c r="F135" s="1326"/>
      <c r="G135" s="1316"/>
      <c r="H135" s="1325"/>
      <c r="I135" s="1327"/>
      <c r="J135" s="1318"/>
      <c r="K135" s="1316"/>
      <c r="L135" s="1325"/>
    </row>
    <row r="136" spans="1:12" ht="11.25" customHeight="1" x14ac:dyDescent="0.25">
      <c r="A136" s="1368" t="s">
        <v>2686</v>
      </c>
      <c r="B136" s="55"/>
      <c r="C136" s="1316"/>
      <c r="D136" s="1316">
        <v>565786</v>
      </c>
      <c r="E136" s="1325">
        <v>750727</v>
      </c>
      <c r="F136" s="1326"/>
      <c r="G136" s="1316"/>
      <c r="H136" s="1325"/>
      <c r="I136" s="1327"/>
      <c r="J136" s="1318"/>
      <c r="K136" s="1316"/>
      <c r="L136" s="1325"/>
    </row>
    <row r="137" spans="1:12" ht="11.25" customHeight="1" x14ac:dyDescent="0.25">
      <c r="A137" s="1368" t="s">
        <v>2687</v>
      </c>
      <c r="B137" s="55"/>
      <c r="C137" s="1316"/>
      <c r="D137" s="1316">
        <v>767363</v>
      </c>
      <c r="E137" s="1325">
        <v>984432</v>
      </c>
      <c r="F137" s="1326"/>
      <c r="G137" s="1316"/>
      <c r="H137" s="1325"/>
      <c r="I137" s="1327"/>
      <c r="J137" s="1318"/>
      <c r="K137" s="1316"/>
      <c r="L137" s="1325"/>
    </row>
    <row r="138" spans="1:12" ht="11.25" customHeight="1" x14ac:dyDescent="0.25">
      <c r="A138" s="1368" t="s">
        <v>2688</v>
      </c>
      <c r="B138" s="55"/>
      <c r="C138" s="1316"/>
      <c r="D138" s="1316">
        <v>1353312</v>
      </c>
      <c r="E138" s="1325">
        <v>3358406</v>
      </c>
      <c r="F138" s="1326"/>
      <c r="G138" s="1316"/>
      <c r="H138" s="1325"/>
      <c r="I138" s="1327"/>
      <c r="J138" s="1318"/>
      <c r="K138" s="1316"/>
      <c r="L138" s="1325"/>
    </row>
    <row r="139" spans="1:12" ht="11.25" customHeight="1" x14ac:dyDescent="0.25">
      <c r="A139" s="1368" t="s">
        <v>2689</v>
      </c>
      <c r="B139" s="55"/>
      <c r="C139" s="1316"/>
      <c r="D139" s="1316">
        <v>122854</v>
      </c>
      <c r="E139" s="1325">
        <v>337109</v>
      </c>
      <c r="F139" s="1326"/>
      <c r="G139" s="1316"/>
      <c r="H139" s="1325"/>
      <c r="I139" s="1327"/>
      <c r="J139" s="1318"/>
      <c r="K139" s="1316"/>
      <c r="L139" s="1325"/>
    </row>
    <row r="140" spans="1:12" ht="11.25" customHeight="1" x14ac:dyDescent="0.25">
      <c r="A140" s="1368" t="s">
        <v>2690</v>
      </c>
      <c r="B140" s="55"/>
      <c r="C140" s="1316"/>
      <c r="D140" s="1316">
        <v>2934558</v>
      </c>
      <c r="E140" s="1325">
        <v>3905718</v>
      </c>
      <c r="F140" s="1326"/>
      <c r="G140" s="1316"/>
      <c r="H140" s="1325"/>
      <c r="I140" s="1327"/>
      <c r="J140" s="1318"/>
      <c r="K140" s="1316"/>
      <c r="L140" s="1325"/>
    </row>
    <row r="141" spans="1:12" ht="11.25" customHeight="1" x14ac:dyDescent="0.25">
      <c r="A141" s="1368" t="s">
        <v>2691</v>
      </c>
      <c r="B141" s="55"/>
      <c r="C141" s="1316"/>
      <c r="D141" s="1316">
        <v>4925513</v>
      </c>
      <c r="E141" s="1325">
        <v>5222959</v>
      </c>
      <c r="F141" s="1326"/>
      <c r="G141" s="1316"/>
      <c r="H141" s="1325"/>
      <c r="I141" s="1327"/>
      <c r="J141" s="1318"/>
      <c r="K141" s="1316"/>
      <c r="L141" s="1325"/>
    </row>
    <row r="142" spans="1:12" ht="11.25" customHeight="1" x14ac:dyDescent="0.25">
      <c r="A142" s="1368" t="s">
        <v>381</v>
      </c>
      <c r="B142" s="55"/>
      <c r="C142" s="1316"/>
      <c r="D142" s="1316">
        <v>5783109</v>
      </c>
      <c r="E142" s="1325">
        <v>7401663</v>
      </c>
      <c r="F142" s="1326"/>
      <c r="G142" s="1316"/>
      <c r="H142" s="1325"/>
      <c r="I142" s="1327"/>
      <c r="J142" s="1318"/>
      <c r="K142" s="1316"/>
      <c r="L142" s="1325"/>
    </row>
    <row r="143" spans="1:12" ht="11.25" customHeight="1" x14ac:dyDescent="0.25">
      <c r="A143" s="1368" t="s">
        <v>2692</v>
      </c>
      <c r="B143" s="55"/>
      <c r="C143" s="1316"/>
      <c r="D143" s="1316">
        <v>1849577</v>
      </c>
      <c r="E143" s="1325">
        <v>1055658</v>
      </c>
      <c r="F143" s="1326"/>
      <c r="G143" s="1316"/>
      <c r="H143" s="1325"/>
      <c r="I143" s="1327"/>
      <c r="J143" s="1318"/>
      <c r="K143" s="1316"/>
      <c r="L143" s="1325"/>
    </row>
    <row r="144" spans="1:12" ht="11.25" customHeight="1" x14ac:dyDescent="0.25">
      <c r="A144" s="1368" t="s">
        <v>2693</v>
      </c>
      <c r="B144" s="55"/>
      <c r="C144" s="1316"/>
      <c r="D144" s="1316">
        <v>3181751</v>
      </c>
      <c r="E144" s="1325">
        <v>4937689</v>
      </c>
      <c r="F144" s="1326"/>
      <c r="G144" s="1316"/>
      <c r="H144" s="1325"/>
      <c r="I144" s="1327"/>
      <c r="J144" s="1318"/>
      <c r="K144" s="1316"/>
      <c r="L144" s="1325"/>
    </row>
    <row r="145" spans="1:12" ht="11.25" customHeight="1" x14ac:dyDescent="0.25">
      <c r="A145" s="1368" t="s">
        <v>2694</v>
      </c>
      <c r="B145" s="55"/>
      <c r="C145" s="1316"/>
      <c r="D145" s="1316"/>
      <c r="E145" s="1325">
        <v>606036.24</v>
      </c>
      <c r="F145" s="1326"/>
      <c r="G145" s="1316"/>
      <c r="H145" s="1325"/>
      <c r="I145" s="1327"/>
      <c r="J145" s="1318"/>
      <c r="K145" s="1316"/>
      <c r="L145" s="1325"/>
    </row>
    <row r="146" spans="1:12" ht="11.25" customHeight="1" x14ac:dyDescent="0.25">
      <c r="A146" s="1368" t="s">
        <v>2695</v>
      </c>
      <c r="B146" s="55"/>
      <c r="C146" s="1316"/>
      <c r="D146" s="1316">
        <v>253945</v>
      </c>
      <c r="E146" s="1325">
        <v>603413</v>
      </c>
      <c r="F146" s="1326"/>
      <c r="G146" s="1316"/>
      <c r="H146" s="1325"/>
      <c r="I146" s="1327"/>
      <c r="J146" s="1318"/>
      <c r="K146" s="1316"/>
      <c r="L146" s="1325"/>
    </row>
    <row r="147" spans="1:12" ht="11.25" customHeight="1" x14ac:dyDescent="0.25">
      <c r="A147" s="1368" t="s">
        <v>2696</v>
      </c>
      <c r="B147" s="55"/>
      <c r="C147" s="1316"/>
      <c r="D147" s="1316"/>
      <c r="E147" s="1325">
        <v>1113240.33</v>
      </c>
      <c r="F147" s="1326"/>
      <c r="G147" s="1316"/>
      <c r="H147" s="1325"/>
      <c r="I147" s="1327"/>
      <c r="J147" s="1318"/>
      <c r="K147" s="1316"/>
      <c r="L147" s="1325"/>
    </row>
    <row r="148" spans="1:12" ht="11.25" customHeight="1" x14ac:dyDescent="0.25">
      <c r="A148" s="1368" t="s">
        <v>2697</v>
      </c>
      <c r="B148" s="55"/>
      <c r="C148" s="1316"/>
      <c r="D148" s="1316"/>
      <c r="E148" s="1325"/>
      <c r="F148" s="1326"/>
      <c r="G148" s="1316"/>
      <c r="H148" s="1325"/>
      <c r="I148" s="1327"/>
      <c r="J148" s="1318"/>
      <c r="K148" s="1316"/>
      <c r="L148" s="1325"/>
    </row>
    <row r="149" spans="1:12" ht="11.25" customHeight="1" x14ac:dyDescent="0.25">
      <c r="A149" s="1368" t="s">
        <v>1428</v>
      </c>
      <c r="B149" s="55"/>
      <c r="C149" s="1316"/>
      <c r="D149" s="1316">
        <v>22100965</v>
      </c>
      <c r="E149" s="1325">
        <v>32656324</v>
      </c>
      <c r="F149" s="1326"/>
      <c r="G149" s="1316"/>
      <c r="H149" s="1325"/>
      <c r="I149" s="1327"/>
      <c r="J149" s="1318"/>
      <c r="K149" s="1316"/>
      <c r="L149" s="1325"/>
    </row>
    <row r="150" spans="1:12" ht="11.25" customHeight="1" x14ac:dyDescent="0.25">
      <c r="A150" s="1368" t="s">
        <v>2698</v>
      </c>
      <c r="B150" s="55"/>
      <c r="C150" s="1316"/>
      <c r="D150" s="1316"/>
      <c r="E150" s="1325">
        <v>1026181.42</v>
      </c>
      <c r="F150" s="1326"/>
      <c r="G150" s="1316"/>
      <c r="H150" s="1325"/>
      <c r="I150" s="1327"/>
      <c r="J150" s="1318"/>
      <c r="K150" s="1316"/>
      <c r="L150" s="1325"/>
    </row>
    <row r="151" spans="1:12" ht="11.25" customHeight="1" x14ac:dyDescent="0.25">
      <c r="A151" s="1369" t="s">
        <v>2699</v>
      </c>
      <c r="B151" s="55"/>
      <c r="C151" s="1316"/>
      <c r="D151" s="1316"/>
      <c r="E151" s="1325"/>
      <c r="F151" s="1326"/>
      <c r="G151" s="1316"/>
      <c r="H151" s="1325"/>
      <c r="I151" s="1327"/>
      <c r="J151" s="1318"/>
      <c r="K151" s="1316"/>
      <c r="L151" s="1325"/>
    </row>
    <row r="152" spans="1:12" ht="11.25" customHeight="1" x14ac:dyDescent="0.25">
      <c r="A152" s="1369" t="s">
        <v>2700</v>
      </c>
      <c r="B152" s="55"/>
      <c r="C152" s="1316"/>
      <c r="D152" s="1316"/>
      <c r="E152" s="1325"/>
      <c r="F152" s="1326"/>
      <c r="G152" s="1316"/>
      <c r="H152" s="1325"/>
      <c r="I152" s="1327"/>
      <c r="J152" s="1318"/>
      <c r="K152" s="1316"/>
      <c r="L152" s="1325"/>
    </row>
    <row r="153" spans="1:12" ht="11.25" customHeight="1" x14ac:dyDescent="0.25">
      <c r="A153" s="1369" t="s">
        <v>2701</v>
      </c>
      <c r="B153" s="55"/>
      <c r="C153" s="1316"/>
      <c r="D153" s="1316"/>
      <c r="E153" s="1325"/>
      <c r="F153" s="1326"/>
      <c r="G153" s="1316"/>
      <c r="H153" s="1325"/>
      <c r="I153" s="1327"/>
      <c r="J153" s="1318"/>
      <c r="K153" s="1316"/>
      <c r="L153" s="1325"/>
    </row>
    <row r="154" spans="1:12" ht="11.25" customHeight="1" x14ac:dyDescent="0.25">
      <c r="A154" s="1369" t="s">
        <v>2702</v>
      </c>
      <c r="B154" s="55"/>
      <c r="C154" s="1316"/>
      <c r="D154" s="1316"/>
      <c r="E154" s="1325"/>
      <c r="F154" s="1326"/>
      <c r="G154" s="1316"/>
      <c r="H154" s="1325"/>
      <c r="I154" s="1327"/>
      <c r="J154" s="1318"/>
      <c r="K154" s="1316"/>
      <c r="L154" s="1325"/>
    </row>
    <row r="155" spans="1:12" ht="11.25" customHeight="1" x14ac:dyDescent="0.25">
      <c r="A155" s="1369" t="s">
        <v>2705</v>
      </c>
      <c r="B155" s="55"/>
      <c r="C155" s="1316"/>
      <c r="D155" s="1316"/>
      <c r="E155" s="1325"/>
      <c r="F155" s="1326"/>
      <c r="G155" s="1316"/>
      <c r="H155" s="1325"/>
      <c r="I155" s="1327"/>
      <c r="J155" s="1318"/>
      <c r="K155" s="1316"/>
      <c r="L155" s="1325"/>
    </row>
    <row r="156" spans="1:12" ht="11.25" customHeight="1" x14ac:dyDescent="0.25">
      <c r="A156" s="1369" t="s">
        <v>2703</v>
      </c>
      <c r="B156" s="55"/>
      <c r="C156" s="1316"/>
      <c r="D156" s="1316"/>
      <c r="E156" s="1325"/>
      <c r="F156" s="1326"/>
      <c r="G156" s="1316"/>
      <c r="H156" s="1325"/>
      <c r="I156" s="1327"/>
      <c r="J156" s="1318"/>
      <c r="K156" s="1316"/>
      <c r="L156" s="1325"/>
    </row>
    <row r="157" spans="1:12" ht="11.25" customHeight="1" x14ac:dyDescent="0.25">
      <c r="A157" s="178" t="s">
        <v>664</v>
      </c>
      <c r="B157" s="179">
        <v>1</v>
      </c>
      <c r="C157" s="95">
        <f>SUM(C130:C156)</f>
        <v>0</v>
      </c>
      <c r="D157" s="95">
        <f t="shared" ref="D157:L157" si="14">SUM(D130:D156)</f>
        <v>73496916</v>
      </c>
      <c r="E157" s="96">
        <f t="shared" si="14"/>
        <v>110752250</v>
      </c>
      <c r="F157" s="97">
        <f t="shared" si="14"/>
        <v>76472938.675091609</v>
      </c>
      <c r="G157" s="95">
        <f t="shared" si="14"/>
        <v>48147486.845091619</v>
      </c>
      <c r="H157" s="96">
        <f t="shared" si="14"/>
        <v>48147486.845091619</v>
      </c>
      <c r="I157" s="94">
        <f t="shared" si="14"/>
        <v>48147486.845091619</v>
      </c>
      <c r="J157" s="98">
        <f t="shared" si="14"/>
        <v>57758810.765000015</v>
      </c>
      <c r="K157" s="95">
        <f t="shared" si="14"/>
        <v>61224339.410900019</v>
      </c>
      <c r="L157" s="96">
        <f t="shared" si="14"/>
        <v>64897799.775554024</v>
      </c>
    </row>
    <row r="158" spans="1:12" ht="11.25" customHeight="1" x14ac:dyDescent="0.25">
      <c r="A158" s="103"/>
      <c r="C158" s="85"/>
      <c r="D158" s="85"/>
      <c r="E158" s="85"/>
      <c r="F158" s="85"/>
      <c r="G158" s="85"/>
      <c r="H158" s="85"/>
      <c r="I158" s="85"/>
      <c r="J158" s="88"/>
      <c r="K158" s="85"/>
      <c r="L158" s="85"/>
    </row>
    <row r="159" spans="1:12" ht="11.25" customHeight="1" x14ac:dyDescent="0.25">
      <c r="A159" s="1002" t="s">
        <v>1714</v>
      </c>
      <c r="B159" s="1018">
        <v>8</v>
      </c>
      <c r="C159" s="1003"/>
      <c r="D159" s="912"/>
      <c r="E159" s="329"/>
      <c r="F159" s="1003"/>
      <c r="G159" s="912"/>
      <c r="H159" s="329"/>
      <c r="I159" s="227"/>
      <c r="J159" s="330"/>
      <c r="K159" s="912"/>
      <c r="L159" s="329"/>
    </row>
    <row r="160" spans="1:12" x14ac:dyDescent="0.25">
      <c r="A160" s="63" t="s">
        <v>409</v>
      </c>
      <c r="B160" s="916"/>
      <c r="C160" s="1320"/>
      <c r="D160" s="1316"/>
      <c r="E160" s="1319"/>
      <c r="F160" s="1320"/>
      <c r="G160" s="1316"/>
      <c r="H160" s="1319"/>
      <c r="I160" s="1326"/>
      <c r="J160" s="1318"/>
      <c r="K160" s="1316"/>
      <c r="L160" s="1319"/>
    </row>
    <row r="161" spans="1:12" s="464" customFormat="1" ht="11.25" customHeight="1" x14ac:dyDescent="0.25">
      <c r="A161" s="63" t="s">
        <v>1358</v>
      </c>
      <c r="B161" s="916"/>
      <c r="C161" s="1320"/>
      <c r="D161" s="1316"/>
      <c r="E161" s="1319"/>
      <c r="F161" s="1320"/>
      <c r="G161" s="1316"/>
      <c r="H161" s="1319"/>
      <c r="I161" s="1326"/>
      <c r="J161" s="1318"/>
      <c r="K161" s="1316"/>
      <c r="L161" s="1319"/>
    </row>
    <row r="162" spans="1:12" s="464" customFormat="1" ht="11.25" customHeight="1" x14ac:dyDescent="0.25">
      <c r="A162" s="63" t="s">
        <v>1715</v>
      </c>
      <c r="B162" s="916"/>
      <c r="C162" s="1320"/>
      <c r="D162" s="1316"/>
      <c r="E162" s="1319"/>
      <c r="F162" s="1320"/>
      <c r="G162" s="1316"/>
      <c r="H162" s="1319"/>
      <c r="I162" s="1326"/>
      <c r="J162" s="1318"/>
      <c r="K162" s="1316"/>
      <c r="L162" s="1319"/>
    </row>
    <row r="163" spans="1:12" s="464" customFormat="1" ht="11.25" customHeight="1" x14ac:dyDescent="0.25">
      <c r="A163" s="63" t="s">
        <v>1716</v>
      </c>
      <c r="B163" s="916"/>
      <c r="C163" s="1371"/>
      <c r="D163" s="1346">
        <v>5783109</v>
      </c>
      <c r="E163" s="1347">
        <v>7401663</v>
      </c>
      <c r="F163" s="1371">
        <v>11585379.369000001</v>
      </c>
      <c r="G163" s="1346">
        <v>6758329.3690000009</v>
      </c>
      <c r="H163" s="1347">
        <v>6758329.3690000009</v>
      </c>
      <c r="I163" s="1633">
        <v>6758329.3690000009</v>
      </c>
      <c r="J163" s="1348">
        <v>10052343.374600001</v>
      </c>
      <c r="K163" s="1346">
        <f>J163*1.06</f>
        <v>10655483.977076001</v>
      </c>
      <c r="L163" s="1347">
        <f>K163*1.06</f>
        <v>11294813.015700562</v>
      </c>
    </row>
    <row r="164" spans="1:12" s="464" customFormat="1" ht="11.25" customHeight="1" x14ac:dyDescent="0.25">
      <c r="A164" s="178" t="s">
        <v>1082</v>
      </c>
      <c r="B164" s="1019">
        <v>9</v>
      </c>
      <c r="C164" s="1005">
        <f>SUM(C160:C163)</f>
        <v>0</v>
      </c>
      <c r="D164" s="229">
        <f t="shared" ref="D164:L164" si="15">SUM(D160:D163)</f>
        <v>5783109</v>
      </c>
      <c r="E164" s="1004">
        <f t="shared" si="15"/>
        <v>7401663</v>
      </c>
      <c r="F164" s="1005">
        <f t="shared" si="15"/>
        <v>11585379.369000001</v>
      </c>
      <c r="G164" s="229">
        <f t="shared" si="15"/>
        <v>6758329.3690000009</v>
      </c>
      <c r="H164" s="1004">
        <f t="shared" si="15"/>
        <v>6758329.3690000009</v>
      </c>
      <c r="I164" s="231">
        <f t="shared" si="15"/>
        <v>6758329.3690000009</v>
      </c>
      <c r="J164" s="723">
        <f t="shared" si="15"/>
        <v>10052343.374600001</v>
      </c>
      <c r="K164" s="229">
        <f t="shared" si="15"/>
        <v>10655483.977076001</v>
      </c>
      <c r="L164" s="1004">
        <f t="shared" si="15"/>
        <v>11294813.015700562</v>
      </c>
    </row>
    <row r="165" spans="1:12" s="464" customFormat="1" ht="11.25" customHeight="1" x14ac:dyDescent="0.25">
      <c r="A165" s="103"/>
      <c r="B165" s="25"/>
      <c r="C165" s="75"/>
      <c r="D165" s="75"/>
      <c r="E165" s="75"/>
      <c r="F165" s="75"/>
      <c r="G165" s="75"/>
      <c r="H165" s="75"/>
      <c r="I165" s="75"/>
      <c r="J165" s="75"/>
      <c r="K165" s="75"/>
      <c r="L165" s="75"/>
    </row>
    <row r="166" spans="1:12" s="464" customFormat="1" ht="12.75" customHeight="1" x14ac:dyDescent="0.25">
      <c r="A166" s="158" t="s">
        <v>1354</v>
      </c>
      <c r="B166" s="25"/>
      <c r="C166" s="75">
        <f>C164-SA34c!C167</f>
        <v>0</v>
      </c>
      <c r="D166" s="75">
        <f>D164-SA34c!D167</f>
        <v>0</v>
      </c>
      <c r="E166" s="75">
        <f>E164-SA34c!E167</f>
        <v>0</v>
      </c>
      <c r="F166" s="75">
        <f>F164-SA34c!F167</f>
        <v>3.9999987930059433E-3</v>
      </c>
      <c r="G166" s="75">
        <f>G164-SA34c!G167</f>
        <v>0</v>
      </c>
      <c r="H166" s="75">
        <f>H164-SA34c!H167</f>
        <v>0</v>
      </c>
      <c r="I166" s="75"/>
      <c r="J166" s="75">
        <f>J164-SA34c!I167</f>
        <v>0.90400000102818012</v>
      </c>
      <c r="K166" s="75">
        <f>K164-SA34c!J167</f>
        <v>0.95824000239372253</v>
      </c>
      <c r="L166" s="75">
        <f>L164-SA34c!K167</f>
        <v>1.0157344024628401</v>
      </c>
    </row>
    <row r="167" spans="1:12" s="464" customFormat="1" ht="11.25" customHeight="1" x14ac:dyDescent="0.25">
      <c r="A167" s="103"/>
      <c r="B167" s="102"/>
      <c r="C167" s="85"/>
      <c r="D167" s="85"/>
      <c r="E167" s="85"/>
      <c r="F167" s="85"/>
      <c r="G167" s="85"/>
      <c r="H167" s="85"/>
      <c r="I167" s="85"/>
      <c r="J167" s="85"/>
      <c r="K167" s="85"/>
      <c r="L167" s="85"/>
    </row>
    <row r="168" spans="1:12" ht="6" customHeight="1" x14ac:dyDescent="0.25">
      <c r="A168" s="103"/>
      <c r="C168" s="85"/>
      <c r="D168" s="85"/>
      <c r="E168" s="85"/>
      <c r="F168" s="85"/>
      <c r="G168" s="85"/>
      <c r="H168" s="85"/>
      <c r="I168" s="85"/>
      <c r="J168" s="85"/>
      <c r="K168" s="85"/>
      <c r="L168" s="85"/>
    </row>
    <row r="169" spans="1:12" ht="15" customHeight="1" x14ac:dyDescent="0.25">
      <c r="A169" s="101" t="str">
        <f>head27a</f>
        <v>References</v>
      </c>
      <c r="B169" s="645"/>
      <c r="C169" s="647"/>
      <c r="D169" s="647"/>
      <c r="E169" s="647"/>
      <c r="F169" s="647"/>
      <c r="G169" s="647"/>
      <c r="H169" s="647"/>
      <c r="I169" s="647"/>
      <c r="J169" s="647"/>
      <c r="K169" s="647"/>
      <c r="L169" s="647"/>
    </row>
    <row r="170" spans="1:12" ht="12" customHeight="1" x14ac:dyDescent="0.25">
      <c r="A170" s="132" t="s">
        <v>665</v>
      </c>
      <c r="B170" s="645"/>
      <c r="C170" s="648"/>
      <c r="D170" s="648"/>
      <c r="E170" s="647"/>
      <c r="F170" s="647"/>
      <c r="G170" s="647"/>
      <c r="H170" s="647"/>
      <c r="I170" s="647"/>
      <c r="J170" s="647"/>
      <c r="K170" s="647"/>
      <c r="L170" s="647"/>
    </row>
    <row r="171" spans="1:12" x14ac:dyDescent="0.25">
      <c r="A171" s="132" t="s">
        <v>942</v>
      </c>
      <c r="B171" s="645"/>
      <c r="C171" s="648"/>
      <c r="D171" s="648"/>
      <c r="E171" s="647"/>
      <c r="F171" s="647"/>
      <c r="G171" s="647"/>
      <c r="H171" s="647"/>
      <c r="I171" s="647"/>
      <c r="J171" s="647"/>
      <c r="K171" s="647"/>
      <c r="L171" s="647"/>
    </row>
    <row r="172" spans="1:12" x14ac:dyDescent="0.25">
      <c r="A172" s="132" t="s">
        <v>667</v>
      </c>
      <c r="B172" s="645"/>
      <c r="C172" s="648"/>
      <c r="D172" s="648"/>
      <c r="E172" s="647"/>
      <c r="F172" s="647"/>
      <c r="G172" s="647"/>
      <c r="H172" s="647"/>
      <c r="I172" s="647"/>
      <c r="J172" s="647"/>
      <c r="K172" s="647"/>
      <c r="L172" s="647"/>
    </row>
    <row r="173" spans="1:12" ht="11.25" customHeight="1" x14ac:dyDescent="0.25">
      <c r="A173" s="132" t="s">
        <v>666</v>
      </c>
      <c r="B173" s="645"/>
      <c r="C173" s="648"/>
      <c r="D173" s="648"/>
      <c r="E173" s="647"/>
      <c r="F173" s="647"/>
      <c r="G173" s="647"/>
      <c r="H173" s="647"/>
      <c r="I173" s="647"/>
      <c r="J173" s="647"/>
      <c r="K173" s="647"/>
      <c r="L173" s="647"/>
    </row>
    <row r="174" spans="1:12" ht="11.25" customHeight="1" x14ac:dyDescent="0.25">
      <c r="A174" s="132" t="s">
        <v>1134</v>
      </c>
      <c r="B174" s="645"/>
      <c r="C174" s="648"/>
      <c r="D174" s="648"/>
      <c r="E174" s="647"/>
      <c r="F174" s="647"/>
      <c r="G174" s="647"/>
      <c r="H174" s="647"/>
      <c r="I174" s="647"/>
      <c r="J174" s="647"/>
      <c r="K174" s="647"/>
      <c r="L174" s="647"/>
    </row>
    <row r="175" spans="1:12" ht="11.25" customHeight="1" x14ac:dyDescent="0.25">
      <c r="A175" s="132" t="s">
        <v>1493</v>
      </c>
      <c r="B175" s="645"/>
      <c r="C175" s="648"/>
      <c r="D175" s="648"/>
      <c r="E175" s="647"/>
      <c r="F175" s="647"/>
      <c r="G175" s="647"/>
      <c r="H175" s="647"/>
      <c r="I175" s="647"/>
      <c r="J175" s="647"/>
      <c r="K175" s="647"/>
      <c r="L175" s="647"/>
    </row>
    <row r="176" spans="1:12" ht="11.25" customHeight="1" x14ac:dyDescent="0.25">
      <c r="A176" s="132" t="s">
        <v>104</v>
      </c>
      <c r="B176" s="645"/>
      <c r="C176" s="648"/>
      <c r="D176" s="648"/>
      <c r="E176" s="647"/>
      <c r="F176" s="647"/>
      <c r="G176" s="647"/>
      <c r="H176" s="647"/>
      <c r="I176" s="647"/>
      <c r="J176" s="647"/>
      <c r="K176" s="647"/>
      <c r="L176" s="647"/>
    </row>
    <row r="177" spans="1:2" ht="11.25" customHeight="1" x14ac:dyDescent="0.25">
      <c r="A177" s="704" t="s">
        <v>1718</v>
      </c>
    </row>
    <row r="178" spans="1:2" ht="11.25" customHeight="1" x14ac:dyDescent="0.25">
      <c r="A178" s="25" t="s">
        <v>1719</v>
      </c>
    </row>
    <row r="179" spans="1:2" ht="11.25" customHeight="1" x14ac:dyDescent="0.25">
      <c r="A179" s="25" t="s">
        <v>1973</v>
      </c>
      <c r="B179" s="25"/>
    </row>
    <row r="180" spans="1:2" ht="11.25" customHeight="1" x14ac:dyDescent="0.25">
      <c r="B180" s="25"/>
    </row>
    <row r="181" spans="1:2" ht="11.25" customHeight="1" x14ac:dyDescent="0.25">
      <c r="B181" s="25"/>
    </row>
    <row r="182" spans="1:2" ht="11.25" customHeight="1" x14ac:dyDescent="0.25">
      <c r="B182" s="25"/>
    </row>
    <row r="183" spans="1:2" ht="11.25" customHeight="1" x14ac:dyDescent="0.25">
      <c r="B183" s="25"/>
    </row>
    <row r="184" spans="1:2" ht="11.25" customHeight="1" x14ac:dyDescent="0.25">
      <c r="B184" s="25"/>
    </row>
    <row r="185" spans="1:2" ht="11.25" customHeight="1" x14ac:dyDescent="0.25">
      <c r="B185" s="25"/>
    </row>
    <row r="186" spans="1:2" ht="11.25" customHeight="1" x14ac:dyDescent="0.25">
      <c r="B186" s="25"/>
    </row>
    <row r="187" spans="1:2" ht="11.25" customHeight="1" x14ac:dyDescent="0.25">
      <c r="B187" s="25"/>
    </row>
    <row r="188" spans="1:2" ht="11.25" customHeight="1" x14ac:dyDescent="0.25">
      <c r="B188" s="25"/>
    </row>
    <row r="189" spans="1:2" ht="11.25" customHeight="1" x14ac:dyDescent="0.25">
      <c r="B189" s="25"/>
    </row>
    <row r="190" spans="1:2" ht="11.25" customHeight="1" x14ac:dyDescent="0.25">
      <c r="B190" s="25"/>
    </row>
    <row r="191" spans="1:2" ht="11.25" customHeight="1" x14ac:dyDescent="0.25">
      <c r="B191" s="25"/>
    </row>
    <row r="192" spans="1:2" ht="11.25" customHeight="1" x14ac:dyDescent="0.25">
      <c r="B192" s="25"/>
    </row>
    <row r="193" spans="2:2" ht="11.25" customHeight="1" x14ac:dyDescent="0.25">
      <c r="B193" s="25"/>
    </row>
    <row r="194" spans="2:2" ht="11.25" customHeight="1" x14ac:dyDescent="0.25">
      <c r="B194" s="25"/>
    </row>
    <row r="195" spans="2:2" ht="11.25" customHeight="1" x14ac:dyDescent="0.25">
      <c r="B195" s="25"/>
    </row>
    <row r="196" spans="2:2" ht="11.25" customHeight="1" x14ac:dyDescent="0.25">
      <c r="B196" s="25"/>
    </row>
    <row r="197" spans="2:2" ht="11.25" customHeight="1" x14ac:dyDescent="0.25">
      <c r="B197" s="25"/>
    </row>
    <row r="198" spans="2:2" ht="11.25" customHeight="1" x14ac:dyDescent="0.25">
      <c r="B198" s="25"/>
    </row>
    <row r="199" spans="2:2" ht="11.25" customHeight="1" x14ac:dyDescent="0.25">
      <c r="B199" s="25"/>
    </row>
    <row r="200" spans="2:2" ht="11.25" customHeight="1" x14ac:dyDescent="0.25">
      <c r="B200" s="25"/>
    </row>
    <row r="201" spans="2:2" ht="11.25" customHeight="1" x14ac:dyDescent="0.25">
      <c r="B201" s="25"/>
    </row>
    <row r="202" spans="2:2" ht="11.25" customHeight="1" x14ac:dyDescent="0.25">
      <c r="B202" s="25"/>
    </row>
    <row r="203" spans="2:2" ht="11.25" customHeight="1" x14ac:dyDescent="0.25">
      <c r="B203" s="25"/>
    </row>
    <row r="204" spans="2:2" ht="11.25" customHeight="1" x14ac:dyDescent="0.25">
      <c r="B204" s="25"/>
    </row>
    <row r="205" spans="2:2" ht="11.25" customHeight="1" x14ac:dyDescent="0.25">
      <c r="B205" s="25"/>
    </row>
    <row r="206" spans="2:2" ht="11.25" customHeight="1" x14ac:dyDescent="0.25">
      <c r="B206" s="25"/>
    </row>
    <row r="207" spans="2:2" ht="11.25" customHeight="1" x14ac:dyDescent="0.25">
      <c r="B207" s="25"/>
    </row>
    <row r="208" spans="2:2" ht="11.25" customHeight="1" x14ac:dyDescent="0.25">
      <c r="B208" s="25"/>
    </row>
    <row r="209" spans="2:2" ht="11.25" customHeight="1" x14ac:dyDescent="0.25">
      <c r="B209" s="25"/>
    </row>
    <row r="210" spans="2:2" ht="11.25" customHeight="1" x14ac:dyDescent="0.25">
      <c r="B210" s="25"/>
    </row>
    <row r="211" spans="2:2" ht="11.25" customHeight="1" x14ac:dyDescent="0.25">
      <c r="B211" s="25"/>
    </row>
    <row r="212" spans="2:2" ht="11.25" customHeight="1" x14ac:dyDescent="0.25">
      <c r="B212" s="25"/>
    </row>
    <row r="213" spans="2:2" ht="11.25" customHeight="1" x14ac:dyDescent="0.25">
      <c r="B213" s="25"/>
    </row>
    <row r="214" spans="2:2" ht="11.25" customHeight="1" x14ac:dyDescent="0.25">
      <c r="B214" s="25"/>
    </row>
    <row r="215" spans="2:2" ht="11.25" customHeight="1" x14ac:dyDescent="0.25">
      <c r="B215" s="25"/>
    </row>
    <row r="216" spans="2:2" ht="11.25" customHeight="1" x14ac:dyDescent="0.25">
      <c r="B216" s="25"/>
    </row>
    <row r="217" spans="2:2" ht="11.25" customHeight="1" x14ac:dyDescent="0.25">
      <c r="B217" s="25"/>
    </row>
    <row r="218" spans="2:2" ht="11.25" customHeight="1" x14ac:dyDescent="0.25">
      <c r="B218" s="25"/>
    </row>
    <row r="219" spans="2:2" ht="11.25" customHeight="1" x14ac:dyDescent="0.25">
      <c r="B219" s="25"/>
    </row>
    <row r="220" spans="2:2" ht="11.25" customHeight="1" x14ac:dyDescent="0.25">
      <c r="B220" s="25"/>
    </row>
    <row r="221" spans="2:2" ht="11.25" customHeight="1" x14ac:dyDescent="0.25">
      <c r="B221" s="25"/>
    </row>
    <row r="222" spans="2:2" ht="11.25" customHeight="1" x14ac:dyDescent="0.25">
      <c r="B222" s="25"/>
    </row>
    <row r="223" spans="2:2" ht="11.25" customHeight="1" x14ac:dyDescent="0.25">
      <c r="B223" s="25"/>
    </row>
    <row r="224" spans="2:2" ht="11.25" customHeight="1" x14ac:dyDescent="0.25">
      <c r="B224" s="25"/>
    </row>
    <row r="225" spans="2:2" ht="11.25" customHeight="1" x14ac:dyDescent="0.25">
      <c r="B225" s="25"/>
    </row>
    <row r="226" spans="2:2" ht="11.25" customHeight="1" x14ac:dyDescent="0.25">
      <c r="B226" s="25"/>
    </row>
    <row r="227" spans="2:2" ht="11.25" customHeight="1" x14ac:dyDescent="0.25">
      <c r="B227" s="25"/>
    </row>
    <row r="228" spans="2:2" ht="11.25" customHeight="1" x14ac:dyDescent="0.25">
      <c r="B228" s="25"/>
    </row>
    <row r="229" spans="2:2" ht="11.25" customHeight="1" x14ac:dyDescent="0.25">
      <c r="B229" s="25"/>
    </row>
    <row r="230" spans="2:2" ht="11.25" customHeight="1" x14ac:dyDescent="0.25">
      <c r="B230" s="25"/>
    </row>
    <row r="231" spans="2:2" ht="11.25" customHeight="1" x14ac:dyDescent="0.25">
      <c r="B231" s="25"/>
    </row>
    <row r="232" spans="2:2" ht="11.25" customHeight="1" x14ac:dyDescent="0.25">
      <c r="B232" s="25"/>
    </row>
    <row r="233" spans="2:2" ht="11.25" customHeight="1" x14ac:dyDescent="0.25">
      <c r="B233" s="25"/>
    </row>
    <row r="234" spans="2:2" x14ac:dyDescent="0.25">
      <c r="B234" s="25"/>
    </row>
    <row r="235" spans="2:2" x14ac:dyDescent="0.25">
      <c r="B235" s="25"/>
    </row>
    <row r="236" spans="2:2" x14ac:dyDescent="0.25">
      <c r="B236" s="25"/>
    </row>
    <row r="237" spans="2:2" x14ac:dyDescent="0.25">
      <c r="B237" s="25"/>
    </row>
    <row r="238" spans="2:2" x14ac:dyDescent="0.25">
      <c r="B238" s="25"/>
    </row>
    <row r="239" spans="2:2" x14ac:dyDescent="0.25">
      <c r="B239" s="25"/>
    </row>
    <row r="240" spans="2:2" x14ac:dyDescent="0.25">
      <c r="B240" s="25"/>
    </row>
    <row r="241" spans="2:2" x14ac:dyDescent="0.25">
      <c r="B241" s="25"/>
    </row>
    <row r="242" spans="2:2" x14ac:dyDescent="0.25">
      <c r="B242" s="25"/>
    </row>
    <row r="243" spans="2:2" x14ac:dyDescent="0.25">
      <c r="B243" s="25"/>
    </row>
    <row r="244" spans="2:2" x14ac:dyDescent="0.25">
      <c r="B244" s="25"/>
    </row>
    <row r="245" spans="2:2" x14ac:dyDescent="0.25">
      <c r="B245" s="25"/>
    </row>
    <row r="246" spans="2:2" x14ac:dyDescent="0.25">
      <c r="B246" s="25"/>
    </row>
    <row r="247" spans="2:2" x14ac:dyDescent="0.25">
      <c r="B247" s="25"/>
    </row>
    <row r="248" spans="2:2" x14ac:dyDescent="0.25">
      <c r="B248" s="25"/>
    </row>
    <row r="249" spans="2:2" x14ac:dyDescent="0.25">
      <c r="B249" s="25"/>
    </row>
    <row r="250" spans="2:2" x14ac:dyDescent="0.25">
      <c r="B250" s="25"/>
    </row>
    <row r="251" spans="2:2" x14ac:dyDescent="0.25">
      <c r="B251" s="25"/>
    </row>
    <row r="252" spans="2:2" x14ac:dyDescent="0.25">
      <c r="B252" s="25"/>
    </row>
    <row r="253" spans="2:2" x14ac:dyDescent="0.25">
      <c r="B253" s="25"/>
    </row>
    <row r="254" spans="2:2" x14ac:dyDescent="0.25">
      <c r="B254" s="25"/>
    </row>
    <row r="255" spans="2:2" x14ac:dyDescent="0.25">
      <c r="B255" s="25"/>
    </row>
    <row r="256" spans="2:2" x14ac:dyDescent="0.25">
      <c r="B256" s="25"/>
    </row>
    <row r="257" spans="2:2" x14ac:dyDescent="0.25">
      <c r="B257" s="25"/>
    </row>
    <row r="258" spans="2:2" x14ac:dyDescent="0.25">
      <c r="B258" s="25"/>
    </row>
    <row r="259" spans="2:2" x14ac:dyDescent="0.25">
      <c r="B259" s="25"/>
    </row>
    <row r="260" spans="2:2" x14ac:dyDescent="0.25">
      <c r="B260" s="25"/>
    </row>
    <row r="261" spans="2:2" x14ac:dyDescent="0.25">
      <c r="B261" s="25"/>
    </row>
    <row r="262" spans="2:2" x14ac:dyDescent="0.25">
      <c r="B262" s="25"/>
    </row>
    <row r="263" spans="2:2" x14ac:dyDescent="0.25">
      <c r="B263" s="25"/>
    </row>
    <row r="264" spans="2:2" x14ac:dyDescent="0.25">
      <c r="B264" s="25"/>
    </row>
    <row r="265" spans="2:2" x14ac:dyDescent="0.25">
      <c r="B265" s="25"/>
    </row>
    <row r="266" spans="2:2" x14ac:dyDescent="0.25">
      <c r="B266" s="25"/>
    </row>
    <row r="267" spans="2:2" x14ac:dyDescent="0.25">
      <c r="B267" s="25"/>
    </row>
    <row r="268" spans="2:2" x14ac:dyDescent="0.25">
      <c r="B268" s="25"/>
    </row>
    <row r="269" spans="2:2" x14ac:dyDescent="0.25">
      <c r="B269" s="25"/>
    </row>
    <row r="270" spans="2:2" x14ac:dyDescent="0.25">
      <c r="B270" s="25"/>
    </row>
    <row r="271" spans="2:2" x14ac:dyDescent="0.25">
      <c r="B271" s="25"/>
    </row>
    <row r="272" spans="2:2" x14ac:dyDescent="0.25">
      <c r="B272" s="25"/>
    </row>
    <row r="273" spans="2:2" x14ac:dyDescent="0.25">
      <c r="B273" s="25"/>
    </row>
    <row r="274" spans="2:2" x14ac:dyDescent="0.25">
      <c r="B274" s="25"/>
    </row>
    <row r="275" spans="2:2" x14ac:dyDescent="0.25">
      <c r="B275" s="25"/>
    </row>
    <row r="276" spans="2:2" x14ac:dyDescent="0.25">
      <c r="B276" s="25"/>
    </row>
    <row r="277" spans="2:2" x14ac:dyDescent="0.25">
      <c r="B277" s="25"/>
    </row>
    <row r="278" spans="2:2" x14ac:dyDescent="0.25">
      <c r="B278" s="25"/>
    </row>
    <row r="279" spans="2:2" x14ac:dyDescent="0.25">
      <c r="B279" s="25"/>
    </row>
  </sheetData>
  <mergeCells count="4">
    <mergeCell ref="J2:L2"/>
    <mergeCell ref="F2:I2"/>
    <mergeCell ref="A2:A3"/>
    <mergeCell ref="B2:B3"/>
  </mergeCells>
  <phoneticPr fontId="3" type="noConversion"/>
  <dataValidations count="1">
    <dataValidation type="decimal" allowBlank="1" showInputMessage="1" showErrorMessage="1" sqref="C91:L92 C24:L26 C86:L87 C12:L15 C18:L20 C30:L33 C7:L8 C70:L75 C53:L64 C79:L82 C66:L66 C123:L126 C96:L120 C37:L48 C160:L163 C130:L156" xr:uid="{00000000-0002-0000-1400-000000000000}">
      <formula1>-999999999999999</formula1>
      <formula2>99999999999999</formula2>
    </dataValidation>
  </dataValidations>
  <printOptions horizontalCentered="1"/>
  <pageMargins left="0" right="0" top="0.78740157480314965" bottom="0.59055118110236227" header="0.51181102362204722" footer="0.39370078740157483"/>
  <pageSetup paperSize="9" scale="65" fitToHeight="2" orientation="portrait"/>
  <headerFooter alignWithMargins="0"/>
  <rowBreaks count="1" manualBreakCount="1">
    <brk id="77" max="11" man="1"/>
  </rowBreaks>
  <ignoredErrors>
    <ignoredError sqref="C33:F33 H3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U82"/>
  <sheetViews>
    <sheetView showGridLines="0" zoomScaleNormal="100" workbookViewId="0">
      <pane xSplit="2" ySplit="3" topLeftCell="C4" activePane="bottomRight" state="frozen"/>
      <selection pane="topRight"/>
      <selection pane="bottomLeft"/>
      <selection pane="bottomRight" activeCell="R5" sqref="R5"/>
    </sheetView>
  </sheetViews>
  <sheetFormatPr defaultRowHeight="12.75" x14ac:dyDescent="0.25"/>
  <cols>
    <col min="1" max="1" width="30.7109375" style="25" customWidth="1"/>
    <col min="2" max="2" width="3" style="102" customWidth="1"/>
    <col min="3" max="18" width="9.28515625" style="25" customWidth="1"/>
    <col min="19" max="20" width="9.140625" style="25"/>
    <col min="21" max="21" width="9.7109375" style="25" customWidth="1"/>
    <col min="22" max="22" width="9.42578125" style="25" customWidth="1"/>
    <col min="23" max="23" width="9.7109375" style="25" customWidth="1"/>
    <col min="24" max="26" width="9.42578125" style="25" customWidth="1"/>
    <col min="27" max="27" width="9.7109375" style="25" customWidth="1"/>
    <col min="28" max="30" width="9.42578125" style="25" customWidth="1"/>
    <col min="31" max="32" width="9.7109375" style="25" customWidth="1"/>
    <col min="33" max="16384" width="9.140625" style="25"/>
  </cols>
  <sheetData>
    <row r="1" spans="1:19" s="52" customFormat="1" x14ac:dyDescent="0.2">
      <c r="A1" s="23" t="str">
        <f>muni&amp;" - "&amp;TableA2</f>
        <v>EC101 Dr Beyers Naude - Supporting Table SA2 Matrix Financial Performance Budget (revenue source/expenditure type and dept.)</v>
      </c>
      <c r="B1" s="23"/>
      <c r="C1" s="23"/>
      <c r="D1" s="23"/>
      <c r="E1" s="23"/>
      <c r="F1" s="23"/>
      <c r="G1" s="23"/>
      <c r="H1" s="23"/>
      <c r="I1" s="23"/>
      <c r="J1" s="23"/>
      <c r="K1" s="23"/>
      <c r="L1" s="23"/>
      <c r="M1" s="23"/>
      <c r="N1" s="23"/>
      <c r="O1" s="23"/>
      <c r="P1" s="23"/>
      <c r="Q1" s="23"/>
      <c r="R1" s="23"/>
    </row>
    <row r="2" spans="1:19" ht="43.5" customHeight="1" x14ac:dyDescent="0.25">
      <c r="A2" s="18" t="str">
        <f>desc</f>
        <v>Description</v>
      </c>
      <c r="B2" s="220" t="str">
        <f>head27</f>
        <v>Ref</v>
      </c>
      <c r="C2" s="1934" t="str">
        <f>'A3-FinPerf V'!A5</f>
        <v>Vote 1 - COUNCIL</v>
      </c>
      <c r="D2" s="1934" t="str">
        <f>'A3-FinPerf V'!A6</f>
        <v>Vote 2 - OFFICE OF THE MUNICIPAL MANAGER</v>
      </c>
      <c r="E2" s="1934" t="str">
        <f>'A3-FinPerf V'!A7</f>
        <v>Vote 3 - FINANCIAL SERVICES</v>
      </c>
      <c r="F2" s="1934" t="str">
        <f>'A3-FinPerf V'!A8</f>
        <v>Vote 4 - CORPORATE SERVICES</v>
      </c>
      <c r="G2" s="1934" t="str">
        <f>'A3-FinPerf V'!A9</f>
        <v>Vote 5 - INFRASTRUCTURE SERVICES</v>
      </c>
      <c r="H2" s="1934" t="str">
        <f>'A3-FinPerf V'!A10</f>
        <v>Vote 6 - COMMUNITY SERVICES</v>
      </c>
      <c r="I2" s="1934" t="str">
        <f>'A3-FinPerf V'!A11</f>
        <v>Vote 7 - [NAME OF VOTE 7]</v>
      </c>
      <c r="J2" s="1934" t="str">
        <f>'A3-FinPerf V'!A12</f>
        <v>Vote 8 - [NAME OF VOTE 8]</v>
      </c>
      <c r="K2" s="1934" t="str">
        <f>'A3-FinPerf V'!A13</f>
        <v>Vote 9 - [NAME OF VOTE 9]</v>
      </c>
      <c r="L2" s="1934" t="str">
        <f>'A3-FinPerf V'!A14</f>
        <v>Vote 10 - [NAME OF VOTE 10]</v>
      </c>
      <c r="M2" s="1934" t="str">
        <f>'A3-FinPerf V'!A15</f>
        <v>Vote 11 - [NAME OF VOTE 11]</v>
      </c>
      <c r="N2" s="1934" t="str">
        <f>'A3-FinPerf V'!A16</f>
        <v>Vote 12 - [NAME OF VOTE 12]</v>
      </c>
      <c r="O2" s="1934" t="str">
        <f>'A3-FinPerf V'!A17</f>
        <v>Vote 13 - [NAME OF VOTE 13]</v>
      </c>
      <c r="P2" s="1934" t="str">
        <f>'A3-FinPerf V'!A18</f>
        <v>Vote 14 - [NAME OF VOTE 14]</v>
      </c>
      <c r="Q2" s="1934" t="str">
        <f>'A3-FinPerf V'!A19</f>
        <v>Vote 15 - [NAME OF VOTE 15]</v>
      </c>
      <c r="R2" s="1936" t="s">
        <v>670</v>
      </c>
      <c r="S2" s="887"/>
    </row>
    <row r="3" spans="1:19" x14ac:dyDescent="0.25">
      <c r="A3" s="53" t="s">
        <v>573</v>
      </c>
      <c r="B3" s="135">
        <v>1</v>
      </c>
      <c r="C3" s="1935" t="s">
        <v>894</v>
      </c>
      <c r="D3" s="1935" t="s">
        <v>894</v>
      </c>
      <c r="E3" s="1935" t="s">
        <v>894</v>
      </c>
      <c r="F3" s="1935" t="s">
        <v>894</v>
      </c>
      <c r="G3" s="1935" t="s">
        <v>894</v>
      </c>
      <c r="H3" s="1935" t="s">
        <v>894</v>
      </c>
      <c r="I3" s="1935"/>
      <c r="J3" s="1935"/>
      <c r="K3" s="1935"/>
      <c r="L3" s="1935"/>
      <c r="M3" s="1935"/>
      <c r="N3" s="1935"/>
      <c r="O3" s="1935"/>
      <c r="P3" s="1935"/>
      <c r="Q3" s="1935" t="s">
        <v>894</v>
      </c>
      <c r="R3" s="1937" t="s">
        <v>894</v>
      </c>
    </row>
    <row r="4" spans="1:19" ht="11.25" customHeight="1" x14ac:dyDescent="0.25">
      <c r="A4" s="54" t="str">
        <f>'A4-FinPerf RE'!A4</f>
        <v>Revenue By Source</v>
      </c>
      <c r="B4" s="55"/>
      <c r="C4" s="149"/>
      <c r="D4" s="149"/>
      <c r="E4" s="149"/>
      <c r="F4" s="149"/>
      <c r="G4" s="149"/>
      <c r="H4" s="149"/>
      <c r="I4" s="149"/>
      <c r="J4" s="149"/>
      <c r="K4" s="149"/>
      <c r="L4" s="149"/>
      <c r="M4" s="149"/>
      <c r="N4" s="149"/>
      <c r="O4" s="149"/>
      <c r="P4" s="149"/>
      <c r="Q4" s="149"/>
      <c r="R4" s="221"/>
    </row>
    <row r="5" spans="1:19" ht="11.25" customHeight="1" x14ac:dyDescent="0.25">
      <c r="A5" s="63" t="str">
        <f>'A4-FinPerf RE'!A5</f>
        <v>Property rates</v>
      </c>
      <c r="B5" s="55"/>
      <c r="C5" s="1316"/>
      <c r="D5" s="1316"/>
      <c r="E5" s="1316"/>
      <c r="F5" s="1316"/>
      <c r="G5" s="1316"/>
      <c r="H5" s="1316"/>
      <c r="I5" s="1316"/>
      <c r="J5" s="1316"/>
      <c r="K5" s="1316"/>
      <c r="L5" s="1316"/>
      <c r="M5" s="1316"/>
      <c r="N5" s="1316"/>
      <c r="O5" s="1316"/>
      <c r="P5" s="1316"/>
      <c r="Q5" s="1316"/>
      <c r="R5" s="222">
        <f>SUM(C5:Q5)</f>
        <v>0</v>
      </c>
    </row>
    <row r="6" spans="1:19" ht="11.25" customHeight="1" x14ac:dyDescent="0.25">
      <c r="A6" s="63" t="str">
        <f>'A4-FinPerf RE'!A6</f>
        <v>Service charges - electricity revenue</v>
      </c>
      <c r="B6" s="55"/>
      <c r="C6" s="1316"/>
      <c r="D6" s="1316"/>
      <c r="E6" s="1316"/>
      <c r="F6" s="1316"/>
      <c r="G6" s="1316"/>
      <c r="H6" s="1316"/>
      <c r="I6" s="1316"/>
      <c r="J6" s="1316"/>
      <c r="K6" s="1316"/>
      <c r="L6" s="1316"/>
      <c r="M6" s="1316"/>
      <c r="N6" s="1316"/>
      <c r="O6" s="1316"/>
      <c r="P6" s="1316"/>
      <c r="Q6" s="1316"/>
      <c r="R6" s="222">
        <f t="shared" ref="R6:R20" si="0">SUM(C6:Q6)</f>
        <v>0</v>
      </c>
    </row>
    <row r="7" spans="1:19" ht="11.25" customHeight="1" x14ac:dyDescent="0.25">
      <c r="A7" s="63" t="str">
        <f>'A4-FinPerf RE'!A7</f>
        <v>Service charges - water revenue</v>
      </c>
      <c r="B7" s="55"/>
      <c r="C7" s="1316"/>
      <c r="D7" s="1316"/>
      <c r="E7" s="1316"/>
      <c r="F7" s="1316"/>
      <c r="G7" s="1316"/>
      <c r="H7" s="1316"/>
      <c r="I7" s="1316"/>
      <c r="J7" s="1316"/>
      <c r="K7" s="1316"/>
      <c r="L7" s="1316"/>
      <c r="M7" s="1316"/>
      <c r="N7" s="1316"/>
      <c r="O7" s="1316"/>
      <c r="P7" s="1316"/>
      <c r="Q7" s="1316"/>
      <c r="R7" s="222">
        <f t="shared" si="0"/>
        <v>0</v>
      </c>
    </row>
    <row r="8" spans="1:19" ht="11.25" customHeight="1" x14ac:dyDescent="0.25">
      <c r="A8" s="63" t="str">
        <f>'A4-FinPerf RE'!A8</f>
        <v>Service charges - sanitation revenue</v>
      </c>
      <c r="B8" s="55"/>
      <c r="C8" s="1316"/>
      <c r="D8" s="1316"/>
      <c r="E8" s="1316"/>
      <c r="F8" s="1316"/>
      <c r="G8" s="1316"/>
      <c r="H8" s="1316"/>
      <c r="I8" s="1316"/>
      <c r="J8" s="1316"/>
      <c r="K8" s="1316"/>
      <c r="L8" s="1316"/>
      <c r="M8" s="1316"/>
      <c r="N8" s="1316"/>
      <c r="O8" s="1316"/>
      <c r="P8" s="1316"/>
      <c r="Q8" s="1316"/>
      <c r="R8" s="222">
        <f t="shared" si="0"/>
        <v>0</v>
      </c>
    </row>
    <row r="9" spans="1:19" ht="11.25" customHeight="1" x14ac:dyDescent="0.25">
      <c r="A9" s="63" t="str">
        <f>'A4-FinPerf RE'!A9</f>
        <v>Service charges - refuse revenue</v>
      </c>
      <c r="B9" s="55"/>
      <c r="C9" s="1316"/>
      <c r="D9" s="1316"/>
      <c r="E9" s="1316"/>
      <c r="F9" s="1316"/>
      <c r="G9" s="1316"/>
      <c r="H9" s="1316"/>
      <c r="I9" s="1316"/>
      <c r="J9" s="1316"/>
      <c r="K9" s="1316"/>
      <c r="L9" s="1316"/>
      <c r="M9" s="1316"/>
      <c r="N9" s="1316"/>
      <c r="O9" s="1316"/>
      <c r="P9" s="1316"/>
      <c r="Q9" s="1316"/>
      <c r="R9" s="222">
        <f t="shared" si="0"/>
        <v>0</v>
      </c>
    </row>
    <row r="10" spans="1:19" ht="1.9" customHeight="1" x14ac:dyDescent="0.25">
      <c r="A10" s="63"/>
      <c r="B10" s="55"/>
      <c r="C10" s="76"/>
      <c r="D10" s="76"/>
      <c r="E10" s="76"/>
      <c r="F10" s="76"/>
      <c r="G10" s="76"/>
      <c r="H10" s="76"/>
      <c r="I10" s="76"/>
      <c r="J10" s="76"/>
      <c r="K10" s="76"/>
      <c r="L10" s="76"/>
      <c r="M10" s="76"/>
      <c r="N10" s="76"/>
      <c r="O10" s="76"/>
      <c r="P10" s="76"/>
      <c r="Q10" s="76"/>
      <c r="R10" s="222"/>
    </row>
    <row r="11" spans="1:19" ht="11.25" customHeight="1" x14ac:dyDescent="0.25">
      <c r="A11" s="63" t="str">
        <f>'A4-FinPerf RE'!A11</f>
        <v>Rental of facilities and equipment</v>
      </c>
      <c r="B11" s="55"/>
      <c r="C11" s="1316"/>
      <c r="D11" s="1316"/>
      <c r="E11" s="1316"/>
      <c r="F11" s="1316"/>
      <c r="G11" s="1316"/>
      <c r="H11" s="1316"/>
      <c r="I11" s="1316"/>
      <c r="J11" s="1316"/>
      <c r="K11" s="1316"/>
      <c r="L11" s="1316"/>
      <c r="M11" s="1316"/>
      <c r="N11" s="1316"/>
      <c r="O11" s="1316"/>
      <c r="P11" s="1316"/>
      <c r="Q11" s="1316"/>
      <c r="R11" s="222">
        <f t="shared" si="0"/>
        <v>0</v>
      </c>
    </row>
    <row r="12" spans="1:19" ht="11.25" customHeight="1" x14ac:dyDescent="0.25">
      <c r="A12" s="63" t="str">
        <f>'A4-FinPerf RE'!A12</f>
        <v>Interest earned - external investments</v>
      </c>
      <c r="B12" s="55"/>
      <c r="C12" s="1316"/>
      <c r="D12" s="1316"/>
      <c r="E12" s="1316"/>
      <c r="F12" s="1316"/>
      <c r="G12" s="1316"/>
      <c r="H12" s="1316"/>
      <c r="I12" s="1316"/>
      <c r="J12" s="1316"/>
      <c r="K12" s="1316"/>
      <c r="L12" s="1316"/>
      <c r="M12" s="1316"/>
      <c r="N12" s="1316"/>
      <c r="O12" s="1316"/>
      <c r="P12" s="1316"/>
      <c r="Q12" s="1316"/>
      <c r="R12" s="222">
        <f t="shared" si="0"/>
        <v>0</v>
      </c>
    </row>
    <row r="13" spans="1:19" ht="11.25" customHeight="1" x14ac:dyDescent="0.25">
      <c r="A13" s="63" t="str">
        <f>'A4-FinPerf RE'!A13</f>
        <v>Interest earned - outstanding debtors</v>
      </c>
      <c r="B13" s="55"/>
      <c r="C13" s="1316"/>
      <c r="D13" s="1316"/>
      <c r="E13" s="1316"/>
      <c r="F13" s="1316"/>
      <c r="G13" s="1316"/>
      <c r="H13" s="1316"/>
      <c r="I13" s="1316"/>
      <c r="J13" s="1316"/>
      <c r="K13" s="1316"/>
      <c r="L13" s="1316"/>
      <c r="M13" s="1316"/>
      <c r="N13" s="1316"/>
      <c r="O13" s="1316"/>
      <c r="P13" s="1316"/>
      <c r="Q13" s="1316"/>
      <c r="R13" s="222">
        <f t="shared" si="0"/>
        <v>0</v>
      </c>
    </row>
    <row r="14" spans="1:19" ht="11.25" customHeight="1" x14ac:dyDescent="0.25">
      <c r="A14" s="63" t="str">
        <f>'A4-FinPerf RE'!A14</f>
        <v>Dividends received</v>
      </c>
      <c r="B14" s="55"/>
      <c r="C14" s="1316"/>
      <c r="D14" s="1316"/>
      <c r="E14" s="1316"/>
      <c r="F14" s="1316"/>
      <c r="G14" s="1316"/>
      <c r="H14" s="1316"/>
      <c r="I14" s="1316"/>
      <c r="J14" s="1316"/>
      <c r="K14" s="1316"/>
      <c r="L14" s="1316"/>
      <c r="M14" s="1316"/>
      <c r="N14" s="1316"/>
      <c r="O14" s="1316"/>
      <c r="P14" s="1316"/>
      <c r="Q14" s="1316"/>
      <c r="R14" s="222">
        <f t="shared" si="0"/>
        <v>0</v>
      </c>
    </row>
    <row r="15" spans="1:19" ht="11.25" customHeight="1" x14ac:dyDescent="0.25">
      <c r="A15" s="63" t="str">
        <f>'A4-FinPerf RE'!A15</f>
        <v>Fines, penalties and forfeits</v>
      </c>
      <c r="B15" s="55"/>
      <c r="C15" s="1316"/>
      <c r="D15" s="1316"/>
      <c r="E15" s="1316"/>
      <c r="F15" s="1316"/>
      <c r="G15" s="1316"/>
      <c r="H15" s="1316"/>
      <c r="I15" s="1316"/>
      <c r="J15" s="1316"/>
      <c r="K15" s="1316"/>
      <c r="L15" s="1316"/>
      <c r="M15" s="1316"/>
      <c r="N15" s="1316"/>
      <c r="O15" s="1316"/>
      <c r="P15" s="1316"/>
      <c r="Q15" s="1316"/>
      <c r="R15" s="222">
        <f t="shared" si="0"/>
        <v>0</v>
      </c>
    </row>
    <row r="16" spans="1:19" ht="11.25" customHeight="1" x14ac:dyDescent="0.25">
      <c r="A16" s="63" t="str">
        <f>'A4-FinPerf RE'!A16</f>
        <v>Licences and permits</v>
      </c>
      <c r="B16" s="55"/>
      <c r="C16" s="1316"/>
      <c r="D16" s="1316"/>
      <c r="E16" s="1316"/>
      <c r="F16" s="1316"/>
      <c r="G16" s="1316"/>
      <c r="H16" s="1316"/>
      <c r="I16" s="1316"/>
      <c r="J16" s="1316"/>
      <c r="K16" s="1316"/>
      <c r="L16" s="1316"/>
      <c r="M16" s="1316"/>
      <c r="N16" s="1316"/>
      <c r="O16" s="1316"/>
      <c r="P16" s="1316"/>
      <c r="Q16" s="1316"/>
      <c r="R16" s="222">
        <f t="shared" si="0"/>
        <v>0</v>
      </c>
    </row>
    <row r="17" spans="1:18" ht="11.25" customHeight="1" x14ac:dyDescent="0.25">
      <c r="A17" s="63" t="str">
        <f>'A4-FinPerf RE'!A17</f>
        <v>Agency services</v>
      </c>
      <c r="B17" s="55"/>
      <c r="C17" s="1316"/>
      <c r="D17" s="1316"/>
      <c r="E17" s="1316"/>
      <c r="F17" s="1316"/>
      <c r="G17" s="1316"/>
      <c r="H17" s="1316"/>
      <c r="I17" s="1316"/>
      <c r="J17" s="1316"/>
      <c r="K17" s="1316"/>
      <c r="L17" s="1316"/>
      <c r="M17" s="1316"/>
      <c r="N17" s="1316"/>
      <c r="O17" s="1316"/>
      <c r="P17" s="1316"/>
      <c r="Q17" s="1316"/>
      <c r="R17" s="222">
        <f t="shared" si="0"/>
        <v>0</v>
      </c>
    </row>
    <row r="18" spans="1:18" ht="11.25" customHeight="1" x14ac:dyDescent="0.25">
      <c r="A18" s="63" t="str">
        <f>'A4-FinPerf RE'!A19</f>
        <v>Other revenue</v>
      </c>
      <c r="B18" s="55"/>
      <c r="C18" s="1316"/>
      <c r="D18" s="1316"/>
      <c r="E18" s="1316"/>
      <c r="F18" s="1316"/>
      <c r="G18" s="1316"/>
      <c r="H18" s="1316"/>
      <c r="I18" s="1316"/>
      <c r="J18" s="1316"/>
      <c r="K18" s="1316"/>
      <c r="L18" s="1316"/>
      <c r="M18" s="1316"/>
      <c r="N18" s="1316"/>
      <c r="O18" s="1316"/>
      <c r="P18" s="1316"/>
      <c r="Q18" s="1316"/>
      <c r="R18" s="222">
        <f t="shared" si="0"/>
        <v>0</v>
      </c>
    </row>
    <row r="19" spans="1:18" ht="11.25" customHeight="1" x14ac:dyDescent="0.25">
      <c r="A19" s="63" t="str">
        <f>'A4-FinPerf RE'!A18</f>
        <v>Transfers and subsidies</v>
      </c>
      <c r="B19" s="55"/>
      <c r="C19" s="1316"/>
      <c r="D19" s="1316"/>
      <c r="E19" s="1316"/>
      <c r="F19" s="1316"/>
      <c r="G19" s="1316"/>
      <c r="H19" s="1316"/>
      <c r="I19" s="1316"/>
      <c r="J19" s="1316"/>
      <c r="K19" s="1316"/>
      <c r="L19" s="1316"/>
      <c r="M19" s="1316"/>
      <c r="N19" s="1316"/>
      <c r="O19" s="1316"/>
      <c r="P19" s="1316"/>
      <c r="Q19" s="1316"/>
      <c r="R19" s="222">
        <f t="shared" si="0"/>
        <v>0</v>
      </c>
    </row>
    <row r="20" spans="1:18" ht="11.25" customHeight="1" x14ac:dyDescent="0.25">
      <c r="A20" s="63" t="str">
        <f>'A4-FinPerf RE'!A20</f>
        <v>Gains on disposal of PPE</v>
      </c>
      <c r="B20" s="55"/>
      <c r="C20" s="1316"/>
      <c r="D20" s="1316"/>
      <c r="E20" s="1316"/>
      <c r="F20" s="1316"/>
      <c r="G20" s="1316"/>
      <c r="H20" s="1316"/>
      <c r="I20" s="1316"/>
      <c r="J20" s="1316"/>
      <c r="K20" s="1316"/>
      <c r="L20" s="1316"/>
      <c r="M20" s="1316"/>
      <c r="N20" s="1316"/>
      <c r="O20" s="1316"/>
      <c r="P20" s="1316"/>
      <c r="Q20" s="1316"/>
      <c r="R20" s="222">
        <f t="shared" si="0"/>
        <v>0</v>
      </c>
    </row>
    <row r="21" spans="1:18" ht="11.25" customHeight="1" x14ac:dyDescent="0.25">
      <c r="A21" s="118" t="str">
        <f>'A4-FinPerf RE'!A21</f>
        <v>Total Revenue (excluding capital transfers and contributions)</v>
      </c>
      <c r="B21" s="55"/>
      <c r="C21" s="81">
        <f>SUM(C5:C9)+SUM(C11:C20)</f>
        <v>0</v>
      </c>
      <c r="D21" s="81">
        <f t="shared" ref="D21:Q21" si="1">SUM(D5:D9)+SUM(D11:D20)</f>
        <v>0</v>
      </c>
      <c r="E21" s="81">
        <f t="shared" si="1"/>
        <v>0</v>
      </c>
      <c r="F21" s="81">
        <f t="shared" si="1"/>
        <v>0</v>
      </c>
      <c r="G21" s="81">
        <f t="shared" si="1"/>
        <v>0</v>
      </c>
      <c r="H21" s="81">
        <f t="shared" si="1"/>
        <v>0</v>
      </c>
      <c r="I21" s="81">
        <f t="shared" si="1"/>
        <v>0</v>
      </c>
      <c r="J21" s="81">
        <f t="shared" si="1"/>
        <v>0</v>
      </c>
      <c r="K21" s="81">
        <f t="shared" si="1"/>
        <v>0</v>
      </c>
      <c r="L21" s="81">
        <f t="shared" si="1"/>
        <v>0</v>
      </c>
      <c r="M21" s="81">
        <f t="shared" si="1"/>
        <v>0</v>
      </c>
      <c r="N21" s="81">
        <f t="shared" si="1"/>
        <v>0</v>
      </c>
      <c r="O21" s="81">
        <f t="shared" si="1"/>
        <v>0</v>
      </c>
      <c r="P21" s="81">
        <f t="shared" si="1"/>
        <v>0</v>
      </c>
      <c r="Q21" s="81">
        <f t="shared" si="1"/>
        <v>0</v>
      </c>
      <c r="R21" s="223">
        <f>SUM(R5:R9)+SUM(R11:R20)</f>
        <v>0</v>
      </c>
    </row>
    <row r="22" spans="1:18" ht="4.9000000000000004" customHeight="1" x14ac:dyDescent="0.25">
      <c r="A22" s="74"/>
      <c r="B22" s="55"/>
      <c r="C22" s="76"/>
      <c r="D22" s="76"/>
      <c r="E22" s="76"/>
      <c r="F22" s="76"/>
      <c r="G22" s="76"/>
      <c r="H22" s="76"/>
      <c r="I22" s="76"/>
      <c r="J22" s="76"/>
      <c r="K22" s="76"/>
      <c r="L22" s="76"/>
      <c r="M22" s="76"/>
      <c r="N22" s="76"/>
      <c r="O22" s="76"/>
      <c r="P22" s="76"/>
      <c r="Q22" s="76"/>
      <c r="R22" s="222"/>
    </row>
    <row r="23" spans="1:18" ht="11.25" customHeight="1" x14ac:dyDescent="0.25">
      <c r="A23" s="54" t="str">
        <f>'A4-FinPerf RE'!A23</f>
        <v>Expenditure By Type</v>
      </c>
      <c r="B23" s="138"/>
      <c r="C23" s="76"/>
      <c r="D23" s="76"/>
      <c r="E23" s="76"/>
      <c r="F23" s="76"/>
      <c r="G23" s="76"/>
      <c r="H23" s="76"/>
      <c r="I23" s="76"/>
      <c r="J23" s="76"/>
      <c r="K23" s="76"/>
      <c r="L23" s="76"/>
      <c r="M23" s="76"/>
      <c r="N23" s="76"/>
      <c r="O23" s="76"/>
      <c r="P23" s="76"/>
      <c r="Q23" s="76"/>
      <c r="R23" s="222"/>
    </row>
    <row r="24" spans="1:18" ht="11.25" customHeight="1" x14ac:dyDescent="0.25">
      <c r="A24" s="63" t="str">
        <f>'A4-FinPerf RE'!A24</f>
        <v>Employee related costs</v>
      </c>
      <c r="B24" s="55"/>
      <c r="C24" s="1316"/>
      <c r="D24" s="1316"/>
      <c r="E24" s="1316"/>
      <c r="F24" s="1316"/>
      <c r="G24" s="1316"/>
      <c r="H24" s="1316"/>
      <c r="I24" s="1316"/>
      <c r="J24" s="1316"/>
      <c r="K24" s="1316"/>
      <c r="L24" s="1316"/>
      <c r="M24" s="1316"/>
      <c r="N24" s="1316"/>
      <c r="O24" s="1316"/>
      <c r="P24" s="1316"/>
      <c r="Q24" s="1316"/>
      <c r="R24" s="222">
        <f>SUM(C24:Q24)</f>
        <v>0</v>
      </c>
    </row>
    <row r="25" spans="1:18" ht="11.25" customHeight="1" x14ac:dyDescent="0.25">
      <c r="A25" s="63" t="str">
        <f>'A4-FinPerf RE'!A25</f>
        <v>Remuneration of councillors</v>
      </c>
      <c r="B25" s="55"/>
      <c r="C25" s="1316"/>
      <c r="D25" s="1316"/>
      <c r="E25" s="1316"/>
      <c r="F25" s="1316"/>
      <c r="G25" s="1316"/>
      <c r="H25" s="1316"/>
      <c r="I25" s="1316"/>
      <c r="J25" s="1316"/>
      <c r="K25" s="1316"/>
      <c r="L25" s="1316"/>
      <c r="M25" s="1316"/>
      <c r="N25" s="1316"/>
      <c r="O25" s="1316"/>
      <c r="P25" s="1316"/>
      <c r="Q25" s="1316"/>
      <c r="R25" s="222">
        <f t="shared" ref="R25:R34" si="2">SUM(C25:Q25)</f>
        <v>0</v>
      </c>
    </row>
    <row r="26" spans="1:18" ht="11.25" customHeight="1" x14ac:dyDescent="0.25">
      <c r="A26" s="63" t="str">
        <f>'A4-FinPerf RE'!A26</f>
        <v>Debt impairment</v>
      </c>
      <c r="B26" s="55"/>
      <c r="C26" s="1316"/>
      <c r="D26" s="1316"/>
      <c r="E26" s="1316"/>
      <c r="F26" s="1316"/>
      <c r="G26" s="1316"/>
      <c r="H26" s="1316"/>
      <c r="I26" s="1316"/>
      <c r="J26" s="1316"/>
      <c r="K26" s="1316"/>
      <c r="L26" s="1316"/>
      <c r="M26" s="1316"/>
      <c r="N26" s="1316"/>
      <c r="O26" s="1316"/>
      <c r="P26" s="1316"/>
      <c r="Q26" s="1316"/>
      <c r="R26" s="222">
        <f t="shared" si="2"/>
        <v>0</v>
      </c>
    </row>
    <row r="27" spans="1:18" ht="11.25" customHeight="1" x14ac:dyDescent="0.25">
      <c r="A27" s="63" t="str">
        <f>'A4-FinPerf RE'!A27</f>
        <v>Depreciation &amp; asset impairment</v>
      </c>
      <c r="B27" s="55"/>
      <c r="C27" s="1316"/>
      <c r="D27" s="1316"/>
      <c r="E27" s="1316"/>
      <c r="F27" s="1316"/>
      <c r="G27" s="1316"/>
      <c r="H27" s="1316"/>
      <c r="I27" s="1316"/>
      <c r="J27" s="1316"/>
      <c r="K27" s="1316"/>
      <c r="L27" s="1316"/>
      <c r="M27" s="1316"/>
      <c r="N27" s="1316"/>
      <c r="O27" s="1316"/>
      <c r="P27" s="1316"/>
      <c r="Q27" s="1316"/>
      <c r="R27" s="222">
        <f t="shared" si="2"/>
        <v>0</v>
      </c>
    </row>
    <row r="28" spans="1:18" ht="11.25" customHeight="1" x14ac:dyDescent="0.25">
      <c r="A28" s="63" t="str">
        <f>'A4-FinPerf RE'!A28</f>
        <v>Finance charges</v>
      </c>
      <c r="B28" s="55"/>
      <c r="C28" s="1316"/>
      <c r="D28" s="1316"/>
      <c r="E28" s="1316"/>
      <c r="F28" s="1316"/>
      <c r="G28" s="1316"/>
      <c r="H28" s="1316"/>
      <c r="I28" s="1316"/>
      <c r="J28" s="1316"/>
      <c r="K28" s="1316"/>
      <c r="L28" s="1316"/>
      <c r="M28" s="1316"/>
      <c r="N28" s="1316"/>
      <c r="O28" s="1316"/>
      <c r="P28" s="1316"/>
      <c r="Q28" s="1316"/>
      <c r="R28" s="222">
        <f t="shared" si="2"/>
        <v>0</v>
      </c>
    </row>
    <row r="29" spans="1:18" ht="11.25" customHeight="1" x14ac:dyDescent="0.25">
      <c r="A29" s="63" t="str">
        <f>'A4-FinPerf RE'!A29</f>
        <v>Bulk purchases</v>
      </c>
      <c r="B29" s="55"/>
      <c r="C29" s="1316"/>
      <c r="D29" s="1316"/>
      <c r="E29" s="1316"/>
      <c r="F29" s="1316"/>
      <c r="G29" s="1316"/>
      <c r="H29" s="1316"/>
      <c r="I29" s="1316"/>
      <c r="J29" s="1316"/>
      <c r="K29" s="1316"/>
      <c r="L29" s="1316"/>
      <c r="M29" s="1316"/>
      <c r="N29" s="1316"/>
      <c r="O29" s="1316"/>
      <c r="P29" s="1316"/>
      <c r="Q29" s="1316"/>
      <c r="R29" s="222">
        <f t="shared" si="2"/>
        <v>0</v>
      </c>
    </row>
    <row r="30" spans="1:18" ht="11.25" customHeight="1" x14ac:dyDescent="0.25">
      <c r="A30" s="63" t="str">
        <f>'A4-FinPerf RE'!A30</f>
        <v>Other materials</v>
      </c>
      <c r="B30" s="55"/>
      <c r="C30" s="1316"/>
      <c r="D30" s="1316"/>
      <c r="E30" s="1316"/>
      <c r="F30" s="1316"/>
      <c r="G30" s="1316"/>
      <c r="H30" s="1316"/>
      <c r="I30" s="1316"/>
      <c r="J30" s="1316"/>
      <c r="K30" s="1316"/>
      <c r="L30" s="1316"/>
      <c r="M30" s="1316"/>
      <c r="N30" s="1316"/>
      <c r="O30" s="1316"/>
      <c r="P30" s="1316"/>
      <c r="Q30" s="1316"/>
      <c r="R30" s="222">
        <f t="shared" si="2"/>
        <v>0</v>
      </c>
    </row>
    <row r="31" spans="1:18" ht="11.25" customHeight="1" x14ac:dyDescent="0.25">
      <c r="A31" s="63" t="str">
        <f>'A4-FinPerf RE'!A31</f>
        <v>Contracted services</v>
      </c>
      <c r="B31" s="55"/>
      <c r="C31" s="1316"/>
      <c r="D31" s="1316"/>
      <c r="E31" s="1316"/>
      <c r="F31" s="1316"/>
      <c r="G31" s="1316"/>
      <c r="H31" s="1316"/>
      <c r="I31" s="1316"/>
      <c r="J31" s="1316"/>
      <c r="K31" s="1316"/>
      <c r="L31" s="1316"/>
      <c r="M31" s="1316"/>
      <c r="N31" s="1316"/>
      <c r="O31" s="1316"/>
      <c r="P31" s="1316"/>
      <c r="Q31" s="1316"/>
      <c r="R31" s="222">
        <f t="shared" si="2"/>
        <v>0</v>
      </c>
    </row>
    <row r="32" spans="1:18" ht="11.25" customHeight="1" x14ac:dyDescent="0.25">
      <c r="A32" s="63" t="str">
        <f>'A4-FinPerf RE'!A32</f>
        <v>Transfers and subsidies</v>
      </c>
      <c r="B32" s="55"/>
      <c r="C32" s="1316"/>
      <c r="D32" s="1316"/>
      <c r="E32" s="1316"/>
      <c r="F32" s="1316"/>
      <c r="G32" s="1316"/>
      <c r="H32" s="1316"/>
      <c r="I32" s="1316"/>
      <c r="J32" s="1316"/>
      <c r="K32" s="1316"/>
      <c r="L32" s="1316"/>
      <c r="M32" s="1316"/>
      <c r="N32" s="1316"/>
      <c r="O32" s="1316"/>
      <c r="P32" s="1316"/>
      <c r="Q32" s="1316"/>
      <c r="R32" s="222">
        <f t="shared" si="2"/>
        <v>0</v>
      </c>
    </row>
    <row r="33" spans="1:21" ht="11.25" customHeight="1" x14ac:dyDescent="0.25">
      <c r="A33" s="63" t="str">
        <f>'A4-FinPerf RE'!A33</f>
        <v>Other expenditure</v>
      </c>
      <c r="B33" s="55"/>
      <c r="C33" s="1316"/>
      <c r="D33" s="1316"/>
      <c r="E33" s="1316"/>
      <c r="F33" s="1316"/>
      <c r="G33" s="1316"/>
      <c r="H33" s="1316"/>
      <c r="I33" s="1316"/>
      <c r="J33" s="1316"/>
      <c r="K33" s="1316"/>
      <c r="L33" s="1316"/>
      <c r="M33" s="1316"/>
      <c r="N33" s="1316"/>
      <c r="O33" s="1316"/>
      <c r="P33" s="1316"/>
      <c r="Q33" s="1316"/>
      <c r="R33" s="222">
        <f t="shared" si="2"/>
        <v>0</v>
      </c>
    </row>
    <row r="34" spans="1:21" ht="11.25" customHeight="1" x14ac:dyDescent="0.25">
      <c r="A34" s="63" t="str">
        <f>'A4-FinPerf RE'!A34</f>
        <v>Loss on disposal of PPE</v>
      </c>
      <c r="B34" s="55"/>
      <c r="C34" s="1316"/>
      <c r="D34" s="1316"/>
      <c r="E34" s="1316"/>
      <c r="F34" s="1316"/>
      <c r="G34" s="1316"/>
      <c r="H34" s="1316"/>
      <c r="I34" s="1316"/>
      <c r="J34" s="1316"/>
      <c r="K34" s="1316"/>
      <c r="L34" s="1316"/>
      <c r="M34" s="1316"/>
      <c r="N34" s="1316"/>
      <c r="O34" s="1316"/>
      <c r="P34" s="1316"/>
      <c r="Q34" s="1316"/>
      <c r="R34" s="222">
        <f t="shared" si="2"/>
        <v>0</v>
      </c>
    </row>
    <row r="35" spans="1:21" ht="11.25" customHeight="1" x14ac:dyDescent="0.25">
      <c r="A35" s="118" t="s">
        <v>1465</v>
      </c>
      <c r="B35" s="55"/>
      <c r="C35" s="81">
        <f t="shared" ref="C35:R35" si="3">SUM(C24:C34)</f>
        <v>0</v>
      </c>
      <c r="D35" s="81">
        <f t="shared" si="3"/>
        <v>0</v>
      </c>
      <c r="E35" s="81">
        <f t="shared" si="3"/>
        <v>0</v>
      </c>
      <c r="F35" s="81">
        <f t="shared" si="3"/>
        <v>0</v>
      </c>
      <c r="G35" s="81">
        <f t="shared" si="3"/>
        <v>0</v>
      </c>
      <c r="H35" s="81">
        <f t="shared" si="3"/>
        <v>0</v>
      </c>
      <c r="I35" s="81">
        <f t="shared" si="3"/>
        <v>0</v>
      </c>
      <c r="J35" s="81">
        <f t="shared" si="3"/>
        <v>0</v>
      </c>
      <c r="K35" s="81">
        <f t="shared" si="3"/>
        <v>0</v>
      </c>
      <c r="L35" s="81">
        <f t="shared" si="3"/>
        <v>0</v>
      </c>
      <c r="M35" s="81">
        <f t="shared" si="3"/>
        <v>0</v>
      </c>
      <c r="N35" s="81">
        <f t="shared" si="3"/>
        <v>0</v>
      </c>
      <c r="O35" s="81">
        <f t="shared" si="3"/>
        <v>0</v>
      </c>
      <c r="P35" s="81">
        <f t="shared" si="3"/>
        <v>0</v>
      </c>
      <c r="Q35" s="81">
        <f t="shared" si="3"/>
        <v>0</v>
      </c>
      <c r="R35" s="223">
        <f t="shared" si="3"/>
        <v>0</v>
      </c>
    </row>
    <row r="36" spans="1:21" ht="4.9000000000000004" customHeight="1" x14ac:dyDescent="0.25">
      <c r="A36" s="74"/>
      <c r="B36" s="55"/>
      <c r="C36" s="86"/>
      <c r="D36" s="86"/>
      <c r="E36" s="86"/>
      <c r="F36" s="86"/>
      <c r="G36" s="86"/>
      <c r="H36" s="86"/>
      <c r="I36" s="86"/>
      <c r="J36" s="86"/>
      <c r="K36" s="86"/>
      <c r="L36" s="86"/>
      <c r="M36" s="86"/>
      <c r="N36" s="86"/>
      <c r="O36" s="86"/>
      <c r="P36" s="86"/>
      <c r="Q36" s="86"/>
      <c r="R36" s="222"/>
    </row>
    <row r="37" spans="1:21" ht="11.25" customHeight="1" x14ac:dyDescent="0.25">
      <c r="A37" s="118" t="str">
        <f>'A4-FinPerf RE'!A37</f>
        <v>Surplus/(Deficit)</v>
      </c>
      <c r="B37" s="55"/>
      <c r="C37" s="81">
        <f t="shared" ref="C37:H37" si="4">C21-C35</f>
        <v>0</v>
      </c>
      <c r="D37" s="81">
        <f t="shared" si="4"/>
        <v>0</v>
      </c>
      <c r="E37" s="81">
        <f t="shared" si="4"/>
        <v>0</v>
      </c>
      <c r="F37" s="81">
        <f t="shared" si="4"/>
        <v>0</v>
      </c>
      <c r="G37" s="81">
        <f t="shared" si="4"/>
        <v>0</v>
      </c>
      <c r="H37" s="81">
        <f t="shared" si="4"/>
        <v>0</v>
      </c>
      <c r="I37" s="81">
        <f t="shared" ref="I37:Q37" si="5">I21-I35</f>
        <v>0</v>
      </c>
      <c r="J37" s="81">
        <f t="shared" si="5"/>
        <v>0</v>
      </c>
      <c r="K37" s="81">
        <f t="shared" si="5"/>
        <v>0</v>
      </c>
      <c r="L37" s="81">
        <f t="shared" si="5"/>
        <v>0</v>
      </c>
      <c r="M37" s="81">
        <f t="shared" si="5"/>
        <v>0</v>
      </c>
      <c r="N37" s="81">
        <f t="shared" si="5"/>
        <v>0</v>
      </c>
      <c r="O37" s="81">
        <f t="shared" si="5"/>
        <v>0</v>
      </c>
      <c r="P37" s="81">
        <f t="shared" si="5"/>
        <v>0</v>
      </c>
      <c r="Q37" s="81">
        <f t="shared" si="5"/>
        <v>0</v>
      </c>
      <c r="R37" s="223">
        <f>R21-R35</f>
        <v>0</v>
      </c>
    </row>
    <row r="38" spans="1:21" s="888" customFormat="1" ht="21" customHeight="1" x14ac:dyDescent="0.25">
      <c r="A38" s="1831" t="str">
        <f>'A4-FinPerf RE'!A38</f>
        <v>Transfers and subsidies - capital (monetary allocations) (National / Provincial and District)</v>
      </c>
      <c r="B38" s="1832"/>
      <c r="C38" s="1316"/>
      <c r="D38" s="1833"/>
      <c r="E38" s="1833"/>
      <c r="F38" s="1833"/>
      <c r="G38" s="1833"/>
      <c r="H38" s="1833"/>
      <c r="I38" s="1833"/>
      <c r="J38" s="1833"/>
      <c r="K38" s="1833"/>
      <c r="L38" s="1833"/>
      <c r="M38" s="1833"/>
      <c r="N38" s="1833"/>
      <c r="O38" s="1833"/>
      <c r="P38" s="1833"/>
      <c r="Q38" s="1833"/>
      <c r="R38" s="1834">
        <f>SUM(C38:Q38)</f>
        <v>0</v>
      </c>
    </row>
    <row r="39" spans="1:21" s="888" customFormat="1" ht="63.75" x14ac:dyDescent="0.25">
      <c r="A39" s="1831" t="str">
        <f>'A4-FinPerf RE'!A39</f>
        <v>Transfers and subsidies - capital (monetary allocations) (National / Provincial Departmental Agencies, Households, Non-profit Institutions, Private Enterprises, Public Corporatons, Higher Educational Institutions)</v>
      </c>
      <c r="B39" s="1832"/>
      <c r="C39" s="1316"/>
      <c r="D39" s="1835"/>
      <c r="E39" s="1835"/>
      <c r="F39" s="1835"/>
      <c r="G39" s="1835"/>
      <c r="H39" s="1835"/>
      <c r="I39" s="1835"/>
      <c r="J39" s="1835"/>
      <c r="K39" s="1835"/>
      <c r="L39" s="1835"/>
      <c r="M39" s="1835"/>
      <c r="N39" s="1835"/>
      <c r="O39" s="1835"/>
      <c r="P39" s="1835"/>
      <c r="Q39" s="1835"/>
      <c r="R39" s="1834">
        <f>SUM(C39:Q39)</f>
        <v>0</v>
      </c>
    </row>
    <row r="40" spans="1:21" s="888" customFormat="1" ht="11.25" customHeight="1" x14ac:dyDescent="0.25">
      <c r="A40" s="1831" t="str">
        <f>'A4-FinPerf RE'!A40</f>
        <v xml:space="preserve">Transfers and subsidies - capital (in-kind - all) </v>
      </c>
      <c r="B40" s="1832"/>
      <c r="C40" s="1316"/>
      <c r="D40" s="1833"/>
      <c r="E40" s="1833"/>
      <c r="F40" s="1833"/>
      <c r="G40" s="1833"/>
      <c r="H40" s="1833"/>
      <c r="I40" s="1833"/>
      <c r="J40" s="1833"/>
      <c r="K40" s="1833"/>
      <c r="L40" s="1833"/>
      <c r="M40" s="1833"/>
      <c r="N40" s="1833"/>
      <c r="O40" s="1833"/>
      <c r="P40" s="1833"/>
      <c r="Q40" s="1833"/>
      <c r="R40" s="1834">
        <f>SUM(C40:Q40)</f>
        <v>0</v>
      </c>
    </row>
    <row r="41" spans="1:21" ht="25.5" x14ac:dyDescent="0.25">
      <c r="A41" s="224" t="str">
        <f>'A4-FinPerf RE'!A41</f>
        <v>Surplus/(Deficit) after capital transfers &amp; contributions</v>
      </c>
      <c r="B41" s="93"/>
      <c r="C41" s="736">
        <f t="shared" ref="C41:P41" si="6">SUM(C37:C40)</f>
        <v>0</v>
      </c>
      <c r="D41" s="736">
        <f t="shared" si="6"/>
        <v>0</v>
      </c>
      <c r="E41" s="736">
        <f t="shared" si="6"/>
        <v>0</v>
      </c>
      <c r="F41" s="736">
        <f t="shared" si="6"/>
        <v>0</v>
      </c>
      <c r="G41" s="736">
        <f t="shared" si="6"/>
        <v>0</v>
      </c>
      <c r="H41" s="736">
        <f t="shared" si="6"/>
        <v>0</v>
      </c>
      <c r="I41" s="736">
        <f t="shared" si="6"/>
        <v>0</v>
      </c>
      <c r="J41" s="736">
        <f t="shared" si="6"/>
        <v>0</v>
      </c>
      <c r="K41" s="736">
        <f t="shared" si="6"/>
        <v>0</v>
      </c>
      <c r="L41" s="736">
        <f t="shared" si="6"/>
        <v>0</v>
      </c>
      <c r="M41" s="736">
        <f t="shared" si="6"/>
        <v>0</v>
      </c>
      <c r="N41" s="736">
        <f t="shared" si="6"/>
        <v>0</v>
      </c>
      <c r="O41" s="736">
        <f t="shared" si="6"/>
        <v>0</v>
      </c>
      <c r="P41" s="736">
        <f t="shared" si="6"/>
        <v>0</v>
      </c>
      <c r="Q41" s="736">
        <f>SUM(Q37:Q40)</f>
        <v>0</v>
      </c>
      <c r="R41" s="737">
        <f>SUM(R37:R40)</f>
        <v>0</v>
      </c>
    </row>
    <row r="42" spans="1:21" s="464" customFormat="1" x14ac:dyDescent="0.25">
      <c r="A42" s="101" t="str">
        <f>head27a</f>
        <v>References</v>
      </c>
      <c r="B42" s="645"/>
      <c r="C42" s="647"/>
      <c r="D42" s="647"/>
      <c r="E42" s="647"/>
      <c r="F42" s="647"/>
      <c r="G42" s="647"/>
      <c r="H42" s="647"/>
      <c r="I42" s="647"/>
      <c r="J42" s="647"/>
      <c r="K42" s="647"/>
      <c r="L42" s="647"/>
      <c r="M42" s="647"/>
      <c r="N42" s="647"/>
      <c r="O42" s="647"/>
      <c r="P42" s="647"/>
      <c r="Q42" s="647"/>
      <c r="R42" s="647"/>
    </row>
    <row r="43" spans="1:21" s="464" customFormat="1" ht="11.25" customHeight="1" x14ac:dyDescent="0.25">
      <c r="A43" s="105" t="s">
        <v>1492</v>
      </c>
      <c r="B43" s="645"/>
      <c r="C43" s="647"/>
      <c r="D43" s="648"/>
      <c r="E43" s="647"/>
      <c r="F43" s="647"/>
      <c r="G43" s="647"/>
      <c r="H43" s="647"/>
      <c r="I43" s="647"/>
      <c r="J43" s="647"/>
      <c r="K43" s="647"/>
      <c r="L43" s="647"/>
      <c r="M43" s="647"/>
      <c r="N43" s="647"/>
      <c r="O43" s="647"/>
      <c r="P43" s="647"/>
      <c r="Q43" s="647"/>
      <c r="R43" s="647"/>
    </row>
    <row r="44" spans="1:21" ht="11.25" customHeight="1" x14ac:dyDescent="0.25">
      <c r="A44" s="133" t="s">
        <v>249</v>
      </c>
      <c r="B44" s="107"/>
      <c r="C44" s="109"/>
      <c r="D44" s="109"/>
      <c r="E44" s="109"/>
      <c r="F44" s="109"/>
      <c r="G44" s="109"/>
      <c r="H44" s="109"/>
      <c r="I44" s="109"/>
      <c r="J44" s="109"/>
      <c r="K44" s="109"/>
      <c r="L44" s="109"/>
      <c r="M44" s="109"/>
      <c r="N44" s="109"/>
      <c r="O44" s="109"/>
      <c r="P44" s="109"/>
      <c r="Q44" s="109"/>
      <c r="R44" s="618">
        <f>'A4-FinPerf RE'!J41-'SA2'!R41</f>
        <v>552472.40420001745</v>
      </c>
    </row>
    <row r="45" spans="1:21" ht="11.25" customHeight="1" x14ac:dyDescent="0.25">
      <c r="A45" s="108"/>
      <c r="B45" s="107"/>
      <c r="C45" s="109"/>
      <c r="D45" s="109"/>
      <c r="E45" s="109"/>
      <c r="F45" s="109"/>
      <c r="G45" s="109"/>
      <c r="H45" s="109"/>
      <c r="I45" s="109"/>
      <c r="J45" s="109"/>
      <c r="K45" s="109"/>
      <c r="L45" s="109"/>
      <c r="M45" s="109"/>
      <c r="N45" s="109"/>
      <c r="O45" s="109"/>
      <c r="P45" s="109"/>
      <c r="Q45" s="109"/>
      <c r="R45" s="109"/>
    </row>
    <row r="46" spans="1:21" ht="11.25" customHeight="1" x14ac:dyDescent="0.25">
      <c r="B46" s="25"/>
      <c r="U46" s="225"/>
    </row>
    <row r="47" spans="1:21" ht="11.25" customHeight="1" x14ac:dyDescent="0.25">
      <c r="B47" s="25"/>
      <c r="G47" s="148"/>
      <c r="H47" s="148"/>
      <c r="I47" s="148"/>
      <c r="J47" s="148"/>
      <c r="K47" s="148"/>
      <c r="L47" s="148"/>
      <c r="M47" s="148"/>
      <c r="N47" s="148"/>
      <c r="O47" s="148"/>
      <c r="P47" s="148"/>
      <c r="Q47" s="148"/>
      <c r="R47" s="148"/>
    </row>
    <row r="48" spans="1:21" ht="11.25" customHeight="1" x14ac:dyDescent="0.25">
      <c r="B48" s="25"/>
      <c r="G48" s="148"/>
      <c r="H48" s="148"/>
      <c r="I48" s="148"/>
      <c r="J48" s="148"/>
      <c r="K48" s="148"/>
      <c r="L48" s="148"/>
      <c r="M48" s="148"/>
      <c r="N48" s="148"/>
      <c r="O48" s="148"/>
      <c r="P48" s="148"/>
      <c r="Q48" s="148"/>
      <c r="R48" s="148"/>
    </row>
    <row r="49" spans="2:21" ht="11.25" customHeight="1" x14ac:dyDescent="0.25">
      <c r="B49" s="25"/>
      <c r="G49" s="148"/>
      <c r="H49" s="148"/>
      <c r="I49" s="148"/>
      <c r="J49" s="148"/>
      <c r="K49" s="148"/>
      <c r="L49" s="148"/>
      <c r="M49" s="148"/>
      <c r="N49" s="148"/>
      <c r="O49" s="148"/>
      <c r="P49" s="148"/>
      <c r="Q49" s="148"/>
      <c r="R49" s="148"/>
    </row>
    <row r="50" spans="2:21" ht="11.25" customHeight="1" x14ac:dyDescent="0.25">
      <c r="B50" s="25"/>
      <c r="U50" s="148"/>
    </row>
    <row r="51" spans="2:21" ht="11.25" customHeight="1" x14ac:dyDescent="0.25">
      <c r="B51" s="25"/>
      <c r="U51" s="148"/>
    </row>
    <row r="52" spans="2:21" ht="11.25" customHeight="1" x14ac:dyDescent="0.25">
      <c r="B52" s="25"/>
      <c r="U52" s="148"/>
    </row>
    <row r="53" spans="2:21" ht="11.25" customHeight="1" x14ac:dyDescent="0.25">
      <c r="B53" s="25"/>
    </row>
    <row r="54" spans="2:21" ht="11.25" customHeight="1" x14ac:dyDescent="0.25">
      <c r="B54" s="25"/>
    </row>
    <row r="55" spans="2:21" ht="11.25" customHeight="1" x14ac:dyDescent="0.25">
      <c r="B55" s="25"/>
    </row>
    <row r="56" spans="2:21" ht="11.25" customHeight="1" x14ac:dyDescent="0.25">
      <c r="B56" s="25"/>
    </row>
    <row r="57" spans="2:21" ht="11.25" customHeight="1" x14ac:dyDescent="0.25">
      <c r="B57" s="25"/>
    </row>
    <row r="58" spans="2:21" ht="11.25" customHeight="1" x14ac:dyDescent="0.25">
      <c r="B58" s="25"/>
    </row>
    <row r="59" spans="2:21" ht="11.25" customHeight="1" x14ac:dyDescent="0.25">
      <c r="B59" s="25"/>
    </row>
    <row r="60" spans="2:21" ht="11.25" customHeight="1" x14ac:dyDescent="0.25">
      <c r="B60" s="25"/>
    </row>
    <row r="61" spans="2:21" ht="11.25" customHeight="1" x14ac:dyDescent="0.25">
      <c r="B61" s="25"/>
    </row>
    <row r="62" spans="2:21" ht="11.25" customHeight="1" x14ac:dyDescent="0.25">
      <c r="B62" s="25"/>
    </row>
    <row r="63" spans="2:21" ht="11.25" customHeight="1" x14ac:dyDescent="0.25">
      <c r="B63" s="25"/>
    </row>
    <row r="64" spans="2:2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sheetData>
  <mergeCells count="16">
    <mergeCell ref="G2:G3"/>
    <mergeCell ref="H2:H3"/>
    <mergeCell ref="C2:C3"/>
    <mergeCell ref="D2:D3"/>
    <mergeCell ref="E2:E3"/>
    <mergeCell ref="F2:F3"/>
    <mergeCell ref="Q2:Q3"/>
    <mergeCell ref="R2:R3"/>
    <mergeCell ref="I2:I3"/>
    <mergeCell ref="J2:J3"/>
    <mergeCell ref="K2:K3"/>
    <mergeCell ref="L2:L3"/>
    <mergeCell ref="M2:M3"/>
    <mergeCell ref="N2:N3"/>
    <mergeCell ref="O2:O3"/>
    <mergeCell ref="P2:P3"/>
  </mergeCells>
  <phoneticPr fontId="3" type="noConversion"/>
  <printOptions horizontalCentered="1"/>
  <pageMargins left="0" right="0" top="0.78740157480314965" bottom="0.59055118110236227" header="0.51181102362204722" footer="0.43307086614173229"/>
  <pageSetup paperSize="9" scale="56"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L94"/>
  <sheetViews>
    <sheetView showGridLines="0" zoomScaleNormal="100" zoomScaleSheetLayoutView="100" workbookViewId="0">
      <pane xSplit="2" ySplit="4" topLeftCell="C5" activePane="bottomRight" state="frozen"/>
      <selection pane="topRight"/>
      <selection pane="bottomLeft"/>
      <selection pane="bottomRight" activeCell="J7" sqref="J7:L7"/>
    </sheetView>
  </sheetViews>
  <sheetFormatPr defaultRowHeight="12.75" x14ac:dyDescent="0.25"/>
  <cols>
    <col min="1" max="1" width="30.7109375" style="25" customWidth="1"/>
    <col min="2" max="2" width="3" style="102" customWidth="1"/>
    <col min="3" max="8" width="9.28515625" style="25" customWidth="1"/>
    <col min="9" max="9" width="9.140625" style="25" customWidth="1"/>
    <col min="10"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s="52" customFormat="1" x14ac:dyDescent="0.2">
      <c r="A1" s="23" t="str">
        <f>muni&amp;" - "&amp;TableA3</f>
        <v>EC101 Dr Beyers Naude - Supporting Table SA3 Supportinging detail to 'Budgeted Financial Position'</v>
      </c>
      <c r="B1" s="23"/>
      <c r="C1" s="23"/>
      <c r="D1" s="23"/>
      <c r="E1" s="23"/>
      <c r="F1" s="23"/>
      <c r="G1" s="23"/>
      <c r="H1" s="23"/>
      <c r="I1" s="23"/>
      <c r="J1" s="23"/>
      <c r="K1" s="23"/>
      <c r="L1" s="23"/>
    </row>
    <row r="2" spans="1:12" ht="28.5" customHeight="1" x14ac:dyDescent="0.25">
      <c r="A2" s="1928" t="str">
        <f>desc</f>
        <v>Description</v>
      </c>
      <c r="B2" s="1930" t="str">
        <f>head27</f>
        <v>Ref</v>
      </c>
      <c r="C2" s="26"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2" ht="33.75" customHeight="1" x14ac:dyDescent="0.25">
      <c r="A3" s="1932"/>
      <c r="B3" s="1933"/>
      <c r="C3" s="28" t="str">
        <f>Head5</f>
        <v>Audited Outcome</v>
      </c>
      <c r="D3" s="28" t="str">
        <f>Head5</f>
        <v>Audited Outcome</v>
      </c>
      <c r="E3" s="29" t="str">
        <f>Head5</f>
        <v>Audited Outcome</v>
      </c>
      <c r="F3" s="27" t="str">
        <f>Head6</f>
        <v>Original Budget</v>
      </c>
      <c r="G3" s="28" t="str">
        <f>Head7</f>
        <v>Adjusted Budget</v>
      </c>
      <c r="H3" s="29" t="str">
        <f>Head8</f>
        <v>Full Year Forecast</v>
      </c>
      <c r="I3" s="30" t="str">
        <f>Head5b</f>
        <v>Pre-audit outcome</v>
      </c>
      <c r="J3" s="27" t="str">
        <f>Head9</f>
        <v>Budget Year 2019/20</v>
      </c>
      <c r="K3" s="28" t="str">
        <f>Head10</f>
        <v>Budget Year +1 2020/21</v>
      </c>
      <c r="L3" s="29" t="str">
        <f>Head11</f>
        <v>Budget Year +2 2021/22</v>
      </c>
    </row>
    <row r="4" spans="1:12" ht="11.25" customHeight="1" x14ac:dyDescent="0.25">
      <c r="A4" s="53" t="s">
        <v>573</v>
      </c>
      <c r="B4" s="135"/>
      <c r="C4" s="15"/>
      <c r="D4" s="15"/>
      <c r="E4" s="32"/>
      <c r="F4" s="31"/>
      <c r="G4" s="15"/>
      <c r="H4" s="32"/>
      <c r="I4" s="33"/>
      <c r="J4" s="31"/>
      <c r="K4" s="15"/>
      <c r="L4" s="32"/>
    </row>
    <row r="5" spans="1:12" ht="11.25" customHeight="1" x14ac:dyDescent="0.25">
      <c r="A5" s="118" t="s">
        <v>895</v>
      </c>
      <c r="B5" s="136"/>
      <c r="C5" s="226"/>
      <c r="D5" s="226"/>
      <c r="E5" s="77"/>
      <c r="F5" s="78"/>
      <c r="G5" s="226"/>
      <c r="H5" s="77"/>
      <c r="I5" s="75"/>
      <c r="J5" s="180"/>
      <c r="K5" s="1694"/>
      <c r="L5" s="77"/>
    </row>
    <row r="6" spans="1:12" ht="11.25" customHeight="1" x14ac:dyDescent="0.25">
      <c r="A6" s="54" t="str">
        <f>'A6-FinPos'!A7</f>
        <v>Call investment deposits</v>
      </c>
      <c r="B6" s="55"/>
      <c r="C6" s="76"/>
      <c r="D6" s="76"/>
      <c r="E6" s="77"/>
      <c r="F6" s="78"/>
      <c r="G6" s="76"/>
      <c r="H6" s="77"/>
      <c r="I6" s="75"/>
      <c r="J6" s="79"/>
      <c r="K6" s="1185"/>
      <c r="L6" s="77"/>
    </row>
    <row r="7" spans="1:12" ht="11.25" customHeight="1" x14ac:dyDescent="0.25">
      <c r="A7" s="63" t="s">
        <v>2406</v>
      </c>
      <c r="B7" s="55"/>
      <c r="C7" s="1316"/>
      <c r="D7" s="1316">
        <v>24542131</v>
      </c>
      <c r="E7" s="1325">
        <v>1002806</v>
      </c>
      <c r="F7" s="1326">
        <v>1050411</v>
      </c>
      <c r="G7" s="1316">
        <v>1050411</v>
      </c>
      <c r="H7" s="1325">
        <v>1050411</v>
      </c>
      <c r="I7" s="1327">
        <v>1050411</v>
      </c>
      <c r="J7" s="1318">
        <v>1000000</v>
      </c>
      <c r="K7" s="1320">
        <f>J7</f>
        <v>1000000</v>
      </c>
      <c r="L7" s="1325">
        <f>K7</f>
        <v>1000000</v>
      </c>
    </row>
    <row r="8" spans="1:12" ht="11.25" customHeight="1" x14ac:dyDescent="0.25">
      <c r="A8" s="63" t="s">
        <v>2407</v>
      </c>
      <c r="B8" s="55"/>
      <c r="C8" s="1316"/>
      <c r="D8" s="1316"/>
      <c r="E8" s="1325"/>
      <c r="F8" s="1326"/>
      <c r="G8" s="1316"/>
      <c r="H8" s="1325"/>
      <c r="I8" s="1327"/>
      <c r="J8" s="1318"/>
      <c r="K8" s="1320"/>
      <c r="L8" s="1325"/>
    </row>
    <row r="9" spans="1:12" ht="11.25" customHeight="1" x14ac:dyDescent="0.25">
      <c r="A9" s="118" t="str">
        <f>"Total "&amp;A6</f>
        <v>Total Call investment deposits</v>
      </c>
      <c r="B9" s="55">
        <v>2</v>
      </c>
      <c r="C9" s="81">
        <f>SUM(C7:C8)</f>
        <v>0</v>
      </c>
      <c r="D9" s="81">
        <f t="shared" ref="D9:L9" si="0">SUM(D7:D8)</f>
        <v>24542131</v>
      </c>
      <c r="E9" s="82">
        <f t="shared" si="0"/>
        <v>1002806</v>
      </c>
      <c r="F9" s="83">
        <f t="shared" si="0"/>
        <v>1050411</v>
      </c>
      <c r="G9" s="81">
        <f t="shared" si="0"/>
        <v>1050411</v>
      </c>
      <c r="H9" s="82">
        <f t="shared" si="0"/>
        <v>1050411</v>
      </c>
      <c r="I9" s="80">
        <f t="shared" si="0"/>
        <v>1050411</v>
      </c>
      <c r="J9" s="84">
        <f t="shared" si="0"/>
        <v>1000000</v>
      </c>
      <c r="K9" s="801">
        <f t="shared" si="0"/>
        <v>1000000</v>
      </c>
      <c r="L9" s="82">
        <f t="shared" si="0"/>
        <v>1000000</v>
      </c>
    </row>
    <row r="10" spans="1:12" ht="4.9000000000000004" customHeight="1" x14ac:dyDescent="0.25">
      <c r="A10" s="74"/>
      <c r="B10" s="55"/>
      <c r="C10" s="76"/>
      <c r="D10" s="76"/>
      <c r="E10" s="77"/>
      <c r="F10" s="78"/>
      <c r="G10" s="76"/>
      <c r="H10" s="77"/>
      <c r="I10" s="75"/>
      <c r="J10" s="79"/>
      <c r="K10" s="1185"/>
      <c r="L10" s="77"/>
    </row>
    <row r="11" spans="1:12" ht="11.25" customHeight="1" x14ac:dyDescent="0.25">
      <c r="A11" s="54" t="str">
        <f>'A6-FinPos'!A8</f>
        <v>Consumer debtors</v>
      </c>
      <c r="B11" s="55"/>
      <c r="C11" s="76"/>
      <c r="D11" s="76"/>
      <c r="E11" s="77"/>
      <c r="F11" s="78"/>
      <c r="G11" s="76"/>
      <c r="H11" s="77"/>
      <c r="I11" s="75"/>
      <c r="J11" s="79"/>
      <c r="K11" s="1185"/>
      <c r="L11" s="77"/>
    </row>
    <row r="12" spans="1:12" ht="11.25" customHeight="1" x14ac:dyDescent="0.25">
      <c r="A12" s="63" t="str">
        <f>A11</f>
        <v>Consumer debtors</v>
      </c>
      <c r="B12" s="55"/>
      <c r="C12" s="1316"/>
      <c r="D12" s="1316">
        <f>24124514+107902305</f>
        <v>132026819</v>
      </c>
      <c r="E12" s="1325">
        <f>16071271+42576848</f>
        <v>58648119</v>
      </c>
      <c r="F12" s="1326">
        <v>85141980</v>
      </c>
      <c r="G12" s="1316">
        <v>108641980</v>
      </c>
      <c r="H12" s="1325">
        <v>108641980</v>
      </c>
      <c r="I12" s="1327">
        <v>108641980</v>
      </c>
      <c r="J12" s="1318">
        <f>108641980+31595000-439.92</f>
        <v>140236540.08000001</v>
      </c>
      <c r="K12" s="1320">
        <f>J12*1.05-6232356.76</f>
        <v>141016010.32400003</v>
      </c>
      <c r="L12" s="1325">
        <f>K12*1.05+62438129</f>
        <v>210504939.84020004</v>
      </c>
    </row>
    <row r="13" spans="1:12" ht="11.25" customHeight="1" x14ac:dyDescent="0.25">
      <c r="A13" s="219" t="s">
        <v>322</v>
      </c>
      <c r="B13" s="55"/>
      <c r="C13" s="1316"/>
      <c r="D13" s="1316">
        <f>-20436496-95409199</f>
        <v>-115845695</v>
      </c>
      <c r="E13" s="1325">
        <f>-(10971085+13702505)</f>
        <v>-24673590</v>
      </c>
      <c r="F13" s="1326">
        <f>-49987943</f>
        <v>-49987943</v>
      </c>
      <c r="G13" s="1316">
        <f>-52051138</f>
        <v>-52051138</v>
      </c>
      <c r="H13" s="1325">
        <f>-52051138</f>
        <v>-52051138</v>
      </c>
      <c r="I13" s="1327">
        <f>-52051138</f>
        <v>-52051138</v>
      </c>
      <c r="J13" s="1318">
        <f>-J20</f>
        <v>-50382179.289999999</v>
      </c>
      <c r="K13" s="1320">
        <f>-K20</f>
        <v>-54510069.757399999</v>
      </c>
      <c r="L13" s="1325">
        <f>-L20</f>
        <v>-58885633.652843997</v>
      </c>
    </row>
    <row r="14" spans="1:12" ht="11.25" customHeight="1" x14ac:dyDescent="0.25">
      <c r="A14" s="118" t="str">
        <f>"Total "&amp;A11</f>
        <v>Total Consumer debtors</v>
      </c>
      <c r="B14" s="55">
        <v>2</v>
      </c>
      <c r="C14" s="81">
        <f>SUM(C12:C13)</f>
        <v>0</v>
      </c>
      <c r="D14" s="81">
        <f t="shared" ref="D14:L14" si="1">SUM(D12:D13)</f>
        <v>16181124</v>
      </c>
      <c r="E14" s="82">
        <f t="shared" si="1"/>
        <v>33974529</v>
      </c>
      <c r="F14" s="83">
        <f>SUM(F12:F13)</f>
        <v>35154037</v>
      </c>
      <c r="G14" s="81">
        <f t="shared" si="1"/>
        <v>56590842</v>
      </c>
      <c r="H14" s="82">
        <f t="shared" si="1"/>
        <v>56590842</v>
      </c>
      <c r="I14" s="80">
        <f t="shared" si="1"/>
        <v>56590842</v>
      </c>
      <c r="J14" s="84">
        <f t="shared" si="1"/>
        <v>89854360.790000021</v>
      </c>
      <c r="K14" s="801">
        <f t="shared" si="1"/>
        <v>86505940.566600025</v>
      </c>
      <c r="L14" s="82">
        <f t="shared" si="1"/>
        <v>151619306.18735605</v>
      </c>
    </row>
    <row r="15" spans="1:12" ht="4.9000000000000004" customHeight="1" x14ac:dyDescent="0.25">
      <c r="A15" s="74"/>
      <c r="B15" s="55"/>
      <c r="C15" s="76"/>
      <c r="D15" s="76"/>
      <c r="E15" s="77"/>
      <c r="F15" s="78"/>
      <c r="G15" s="76"/>
      <c r="H15" s="77"/>
      <c r="I15" s="75"/>
      <c r="J15" s="79"/>
      <c r="K15" s="1185"/>
      <c r="L15" s="77"/>
    </row>
    <row r="16" spans="1:12" ht="11.25" customHeight="1" x14ac:dyDescent="0.25">
      <c r="A16" s="54" t="s">
        <v>3</v>
      </c>
      <c r="B16" s="55"/>
      <c r="C16" s="76"/>
      <c r="D16" s="76"/>
      <c r="E16" s="77"/>
      <c r="F16" s="78"/>
      <c r="G16" s="76"/>
      <c r="H16" s="77"/>
      <c r="I16" s="75"/>
      <c r="J16" s="79"/>
      <c r="K16" s="1185"/>
      <c r="L16" s="77"/>
    </row>
    <row r="17" spans="1:12" ht="11.25" customHeight="1" x14ac:dyDescent="0.25">
      <c r="A17" s="187" t="s">
        <v>4</v>
      </c>
      <c r="B17" s="55"/>
      <c r="C17" s="1316"/>
      <c r="D17" s="1316">
        <f>38267571+78495693</f>
        <v>116763264</v>
      </c>
      <c r="E17" s="1325">
        <f>20436496+95409199</f>
        <v>115845695</v>
      </c>
      <c r="F17" s="1326">
        <v>46487943</v>
      </c>
      <c r="G17" s="1316">
        <v>46487943</v>
      </c>
      <c r="H17" s="1325">
        <v>46487943</v>
      </c>
      <c r="I17" s="1327">
        <v>46487943</v>
      </c>
      <c r="J17" s="1318">
        <f>I17</f>
        <v>46487943</v>
      </c>
      <c r="K17" s="1320">
        <f>J20</f>
        <v>50382179.289999999</v>
      </c>
      <c r="L17" s="1325">
        <f>K20</f>
        <v>54510069.757399999</v>
      </c>
    </row>
    <row r="18" spans="1:12" ht="11.25" customHeight="1" x14ac:dyDescent="0.25">
      <c r="A18" s="187" t="s">
        <v>5</v>
      </c>
      <c r="B18" s="55"/>
      <c r="C18" s="1316"/>
      <c r="D18" s="1316">
        <f>-17831075+16913506</f>
        <v>-917569</v>
      </c>
      <c r="E18" s="1325">
        <f>2432856+58834</f>
        <v>2491690</v>
      </c>
      <c r="F18" s="1326">
        <v>3500000</v>
      </c>
      <c r="G18" s="1316">
        <v>5563195</v>
      </c>
      <c r="H18" s="1325">
        <v>5563195</v>
      </c>
      <c r="I18" s="1327">
        <v>5563195</v>
      </c>
      <c r="J18" s="1318">
        <f>'A4-FinPerf RE'!J26</f>
        <v>3894236.29</v>
      </c>
      <c r="K18" s="1320">
        <f>'A4-FinPerf RE'!K26</f>
        <v>4127890.4674000004</v>
      </c>
      <c r="L18" s="1325">
        <f>'A4-FinPerf RE'!L26</f>
        <v>4375563.8954440011</v>
      </c>
    </row>
    <row r="19" spans="1:12" ht="11.25" customHeight="1" x14ac:dyDescent="0.25">
      <c r="A19" s="187" t="s">
        <v>6</v>
      </c>
      <c r="B19" s="55"/>
      <c r="C19" s="1316"/>
      <c r="D19" s="1316"/>
      <c r="E19" s="1325">
        <f>-11898267-81765528</f>
        <v>-93663795</v>
      </c>
      <c r="F19" s="1326"/>
      <c r="G19" s="1316"/>
      <c r="H19" s="1325"/>
      <c r="I19" s="1327"/>
      <c r="J19" s="1318"/>
      <c r="K19" s="1320"/>
      <c r="L19" s="1325"/>
    </row>
    <row r="20" spans="1:12" ht="11.25" customHeight="1" x14ac:dyDescent="0.25">
      <c r="A20" s="118" t="s">
        <v>7</v>
      </c>
      <c r="B20" s="55"/>
      <c r="C20" s="81">
        <f>SUM(C17:C19)</f>
        <v>0</v>
      </c>
      <c r="D20" s="81">
        <f t="shared" ref="D20:L20" si="2">SUM(D17:D19)</f>
        <v>115845695</v>
      </c>
      <c r="E20" s="82">
        <f t="shared" si="2"/>
        <v>24673590</v>
      </c>
      <c r="F20" s="83">
        <f t="shared" si="2"/>
        <v>49987943</v>
      </c>
      <c r="G20" s="81">
        <f t="shared" si="2"/>
        <v>52051138</v>
      </c>
      <c r="H20" s="82">
        <f t="shared" si="2"/>
        <v>52051138</v>
      </c>
      <c r="I20" s="80">
        <f t="shared" si="2"/>
        <v>52051138</v>
      </c>
      <c r="J20" s="84">
        <f t="shared" si="2"/>
        <v>50382179.289999999</v>
      </c>
      <c r="K20" s="801">
        <f t="shared" si="2"/>
        <v>54510069.757399999</v>
      </c>
      <c r="L20" s="82">
        <f t="shared" si="2"/>
        <v>58885633.652843997</v>
      </c>
    </row>
    <row r="21" spans="1:12" ht="4.9000000000000004" customHeight="1" x14ac:dyDescent="0.25">
      <c r="A21" s="74"/>
      <c r="B21" s="55"/>
      <c r="C21" s="76"/>
      <c r="D21" s="76"/>
      <c r="E21" s="77"/>
      <c r="F21" s="78"/>
      <c r="G21" s="76"/>
      <c r="H21" s="77"/>
      <c r="I21" s="75"/>
      <c r="J21" s="79"/>
      <c r="K21" s="1185"/>
      <c r="L21" s="77"/>
    </row>
    <row r="22" spans="1:12" ht="11.25" customHeight="1" x14ac:dyDescent="0.25">
      <c r="A22" s="54" t="str">
        <f>'A6-FinPos'!A19&amp;" (PPE)"</f>
        <v>Property, plant and equipment (PPE)</v>
      </c>
      <c r="B22" s="55"/>
      <c r="C22" s="76"/>
      <c r="D22" s="76"/>
      <c r="E22" s="77"/>
      <c r="F22" s="78"/>
      <c r="G22" s="76"/>
      <c r="H22" s="77"/>
      <c r="I22" s="75"/>
      <c r="J22" s="79"/>
      <c r="K22" s="1185"/>
      <c r="L22" s="77"/>
    </row>
    <row r="23" spans="1:12" ht="11.25" customHeight="1" x14ac:dyDescent="0.25">
      <c r="A23" s="63" t="s">
        <v>1479</v>
      </c>
      <c r="B23" s="55"/>
      <c r="C23" s="1316"/>
      <c r="D23" s="1316">
        <v>1174385837</v>
      </c>
      <c r="E23" s="1325">
        <v>1226685629</v>
      </c>
      <c r="F23" s="1326">
        <v>1115050745.128</v>
      </c>
      <c r="G23" s="1316">
        <v>1100453214.128</v>
      </c>
      <c r="H23" s="1325">
        <v>1100453214.128</v>
      </c>
      <c r="I23" s="1327">
        <v>1100453214.128</v>
      </c>
      <c r="J23" s="1318">
        <f>I23+'A5-Capex'!J39-'A4-FinPerf RE'!J27</f>
        <v>1067052088.6279999</v>
      </c>
      <c r="K23" s="1320">
        <f>J23+'A5-Capex'!K40-'A4-FinPerf RE'!K27</f>
        <v>1047225111.2119998</v>
      </c>
      <c r="L23" s="1325">
        <f>K23+'A5-Capex'!L40-'A4-FinPerf RE'!L27</f>
        <v>973237665.15103972</v>
      </c>
    </row>
    <row r="24" spans="1:12" ht="11.25" customHeight="1" x14ac:dyDescent="0.25">
      <c r="A24" s="63" t="s">
        <v>930</v>
      </c>
      <c r="B24" s="55">
        <v>3</v>
      </c>
      <c r="C24" s="1316"/>
      <c r="D24" s="1316"/>
      <c r="E24" s="1325"/>
      <c r="F24" s="1326"/>
      <c r="G24" s="1316"/>
      <c r="H24" s="1325"/>
      <c r="I24" s="1327"/>
      <c r="J24" s="1318"/>
      <c r="K24" s="1320"/>
      <c r="L24" s="1325"/>
    </row>
    <row r="25" spans="1:12" ht="11.25" customHeight="1" x14ac:dyDescent="0.25">
      <c r="A25" s="219" t="s">
        <v>711</v>
      </c>
      <c r="B25" s="55"/>
      <c r="C25" s="1316"/>
      <c r="D25" s="1316">
        <v>64957038</v>
      </c>
      <c r="E25" s="1325">
        <v>127021413</v>
      </c>
      <c r="F25" s="1326"/>
      <c r="G25" s="1316"/>
      <c r="H25" s="1325"/>
      <c r="I25" s="1327"/>
      <c r="J25" s="1318"/>
      <c r="K25" s="1320"/>
      <c r="L25" s="1325"/>
    </row>
    <row r="26" spans="1:12" ht="11.25" customHeight="1" x14ac:dyDescent="0.25">
      <c r="A26" s="118" t="str">
        <f>"Total "&amp;A22</f>
        <v>Total Property, plant and equipment (PPE)</v>
      </c>
      <c r="B26" s="55">
        <v>2</v>
      </c>
      <c r="C26" s="81">
        <f>SUM(C23:C24)-C25</f>
        <v>0</v>
      </c>
      <c r="D26" s="81">
        <f t="shared" ref="D26:L26" si="3">SUM(D23:D24)-D25</f>
        <v>1109428799</v>
      </c>
      <c r="E26" s="82">
        <f t="shared" si="3"/>
        <v>1099664216</v>
      </c>
      <c r="F26" s="83">
        <f t="shared" si="3"/>
        <v>1115050745.128</v>
      </c>
      <c r="G26" s="81">
        <f t="shared" si="3"/>
        <v>1100453214.128</v>
      </c>
      <c r="H26" s="82">
        <f t="shared" si="3"/>
        <v>1100453214.128</v>
      </c>
      <c r="I26" s="80">
        <f t="shared" si="3"/>
        <v>1100453214.128</v>
      </c>
      <c r="J26" s="84">
        <f t="shared" si="3"/>
        <v>1067052088.6279999</v>
      </c>
      <c r="K26" s="801">
        <f t="shared" si="3"/>
        <v>1047225111.2119998</v>
      </c>
      <c r="L26" s="82">
        <f t="shared" si="3"/>
        <v>973237665.15103972</v>
      </c>
    </row>
    <row r="27" spans="1:12" ht="4.9000000000000004" customHeight="1" x14ac:dyDescent="0.25">
      <c r="A27" s="74"/>
      <c r="B27" s="55"/>
      <c r="C27" s="76"/>
      <c r="D27" s="76"/>
      <c r="E27" s="77"/>
      <c r="F27" s="78"/>
      <c r="G27" s="76"/>
      <c r="H27" s="77"/>
      <c r="I27" s="75"/>
      <c r="J27" s="79"/>
      <c r="K27" s="1185"/>
      <c r="L27" s="77"/>
    </row>
    <row r="28" spans="1:12" ht="15.75" customHeight="1" x14ac:dyDescent="0.25">
      <c r="A28" s="213" t="s">
        <v>498</v>
      </c>
      <c r="B28" s="214"/>
      <c r="C28" s="185"/>
      <c r="D28" s="185"/>
      <c r="E28" s="186"/>
      <c r="F28" s="215"/>
      <c r="G28" s="185"/>
      <c r="H28" s="186"/>
      <c r="I28" s="216"/>
      <c r="J28" s="217"/>
      <c r="K28" s="1695"/>
      <c r="L28" s="186"/>
    </row>
    <row r="29" spans="1:12" ht="11.25" customHeight="1" x14ac:dyDescent="0.25">
      <c r="A29" s="54" t="str">
        <f>'A6-FinPos'!A28&amp;" - "&amp;'A6-FinPos'!A30</f>
        <v>Current liabilities - Borrowing</v>
      </c>
      <c r="B29" s="55"/>
      <c r="C29" s="76"/>
      <c r="D29" s="76"/>
      <c r="E29" s="77"/>
      <c r="F29" s="78"/>
      <c r="G29" s="76"/>
      <c r="H29" s="77"/>
      <c r="I29" s="75"/>
      <c r="J29" s="79"/>
      <c r="K29" s="1185"/>
      <c r="L29" s="77"/>
    </row>
    <row r="30" spans="1:12" ht="11.25" customHeight="1" x14ac:dyDescent="0.25">
      <c r="A30" s="63" t="s">
        <v>609</v>
      </c>
      <c r="B30" s="55"/>
      <c r="C30" s="1316"/>
      <c r="D30" s="1316"/>
      <c r="E30" s="1325"/>
      <c r="F30" s="1326"/>
      <c r="G30" s="1316"/>
      <c r="H30" s="1325"/>
      <c r="I30" s="1327"/>
      <c r="J30" s="1318"/>
      <c r="K30" s="1320"/>
      <c r="L30" s="1325"/>
    </row>
    <row r="31" spans="1:12" ht="11.25" customHeight="1" x14ac:dyDescent="0.25">
      <c r="A31" s="63" t="s">
        <v>1346</v>
      </c>
      <c r="B31" s="55"/>
      <c r="C31" s="1316"/>
      <c r="D31" s="1316"/>
      <c r="E31" s="1325"/>
      <c r="F31" s="1326"/>
      <c r="G31" s="1316"/>
      <c r="H31" s="1325"/>
      <c r="I31" s="1327"/>
      <c r="J31" s="1318"/>
      <c r="K31" s="1320"/>
      <c r="L31" s="1325"/>
    </row>
    <row r="32" spans="1:12" ht="11.25" customHeight="1" x14ac:dyDescent="0.25">
      <c r="A32" s="118" t="str">
        <f>"Total "&amp;A29</f>
        <v>Total Current liabilities - Borrowing</v>
      </c>
      <c r="B32" s="55"/>
      <c r="C32" s="81">
        <f>SUM(C30:C31)</f>
        <v>0</v>
      </c>
      <c r="D32" s="81">
        <f t="shared" ref="D32:L32" si="4">SUM(D30:D31)</f>
        <v>0</v>
      </c>
      <c r="E32" s="82">
        <f t="shared" si="4"/>
        <v>0</v>
      </c>
      <c r="F32" s="83">
        <f t="shared" si="4"/>
        <v>0</v>
      </c>
      <c r="G32" s="81">
        <f t="shared" si="4"/>
        <v>0</v>
      </c>
      <c r="H32" s="82">
        <f t="shared" si="4"/>
        <v>0</v>
      </c>
      <c r="I32" s="80">
        <f t="shared" si="4"/>
        <v>0</v>
      </c>
      <c r="J32" s="84">
        <f t="shared" si="4"/>
        <v>0</v>
      </c>
      <c r="K32" s="801">
        <f t="shared" si="4"/>
        <v>0</v>
      </c>
      <c r="L32" s="82">
        <f t="shared" si="4"/>
        <v>0</v>
      </c>
    </row>
    <row r="33" spans="1:12" ht="4.9000000000000004" customHeight="1" x14ac:dyDescent="0.25">
      <c r="A33" s="74"/>
      <c r="B33" s="55"/>
      <c r="C33" s="76"/>
      <c r="D33" s="76"/>
      <c r="E33" s="77"/>
      <c r="F33" s="78"/>
      <c r="G33" s="76"/>
      <c r="H33" s="77"/>
      <c r="I33" s="75"/>
      <c r="J33" s="79"/>
      <c r="K33" s="1185"/>
      <c r="L33" s="77"/>
    </row>
    <row r="34" spans="1:12" ht="11.25" customHeight="1" x14ac:dyDescent="0.25">
      <c r="A34" s="54" t="str">
        <f>'A6-FinPos'!A32</f>
        <v>Trade and other payables</v>
      </c>
      <c r="B34" s="55"/>
      <c r="C34" s="153"/>
      <c r="D34" s="153"/>
      <c r="E34" s="156"/>
      <c r="F34" s="155"/>
      <c r="G34" s="153"/>
      <c r="H34" s="156"/>
      <c r="I34" s="154"/>
      <c r="J34" s="212"/>
      <c r="K34" s="1696"/>
      <c r="L34" s="156"/>
    </row>
    <row r="35" spans="1:12" ht="11.25" customHeight="1" x14ac:dyDescent="0.25">
      <c r="A35" s="63" t="s">
        <v>2567</v>
      </c>
      <c r="B35" s="55">
        <v>5</v>
      </c>
      <c r="C35" s="1316"/>
      <c r="D35" s="1316">
        <v>91876424</v>
      </c>
      <c r="E35" s="1325">
        <v>121479437</v>
      </c>
      <c r="F35" s="1326">
        <v>89687914</v>
      </c>
      <c r="G35" s="1316">
        <v>111408914</v>
      </c>
      <c r="H35" s="1325">
        <v>111408914</v>
      </c>
      <c r="I35" s="1327">
        <v>111408914</v>
      </c>
      <c r="J35" s="1318">
        <v>50250000</v>
      </c>
      <c r="K35" s="1320">
        <f>J35-6000000</f>
        <v>44250000</v>
      </c>
      <c r="L35" s="1325">
        <f>K35*1.06</f>
        <v>46905000</v>
      </c>
    </row>
    <row r="36" spans="1:12" ht="11.25" customHeight="1" x14ac:dyDescent="0.25">
      <c r="A36" s="63" t="s">
        <v>2566</v>
      </c>
      <c r="B36" s="55"/>
      <c r="C36" s="1316"/>
      <c r="D36" s="1316">
        <f>3499144+1872024+194770</f>
        <v>5565938</v>
      </c>
      <c r="E36" s="1325">
        <f>5211804+3199659</f>
        <v>8411463</v>
      </c>
      <c r="F36" s="1326"/>
      <c r="G36" s="1316">
        <v>0</v>
      </c>
      <c r="H36" s="1325">
        <v>0</v>
      </c>
      <c r="I36" s="1327">
        <v>0</v>
      </c>
      <c r="J36" s="1318"/>
      <c r="K36" s="1320"/>
      <c r="L36" s="1325"/>
    </row>
    <row r="37" spans="1:12" ht="11.25" customHeight="1" x14ac:dyDescent="0.25">
      <c r="A37" s="63" t="s">
        <v>940</v>
      </c>
      <c r="B37" s="55"/>
      <c r="C37" s="1316"/>
      <c r="D37" s="1316">
        <v>26295463</v>
      </c>
      <c r="E37" s="1325">
        <v>2535507</v>
      </c>
      <c r="F37" s="1326"/>
      <c r="G37" s="1316"/>
      <c r="H37" s="1325"/>
      <c r="I37" s="1327"/>
      <c r="J37" s="1318"/>
      <c r="K37" s="1320"/>
      <c r="L37" s="1325"/>
    </row>
    <row r="38" spans="1:12" ht="11.25" customHeight="1" x14ac:dyDescent="0.25">
      <c r="A38" s="63" t="s">
        <v>1345</v>
      </c>
      <c r="B38" s="55"/>
      <c r="C38" s="1316"/>
      <c r="D38" s="1316">
        <v>213785</v>
      </c>
      <c r="E38" s="1325">
        <v>0</v>
      </c>
      <c r="F38" s="1326">
        <v>591000</v>
      </c>
      <c r="G38" s="1316">
        <v>591000</v>
      </c>
      <c r="H38" s="1325">
        <v>591000</v>
      </c>
      <c r="I38" s="1327">
        <v>591000</v>
      </c>
      <c r="J38" s="1318">
        <f>I38</f>
        <v>591000</v>
      </c>
      <c r="K38" s="1320">
        <f>J38</f>
        <v>591000</v>
      </c>
      <c r="L38" s="1325">
        <f>K38</f>
        <v>591000</v>
      </c>
    </row>
    <row r="39" spans="1:12" ht="11.25" customHeight="1" x14ac:dyDescent="0.25">
      <c r="A39" s="118" t="str">
        <f>"Total "&amp;A34</f>
        <v>Total Trade and other payables</v>
      </c>
      <c r="B39" s="55">
        <v>2</v>
      </c>
      <c r="C39" s="81">
        <f t="shared" ref="C39:K39" si="5">SUM(C35:C38)</f>
        <v>0</v>
      </c>
      <c r="D39" s="81">
        <f t="shared" si="5"/>
        <v>123951610</v>
      </c>
      <c r="E39" s="82">
        <f t="shared" si="5"/>
        <v>132426407</v>
      </c>
      <c r="F39" s="83">
        <f t="shared" si="5"/>
        <v>90278914</v>
      </c>
      <c r="G39" s="81">
        <f t="shared" si="5"/>
        <v>111999914</v>
      </c>
      <c r="H39" s="82">
        <f t="shared" si="5"/>
        <v>111999914</v>
      </c>
      <c r="I39" s="80">
        <f t="shared" si="5"/>
        <v>111999914</v>
      </c>
      <c r="J39" s="84">
        <f t="shared" si="5"/>
        <v>50841000</v>
      </c>
      <c r="K39" s="801">
        <f t="shared" si="5"/>
        <v>44841000</v>
      </c>
      <c r="L39" s="82">
        <f>SUM(L35:L38)</f>
        <v>47496000</v>
      </c>
    </row>
    <row r="40" spans="1:12" ht="4.9000000000000004" customHeight="1" x14ac:dyDescent="0.25">
      <c r="A40" s="74"/>
      <c r="B40" s="55"/>
      <c r="C40" s="76"/>
      <c r="D40" s="76"/>
      <c r="E40" s="77"/>
      <c r="F40" s="78"/>
      <c r="G40" s="76"/>
      <c r="H40" s="77"/>
      <c r="I40" s="75"/>
      <c r="J40" s="79"/>
      <c r="K40" s="1185"/>
      <c r="L40" s="77"/>
    </row>
    <row r="41" spans="1:12" ht="11.25" customHeight="1" x14ac:dyDescent="0.25">
      <c r="A41" s="54" t="str">
        <f>'A6-FinPos'!A36&amp;" - "&amp;'A6-FinPos'!A37</f>
        <v>Non current liabilities - Borrowing</v>
      </c>
      <c r="B41" s="55"/>
      <c r="C41" s="76"/>
      <c r="D41" s="76"/>
      <c r="E41" s="77"/>
      <c r="F41" s="78"/>
      <c r="G41" s="76"/>
      <c r="H41" s="77"/>
      <c r="I41" s="75"/>
      <c r="J41" s="79"/>
      <c r="K41" s="1185"/>
      <c r="L41" s="77"/>
    </row>
    <row r="42" spans="1:12" ht="11.25" customHeight="1" x14ac:dyDescent="0.25">
      <c r="A42" s="63" t="s">
        <v>1132</v>
      </c>
      <c r="B42" s="55">
        <v>4</v>
      </c>
      <c r="C42" s="1316"/>
      <c r="D42" s="1316"/>
      <c r="E42" s="1325"/>
      <c r="F42" s="1326"/>
      <c r="G42" s="1316"/>
      <c r="H42" s="1325"/>
      <c r="I42" s="1327"/>
      <c r="J42" s="1318">
        <v>63750000</v>
      </c>
      <c r="K42" s="1320">
        <f>J42-17000000</f>
        <v>46750000</v>
      </c>
      <c r="L42" s="1325">
        <f>K42-17000000</f>
        <v>29750000</v>
      </c>
    </row>
    <row r="43" spans="1:12" ht="11.25" customHeight="1" x14ac:dyDescent="0.25">
      <c r="A43" s="63" t="s">
        <v>920</v>
      </c>
      <c r="B43" s="55"/>
      <c r="C43" s="1316"/>
      <c r="D43" s="1316"/>
      <c r="E43" s="1325"/>
      <c r="F43" s="1326"/>
      <c r="G43" s="1316"/>
      <c r="H43" s="1325"/>
      <c r="I43" s="1327"/>
      <c r="J43" s="1318"/>
      <c r="K43" s="1320"/>
      <c r="L43" s="1325"/>
    </row>
    <row r="44" spans="1:12" ht="11.25" customHeight="1" x14ac:dyDescent="0.25">
      <c r="A44" s="118" t="str">
        <f>"Total "&amp;A41</f>
        <v>Total Non current liabilities - Borrowing</v>
      </c>
      <c r="B44" s="55"/>
      <c r="C44" s="81">
        <f>SUM(C42:C43)</f>
        <v>0</v>
      </c>
      <c r="D44" s="81">
        <f t="shared" ref="D44:L44" si="6">SUM(D42:D43)</f>
        <v>0</v>
      </c>
      <c r="E44" s="82">
        <f t="shared" si="6"/>
        <v>0</v>
      </c>
      <c r="F44" s="83">
        <f t="shared" si="6"/>
        <v>0</v>
      </c>
      <c r="G44" s="81">
        <f t="shared" si="6"/>
        <v>0</v>
      </c>
      <c r="H44" s="82">
        <f t="shared" si="6"/>
        <v>0</v>
      </c>
      <c r="I44" s="80">
        <f t="shared" si="6"/>
        <v>0</v>
      </c>
      <c r="J44" s="84">
        <f t="shared" si="6"/>
        <v>63750000</v>
      </c>
      <c r="K44" s="801">
        <f t="shared" si="6"/>
        <v>46750000</v>
      </c>
      <c r="L44" s="82">
        <f t="shared" si="6"/>
        <v>29750000</v>
      </c>
    </row>
    <row r="45" spans="1:12" ht="4.9000000000000004" customHeight="1" x14ac:dyDescent="0.25">
      <c r="A45" s="74"/>
      <c r="B45" s="55"/>
      <c r="C45" s="76"/>
      <c r="D45" s="76"/>
      <c r="E45" s="77"/>
      <c r="F45" s="78"/>
      <c r="G45" s="76"/>
      <c r="H45" s="77"/>
      <c r="I45" s="75"/>
      <c r="J45" s="79"/>
      <c r="K45" s="1185"/>
      <c r="L45" s="77"/>
    </row>
    <row r="46" spans="1:12" ht="11.25" customHeight="1" x14ac:dyDescent="0.25">
      <c r="A46" s="54" t="str">
        <f>'A6-FinPos'!A38&amp;" - non-current"</f>
        <v>Provisions - non-current</v>
      </c>
      <c r="B46" s="55"/>
      <c r="C46" s="76"/>
      <c r="D46" s="76"/>
      <c r="E46" s="77"/>
      <c r="F46" s="78"/>
      <c r="G46" s="76"/>
      <c r="H46" s="77"/>
      <c r="I46" s="75"/>
      <c r="J46" s="79"/>
      <c r="K46" s="1185"/>
      <c r="L46" s="77"/>
    </row>
    <row r="47" spans="1:12" ht="11.25" customHeight="1" x14ac:dyDescent="0.25">
      <c r="A47" s="63" t="s">
        <v>1189</v>
      </c>
      <c r="B47" s="55"/>
      <c r="C47" s="1316"/>
      <c r="D47" s="1316">
        <v>44893455</v>
      </c>
      <c r="E47" s="1325">
        <v>46172111</v>
      </c>
      <c r="F47" s="1326">
        <v>47509767</v>
      </c>
      <c r="G47" s="1316">
        <v>47509767</v>
      </c>
      <c r="H47" s="1325">
        <v>47509767</v>
      </c>
      <c r="I47" s="1327">
        <v>47509767</v>
      </c>
      <c r="J47" s="1318">
        <v>49509767</v>
      </c>
      <c r="K47" s="1320">
        <v>51509767</v>
      </c>
      <c r="L47" s="1325">
        <f>K47*1.06</f>
        <v>54600353.020000003</v>
      </c>
    </row>
    <row r="48" spans="1:12" ht="11.25" customHeight="1" x14ac:dyDescent="0.25">
      <c r="A48" s="188" t="s">
        <v>1191</v>
      </c>
      <c r="B48" s="55"/>
      <c r="C48" s="76"/>
      <c r="D48" s="76"/>
      <c r="E48" s="77"/>
      <c r="F48" s="78"/>
      <c r="G48" s="76"/>
      <c r="H48" s="77"/>
      <c r="I48" s="75"/>
      <c r="J48" s="79"/>
      <c r="K48" s="1185"/>
      <c r="L48" s="77"/>
    </row>
    <row r="49" spans="1:12" ht="11.25" customHeight="1" x14ac:dyDescent="0.25">
      <c r="A49" s="1629" t="s">
        <v>234</v>
      </c>
      <c r="B49" s="55"/>
      <c r="C49" s="1316"/>
      <c r="D49" s="1316">
        <v>13903886</v>
      </c>
      <c r="E49" s="1325">
        <v>21652000</v>
      </c>
      <c r="F49" s="1326">
        <v>14900000</v>
      </c>
      <c r="G49" s="1316">
        <v>14900000</v>
      </c>
      <c r="H49" s="1325">
        <v>14900000</v>
      </c>
      <c r="I49" s="1327">
        <v>14900000</v>
      </c>
      <c r="J49" s="1318">
        <v>14900000</v>
      </c>
      <c r="K49" s="1320">
        <v>14900000</v>
      </c>
      <c r="L49" s="1325">
        <v>14900000</v>
      </c>
    </row>
    <row r="50" spans="1:12" ht="11.25" customHeight="1" x14ac:dyDescent="0.25">
      <c r="A50" s="1629" t="s">
        <v>246</v>
      </c>
      <c r="B50" s="55"/>
      <c r="C50" s="1316"/>
      <c r="D50" s="1316"/>
      <c r="E50" s="1325"/>
      <c r="F50" s="1326"/>
      <c r="G50" s="1316"/>
      <c r="H50" s="1325"/>
      <c r="I50" s="1327"/>
      <c r="J50" s="1348"/>
      <c r="K50" s="1320"/>
      <c r="L50" s="1325"/>
    </row>
    <row r="51" spans="1:12" ht="11.25" customHeight="1" x14ac:dyDescent="0.25">
      <c r="A51" s="118" t="str">
        <f>"Total "&amp;A46</f>
        <v>Total Provisions - non-current</v>
      </c>
      <c r="B51" s="55"/>
      <c r="C51" s="81">
        <f t="shared" ref="C51:L51" si="7">SUM(C47:C50)</f>
        <v>0</v>
      </c>
      <c r="D51" s="81">
        <f t="shared" si="7"/>
        <v>58797341</v>
      </c>
      <c r="E51" s="82">
        <f t="shared" si="7"/>
        <v>67824111</v>
      </c>
      <c r="F51" s="83">
        <f t="shared" si="7"/>
        <v>62409767</v>
      </c>
      <c r="G51" s="81">
        <f t="shared" si="7"/>
        <v>62409767</v>
      </c>
      <c r="H51" s="82">
        <f t="shared" si="7"/>
        <v>62409767</v>
      </c>
      <c r="I51" s="80">
        <f t="shared" si="7"/>
        <v>62409767</v>
      </c>
      <c r="J51" s="84">
        <f t="shared" si="7"/>
        <v>64409767</v>
      </c>
      <c r="K51" s="81">
        <f t="shared" si="7"/>
        <v>66409767</v>
      </c>
      <c r="L51" s="82">
        <f t="shared" si="7"/>
        <v>69500353.020000011</v>
      </c>
    </row>
    <row r="52" spans="1:12" ht="4.9000000000000004" customHeight="1" x14ac:dyDescent="0.25">
      <c r="A52" s="74"/>
      <c r="B52" s="55"/>
      <c r="C52" s="76"/>
      <c r="D52" s="76"/>
      <c r="E52" s="77"/>
      <c r="F52" s="78"/>
      <c r="G52" s="76"/>
      <c r="H52" s="77"/>
      <c r="I52" s="75"/>
      <c r="J52" s="79"/>
      <c r="K52" s="76"/>
      <c r="L52" s="77"/>
    </row>
    <row r="53" spans="1:12" ht="15.75" customHeight="1" x14ac:dyDescent="0.25">
      <c r="A53" s="213" t="s">
        <v>939</v>
      </c>
      <c r="B53" s="214"/>
      <c r="C53" s="185"/>
      <c r="D53" s="185"/>
      <c r="E53" s="186"/>
      <c r="F53" s="215"/>
      <c r="G53" s="185"/>
      <c r="H53" s="186"/>
      <c r="I53" s="216"/>
      <c r="J53" s="217"/>
      <c r="K53" s="185"/>
      <c r="L53" s="186"/>
    </row>
    <row r="54" spans="1:12" ht="11.25" customHeight="1" x14ac:dyDescent="0.25">
      <c r="A54" s="54" t="str">
        <f>'A6-FinPos'!A45</f>
        <v>Accumulated Surplus/(Deficit)</v>
      </c>
      <c r="B54" s="55"/>
      <c r="C54" s="76"/>
      <c r="D54" s="76"/>
      <c r="E54" s="77"/>
      <c r="F54" s="78"/>
      <c r="G54" s="76"/>
      <c r="H54" s="77"/>
      <c r="I54" s="75"/>
      <c r="J54" s="79"/>
      <c r="K54" s="76"/>
      <c r="L54" s="77"/>
    </row>
    <row r="55" spans="1:12" ht="11.25" customHeight="1" x14ac:dyDescent="0.25">
      <c r="A55" s="63" t="str">
        <f>A54&amp;" - opening balance"</f>
        <v>Accumulated Surplus/(Deficit) - opening balance</v>
      </c>
      <c r="B55" s="55"/>
      <c r="C55" s="1316"/>
      <c r="D55" s="1316"/>
      <c r="E55" s="1325"/>
      <c r="F55" s="1326">
        <v>1083295510.2682085</v>
      </c>
      <c r="G55" s="1316">
        <v>1081455842.2682085</v>
      </c>
      <c r="H55" s="1325">
        <v>1081455842.2682085</v>
      </c>
      <c r="I55" s="1327">
        <v>1081455842.2682085</v>
      </c>
      <c r="J55" s="1318">
        <f>I63</f>
        <v>1073900124.1731169</v>
      </c>
      <c r="K55" s="1316">
        <f>J63</f>
        <v>1074452596.577317</v>
      </c>
      <c r="L55" s="1325">
        <f>K63</f>
        <v>1075038217.3257689</v>
      </c>
    </row>
    <row r="56" spans="1:12" ht="11.25" customHeight="1" x14ac:dyDescent="0.25">
      <c r="A56" s="63" t="s">
        <v>1497</v>
      </c>
      <c r="B56" s="55"/>
      <c r="C56" s="1316"/>
      <c r="D56" s="1316"/>
      <c r="E56" s="1325"/>
      <c r="F56" s="1326"/>
      <c r="G56" s="1316"/>
      <c r="H56" s="1325"/>
      <c r="I56" s="1327"/>
      <c r="J56" s="1318"/>
      <c r="K56" s="1316"/>
      <c r="L56" s="1325"/>
    </row>
    <row r="57" spans="1:12" ht="11.25" customHeight="1" x14ac:dyDescent="0.25">
      <c r="A57" s="63" t="s">
        <v>1499</v>
      </c>
      <c r="B57" s="55"/>
      <c r="C57" s="76">
        <f>SUM(C55:C56)</f>
        <v>0</v>
      </c>
      <c r="D57" s="76">
        <f>SUM(D55:D56)</f>
        <v>0</v>
      </c>
      <c r="E57" s="77">
        <f>SUM(E55:E56)</f>
        <v>0</v>
      </c>
      <c r="F57" s="78">
        <f t="shared" ref="F57:L57" si="8">SUM(F55:F56)</f>
        <v>1083295510.2682085</v>
      </c>
      <c r="G57" s="76">
        <f t="shared" si="8"/>
        <v>1081455842.2682085</v>
      </c>
      <c r="H57" s="77">
        <f t="shared" si="8"/>
        <v>1081455842.2682085</v>
      </c>
      <c r="I57" s="75">
        <f t="shared" si="8"/>
        <v>1081455842.2682085</v>
      </c>
      <c r="J57" s="79">
        <f t="shared" si="8"/>
        <v>1073900124.1731169</v>
      </c>
      <c r="K57" s="76">
        <f t="shared" si="8"/>
        <v>1074452596.577317</v>
      </c>
      <c r="L57" s="77">
        <f t="shared" si="8"/>
        <v>1075038217.3257689</v>
      </c>
    </row>
    <row r="58" spans="1:12" ht="11.25" customHeight="1" x14ac:dyDescent="0.25">
      <c r="A58" s="63" t="str">
        <f>'A4-FinPerf RE'!A37</f>
        <v>Surplus/(Deficit)</v>
      </c>
      <c r="B58" s="55"/>
      <c r="C58" s="76">
        <f>'A4-FinPerf RE'!C45</f>
        <v>0</v>
      </c>
      <c r="D58" s="76">
        <f>'A4-FinPerf RE'!D45</f>
        <v>-43726874</v>
      </c>
      <c r="E58" s="77">
        <f>'A4-FinPerf RE'!E45</f>
        <v>-43253831</v>
      </c>
      <c r="F58" s="78">
        <f>'A4-FinPerf RE'!F45</f>
        <v>-23732193.323091567</v>
      </c>
      <c r="G58" s="76">
        <f>'A4-FinPerf RE'!G45</f>
        <v>-7555718.0950916409</v>
      </c>
      <c r="H58" s="77">
        <f>'A4-FinPerf RE'!H45</f>
        <v>-7555718.0950916409</v>
      </c>
      <c r="I58" s="75">
        <f>'A4-FinPerf RE'!I45</f>
        <v>-7555718.0950916409</v>
      </c>
      <c r="J58" s="79">
        <f>'A4-FinPerf RE'!J45</f>
        <v>552472.40420001745</v>
      </c>
      <c r="K58" s="76">
        <f>'A4-FinPerf RE'!K45</f>
        <v>585620.74845206738</v>
      </c>
      <c r="L58" s="77">
        <f>'A4-FinPerf RE'!L45</f>
        <v>620757.99335920066</v>
      </c>
    </row>
    <row r="59" spans="1:12" ht="11.25" customHeight="1" x14ac:dyDescent="0.25">
      <c r="A59" s="63" t="s">
        <v>1495</v>
      </c>
      <c r="B59" s="55"/>
      <c r="C59" s="1316"/>
      <c r="D59" s="1316"/>
      <c r="E59" s="1325"/>
      <c r="F59" s="1326"/>
      <c r="G59" s="1316"/>
      <c r="H59" s="1325"/>
      <c r="I59" s="1327"/>
      <c r="J59" s="1318"/>
      <c r="K59" s="1316"/>
      <c r="L59" s="1325"/>
    </row>
    <row r="60" spans="1:12" ht="11.25" customHeight="1" x14ac:dyDescent="0.25">
      <c r="A60" s="63" t="s">
        <v>1496</v>
      </c>
      <c r="B60" s="55"/>
      <c r="C60" s="1316"/>
      <c r="D60" s="1316"/>
      <c r="E60" s="1325"/>
      <c r="F60" s="1326"/>
      <c r="G60" s="1316"/>
      <c r="H60" s="1325"/>
      <c r="I60" s="1327"/>
      <c r="J60" s="1318"/>
      <c r="K60" s="1316"/>
      <c r="L60" s="1325"/>
    </row>
    <row r="61" spans="1:12" ht="11.25" customHeight="1" x14ac:dyDescent="0.25">
      <c r="A61" s="63" t="s">
        <v>1182</v>
      </c>
      <c r="B61" s="55"/>
      <c r="C61" s="1316"/>
      <c r="D61" s="1316"/>
      <c r="E61" s="1325"/>
      <c r="F61" s="1326"/>
      <c r="G61" s="1316"/>
      <c r="H61" s="1325"/>
      <c r="I61" s="1327"/>
      <c r="J61" s="1318"/>
      <c r="K61" s="1316"/>
      <c r="L61" s="1325"/>
    </row>
    <row r="62" spans="1:12" ht="11.25" customHeight="1" x14ac:dyDescent="0.25">
      <c r="A62" s="63" t="s">
        <v>1498</v>
      </c>
      <c r="B62" s="55"/>
      <c r="C62" s="1316"/>
      <c r="D62" s="1316"/>
      <c r="E62" s="1325"/>
      <c r="F62" s="1326"/>
      <c r="G62" s="1316"/>
      <c r="H62" s="1325"/>
      <c r="I62" s="1327"/>
      <c r="J62" s="1318"/>
      <c r="K62" s="1316"/>
      <c r="L62" s="1325"/>
    </row>
    <row r="63" spans="1:12" ht="11.25" customHeight="1" x14ac:dyDescent="0.25">
      <c r="A63" s="743" t="s">
        <v>364</v>
      </c>
      <c r="B63" s="55">
        <v>1</v>
      </c>
      <c r="C63" s="81">
        <f>SUM(C57:C62)</f>
        <v>0</v>
      </c>
      <c r="D63" s="81">
        <f>SUM(D57:D62)</f>
        <v>-43726874</v>
      </c>
      <c r="E63" s="82">
        <f t="shared" ref="E63:L63" si="9">SUM(E57:E62)</f>
        <v>-43253831</v>
      </c>
      <c r="F63" s="83">
        <f t="shared" si="9"/>
        <v>1059563316.945117</v>
      </c>
      <c r="G63" s="81">
        <f t="shared" si="9"/>
        <v>1073900124.1731169</v>
      </c>
      <c r="H63" s="82">
        <f t="shared" si="9"/>
        <v>1073900124.1731169</v>
      </c>
      <c r="I63" s="80">
        <f t="shared" si="9"/>
        <v>1073900124.1731169</v>
      </c>
      <c r="J63" s="84">
        <f t="shared" si="9"/>
        <v>1074452596.577317</v>
      </c>
      <c r="K63" s="81">
        <f t="shared" si="9"/>
        <v>1075038217.3257689</v>
      </c>
      <c r="L63" s="82">
        <f t="shared" si="9"/>
        <v>1075658975.319128</v>
      </c>
    </row>
    <row r="64" spans="1:12" ht="11.25" customHeight="1" x14ac:dyDescent="0.25">
      <c r="A64" s="54" t="s">
        <v>647</v>
      </c>
      <c r="B64" s="138"/>
      <c r="C64" s="76"/>
      <c r="D64" s="76"/>
      <c r="E64" s="77"/>
      <c r="F64" s="78"/>
      <c r="G64" s="76"/>
      <c r="H64" s="77"/>
      <c r="I64" s="75"/>
      <c r="J64" s="79"/>
      <c r="K64" s="76"/>
      <c r="L64" s="77"/>
    </row>
    <row r="65" spans="1:12" ht="11.25" customHeight="1" x14ac:dyDescent="0.25">
      <c r="A65" s="63" t="s">
        <v>86</v>
      </c>
      <c r="B65" s="55"/>
      <c r="C65" s="1316"/>
      <c r="D65" s="1316"/>
      <c r="E65" s="1325"/>
      <c r="F65" s="1326">
        <v>2533058</v>
      </c>
      <c r="G65" s="1316">
        <v>0</v>
      </c>
      <c r="H65" s="1325">
        <v>0</v>
      </c>
      <c r="I65" s="1327">
        <v>0</v>
      </c>
      <c r="J65" s="1318">
        <v>0</v>
      </c>
      <c r="K65" s="1316">
        <v>0</v>
      </c>
      <c r="L65" s="1325">
        <v>0</v>
      </c>
    </row>
    <row r="66" spans="1:12" ht="11.25" customHeight="1" x14ac:dyDescent="0.25">
      <c r="A66" s="63" t="s">
        <v>1338</v>
      </c>
      <c r="B66" s="55"/>
      <c r="C66" s="1316"/>
      <c r="D66" s="1316"/>
      <c r="E66" s="1325"/>
      <c r="F66" s="1326">
        <v>5000000</v>
      </c>
      <c r="G66" s="1316">
        <v>0</v>
      </c>
      <c r="H66" s="1325">
        <v>0</v>
      </c>
      <c r="I66" s="1327">
        <v>0</v>
      </c>
      <c r="J66" s="1318">
        <v>0</v>
      </c>
      <c r="K66" s="1316">
        <v>0</v>
      </c>
      <c r="L66" s="1325">
        <v>0</v>
      </c>
    </row>
    <row r="67" spans="1:12" ht="11.25" customHeight="1" x14ac:dyDescent="0.25">
      <c r="A67" s="63" t="s">
        <v>1339</v>
      </c>
      <c r="B67" s="55"/>
      <c r="C67" s="1316"/>
      <c r="D67" s="1316"/>
      <c r="E67" s="1325"/>
      <c r="F67" s="1326">
        <v>5509000</v>
      </c>
      <c r="G67" s="1316">
        <v>0</v>
      </c>
      <c r="H67" s="1325">
        <v>0</v>
      </c>
      <c r="I67" s="1327">
        <v>0</v>
      </c>
      <c r="J67" s="1318">
        <v>0</v>
      </c>
      <c r="K67" s="1316">
        <v>0</v>
      </c>
      <c r="L67" s="1325">
        <v>0</v>
      </c>
    </row>
    <row r="68" spans="1:12" ht="11.25" customHeight="1" x14ac:dyDescent="0.25">
      <c r="A68" s="1369" t="s">
        <v>1838</v>
      </c>
      <c r="B68" s="55"/>
      <c r="C68" s="1316"/>
      <c r="D68" s="1316"/>
      <c r="E68" s="1325"/>
      <c r="F68" s="1326"/>
      <c r="G68" s="1316"/>
      <c r="H68" s="1325"/>
      <c r="I68" s="1327"/>
      <c r="J68" s="1318"/>
      <c r="K68" s="1316"/>
      <c r="L68" s="1325"/>
    </row>
    <row r="69" spans="1:12" ht="11.25" customHeight="1" x14ac:dyDescent="0.25">
      <c r="A69" s="63" t="s">
        <v>1337</v>
      </c>
      <c r="B69" s="55"/>
      <c r="C69" s="1316"/>
      <c r="D69" s="1316"/>
      <c r="E69" s="1325"/>
      <c r="F69" s="1326"/>
      <c r="G69" s="1316"/>
      <c r="H69" s="1325"/>
      <c r="I69" s="1327"/>
      <c r="J69" s="1318"/>
      <c r="K69" s="1316"/>
      <c r="L69" s="1325"/>
    </row>
    <row r="70" spans="1:12" ht="11.25" customHeight="1" x14ac:dyDescent="0.25">
      <c r="A70" s="118" t="s">
        <v>953</v>
      </c>
      <c r="B70" s="55">
        <v>2</v>
      </c>
      <c r="C70" s="81">
        <f t="shared" ref="C70:L70" si="10">SUM(C65:C69)</f>
        <v>0</v>
      </c>
      <c r="D70" s="81">
        <f t="shared" si="10"/>
        <v>0</v>
      </c>
      <c r="E70" s="82">
        <f t="shared" si="10"/>
        <v>0</v>
      </c>
      <c r="F70" s="83">
        <f t="shared" si="10"/>
        <v>13042058</v>
      </c>
      <c r="G70" s="81">
        <f t="shared" si="10"/>
        <v>0</v>
      </c>
      <c r="H70" s="82">
        <f t="shared" si="10"/>
        <v>0</v>
      </c>
      <c r="I70" s="80">
        <f t="shared" si="10"/>
        <v>0</v>
      </c>
      <c r="J70" s="84">
        <f t="shared" si="10"/>
        <v>0</v>
      </c>
      <c r="K70" s="81">
        <f t="shared" si="10"/>
        <v>0</v>
      </c>
      <c r="L70" s="82">
        <f t="shared" si="10"/>
        <v>0</v>
      </c>
    </row>
    <row r="71" spans="1:12" x14ac:dyDescent="0.25">
      <c r="A71" s="92" t="str">
        <f>'A6-FinPos'!A48</f>
        <v>TOTAL COMMUNITY WEALTH/EQUITY</v>
      </c>
      <c r="B71" s="93">
        <v>2</v>
      </c>
      <c r="C71" s="95">
        <f t="shared" ref="C71:L71" si="11">C63+C70</f>
        <v>0</v>
      </c>
      <c r="D71" s="95">
        <f t="shared" si="11"/>
        <v>-43726874</v>
      </c>
      <c r="E71" s="96">
        <f t="shared" si="11"/>
        <v>-43253831</v>
      </c>
      <c r="F71" s="97">
        <f t="shared" si="11"/>
        <v>1072605374.945117</v>
      </c>
      <c r="G71" s="95">
        <f t="shared" si="11"/>
        <v>1073900124.1731169</v>
      </c>
      <c r="H71" s="96">
        <f t="shared" si="11"/>
        <v>1073900124.1731169</v>
      </c>
      <c r="I71" s="94">
        <f t="shared" si="11"/>
        <v>1073900124.1731169</v>
      </c>
      <c r="J71" s="98">
        <f t="shared" si="11"/>
        <v>1074452596.577317</v>
      </c>
      <c r="K71" s="95">
        <f t="shared" si="11"/>
        <v>1075038217.3257689</v>
      </c>
      <c r="L71" s="96">
        <f t="shared" si="11"/>
        <v>1075658975.319128</v>
      </c>
    </row>
    <row r="72" spans="1:12" ht="4.9000000000000004" customHeight="1" x14ac:dyDescent="0.25">
      <c r="A72" s="103"/>
      <c r="C72" s="104"/>
      <c r="D72" s="104"/>
      <c r="E72" s="104"/>
      <c r="F72" s="104"/>
      <c r="G72" s="104"/>
      <c r="H72" s="104"/>
      <c r="I72" s="104"/>
      <c r="J72" s="104"/>
      <c r="K72" s="104"/>
      <c r="L72" s="104"/>
    </row>
    <row r="73" spans="1:12" ht="13.5" x14ac:dyDescent="0.25">
      <c r="A73" s="23" t="s">
        <v>1192</v>
      </c>
      <c r="B73" s="23"/>
      <c r="C73" s="23"/>
      <c r="D73" s="23"/>
      <c r="E73" s="23"/>
      <c r="F73" s="23"/>
      <c r="G73" s="23"/>
      <c r="H73" s="23"/>
      <c r="I73" s="23"/>
      <c r="J73" s="23"/>
      <c r="K73" s="23"/>
      <c r="L73" s="23"/>
    </row>
    <row r="74" spans="1:12" x14ac:dyDescent="0.25">
      <c r="A74" s="227" t="s">
        <v>1302</v>
      </c>
      <c r="B74" s="228"/>
      <c r="C74" s="1373"/>
      <c r="D74" s="1373"/>
      <c r="E74" s="1374"/>
      <c r="F74" s="1375"/>
      <c r="G74" s="1373"/>
      <c r="H74" s="1374"/>
      <c r="I74" s="1376"/>
      <c r="J74" s="1377"/>
      <c r="K74" s="1373"/>
      <c r="L74" s="1374"/>
    </row>
    <row r="75" spans="1:12" x14ac:dyDescent="0.25">
      <c r="A75" s="1350"/>
      <c r="C75" s="1316"/>
      <c r="D75" s="1316"/>
      <c r="E75" s="1325"/>
      <c r="F75" s="1326"/>
      <c r="G75" s="1316"/>
      <c r="H75" s="1325"/>
      <c r="I75" s="1327"/>
      <c r="J75" s="1318"/>
      <c r="K75" s="1316"/>
      <c r="L75" s="1325"/>
    </row>
    <row r="76" spans="1:12" x14ac:dyDescent="0.25">
      <c r="A76" s="1372"/>
      <c r="B76" s="171"/>
      <c r="C76" s="1378"/>
      <c r="D76" s="1378"/>
      <c r="E76" s="1379"/>
      <c r="F76" s="1380"/>
      <c r="G76" s="1378"/>
      <c r="H76" s="1379"/>
      <c r="I76" s="1381"/>
      <c r="J76" s="1382"/>
      <c r="K76" s="1378"/>
      <c r="L76" s="1379"/>
    </row>
    <row r="77" spans="1:12" ht="11.25" customHeight="1" x14ac:dyDescent="0.25">
      <c r="A77" s="101" t="str">
        <f>head27a</f>
        <v>References</v>
      </c>
      <c r="C77" s="104"/>
      <c r="D77" s="104"/>
      <c r="E77" s="104"/>
      <c r="F77" s="104"/>
      <c r="G77" s="104"/>
      <c r="H77" s="104"/>
      <c r="I77" s="104"/>
      <c r="J77" s="104"/>
      <c r="K77" s="104"/>
      <c r="L77" s="104"/>
    </row>
    <row r="78" spans="1:12" ht="11.25" customHeight="1" x14ac:dyDescent="0.25">
      <c r="A78" s="132" t="str">
        <f>"1. Must reconcile with "&amp;'Template names'!F103</f>
        <v>1. Must reconcile with Table A4 Budgeted Financial Performance (revenue and expenditure)</v>
      </c>
      <c r="C78" s="103"/>
      <c r="D78" s="103"/>
      <c r="E78" s="104"/>
      <c r="F78" s="104"/>
      <c r="G78" s="104"/>
      <c r="H78" s="104"/>
      <c r="I78" s="104"/>
      <c r="J78" s="104"/>
      <c r="K78" s="104"/>
      <c r="L78" s="104"/>
    </row>
    <row r="79" spans="1:12" ht="11.25" customHeight="1" x14ac:dyDescent="0.25">
      <c r="A79" s="132" t="str">
        <f>"2. Must reconcile with "&amp;'Template names'!F105</f>
        <v>2. Must reconcile with Table A6 Budgeted Financial Position</v>
      </c>
      <c r="C79" s="103"/>
      <c r="D79" s="103"/>
      <c r="E79" s="104"/>
      <c r="F79" s="104"/>
      <c r="G79" s="104"/>
      <c r="H79" s="104"/>
      <c r="I79" s="104"/>
      <c r="J79" s="104"/>
      <c r="K79" s="104"/>
      <c r="L79" s="104"/>
    </row>
    <row r="80" spans="1:12" ht="11.25" customHeight="1" x14ac:dyDescent="0.25">
      <c r="A80" s="132" t="s">
        <v>919</v>
      </c>
      <c r="C80" s="103"/>
      <c r="D80" s="103"/>
      <c r="E80" s="104"/>
      <c r="F80" s="104"/>
      <c r="G80" s="104"/>
      <c r="H80" s="104"/>
      <c r="I80" s="104"/>
      <c r="J80" s="104"/>
      <c r="K80" s="104"/>
      <c r="L80" s="104"/>
    </row>
    <row r="81" spans="1:12" ht="11.25" customHeight="1" x14ac:dyDescent="0.25">
      <c r="A81" s="132" t="s">
        <v>668</v>
      </c>
    </row>
    <row r="82" spans="1:12" ht="11.25" customHeight="1" x14ac:dyDescent="0.25">
      <c r="A82" s="132" t="s">
        <v>2568</v>
      </c>
    </row>
    <row r="83" spans="1:12" ht="11.25" customHeight="1" x14ac:dyDescent="0.25">
      <c r="A83" s="108" t="s">
        <v>1354</v>
      </c>
      <c r="C83" s="75">
        <f>C71-'A6-FinPos'!C48</f>
        <v>0</v>
      </c>
      <c r="D83" s="75">
        <f>D71-'A6-FinPos'!D48</f>
        <v>-1101792859</v>
      </c>
      <c r="E83" s="75">
        <f>E71-'A6-FinPos'!E48</f>
        <v>-1058065985</v>
      </c>
      <c r="F83" s="75">
        <f>F71-'A6-FinPos'!F48</f>
        <v>-23732193.323091507</v>
      </c>
      <c r="G83" s="75">
        <f>G71-'A6-FinPos'!G48</f>
        <v>-7555718.0950915813</v>
      </c>
      <c r="H83" s="75">
        <f>H71-'A6-FinPos'!H48</f>
        <v>-7555718.0950915813</v>
      </c>
      <c r="I83" s="75">
        <f>I71-'A6-FinPos'!I48</f>
        <v>-7555718.0950915813</v>
      </c>
      <c r="J83" s="75">
        <f>J71-'A6-FinPos'!J48</f>
        <v>0</v>
      </c>
      <c r="K83" s="75">
        <f>K71-'A6-FinPos'!K48</f>
        <v>0</v>
      </c>
      <c r="L83" s="75">
        <f>L71-'A6-FinPos'!L48</f>
        <v>0</v>
      </c>
    </row>
    <row r="84" spans="1:12" ht="11.25" customHeight="1" x14ac:dyDescent="0.25">
      <c r="C84" s="148">
        <f>TREND(D84:H84)</f>
        <v>0</v>
      </c>
      <c r="D84" s="148">
        <f>TREND(E84:H84)</f>
        <v>0</v>
      </c>
      <c r="E84" s="148">
        <f>E74</f>
        <v>0</v>
      </c>
      <c r="F84" s="148">
        <f>H74</f>
        <v>0</v>
      </c>
      <c r="G84" s="148">
        <f>J74</f>
        <v>0</v>
      </c>
      <c r="H84" s="148">
        <f>K74</f>
        <v>0</v>
      </c>
      <c r="I84" s="148">
        <f>L74</f>
        <v>0</v>
      </c>
      <c r="J84" s="148"/>
      <c r="K84" s="148"/>
      <c r="L84" s="148"/>
    </row>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row r="93" spans="1:12" ht="11.25" customHeight="1" x14ac:dyDescent="0.25"/>
    <row r="94" spans="1:12" ht="11.25" customHeight="1" x14ac:dyDescent="0.25"/>
  </sheetData>
  <mergeCells count="4">
    <mergeCell ref="A2:A3"/>
    <mergeCell ref="B2:B3"/>
    <mergeCell ref="J2:L2"/>
    <mergeCell ref="F2:I2"/>
  </mergeCells>
  <phoneticPr fontId="3" type="noConversion"/>
  <dataValidations count="1">
    <dataValidation type="decimal" allowBlank="1" showInputMessage="1" showErrorMessage="1" sqref="C7:L8 C12:L13 C17:L19 C23:L25 C30:L31 C35:L38 C42:L43 C47:L47 C49:L50 C55:L56 C59:L62 C74:L76 C65:L69" xr:uid="{00000000-0002-0000-1600-000000000000}">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V28"/>
  <sheetViews>
    <sheetView showGridLines="0" zoomScaleNormal="100" workbookViewId="0">
      <pane xSplit="4" ySplit="3" topLeftCell="E4" activePane="bottomRight" state="frozen"/>
      <selection pane="topRight"/>
      <selection pane="bottomLeft"/>
      <selection pane="bottomRight" activeCell="A4" sqref="A4"/>
    </sheetView>
  </sheetViews>
  <sheetFormatPr defaultRowHeight="12.75" x14ac:dyDescent="0.25"/>
  <cols>
    <col min="1" max="2" width="18.7109375" style="25" customWidth="1"/>
    <col min="3" max="3" width="5" style="25" customWidth="1"/>
    <col min="4" max="4" width="3" style="102" customWidth="1"/>
    <col min="5" max="13" width="9.28515625" style="25" customWidth="1"/>
    <col min="14" max="14" width="32.7109375" style="25" bestFit="1" customWidth="1"/>
    <col min="15" max="15" width="1.42578125" style="25" customWidth="1"/>
    <col min="16" max="20" width="7.7109375" style="25" bestFit="1" customWidth="1"/>
    <col min="21" max="24" width="8.7109375" style="25" bestFit="1" customWidth="1"/>
    <col min="25" max="26" width="9.7109375" style="25" customWidth="1"/>
    <col min="27" max="16384" width="9.140625" style="25"/>
  </cols>
  <sheetData>
    <row r="1" spans="1:22" s="52" customFormat="1" x14ac:dyDescent="0.2">
      <c r="A1" s="23" t="str">
        <f>muni&amp;" - "&amp;TableA4</f>
        <v>EC101 Dr Beyers Naude - Supporting Table SA4 Reconciliation of IDP strategic objectives and budget (revenue)</v>
      </c>
      <c r="B1" s="23"/>
      <c r="C1" s="23"/>
      <c r="D1" s="23"/>
      <c r="E1" s="23"/>
      <c r="F1" s="23"/>
      <c r="G1" s="23"/>
      <c r="H1" s="23"/>
      <c r="I1" s="23"/>
      <c r="J1" s="23"/>
      <c r="K1" s="23"/>
      <c r="L1" s="23"/>
      <c r="M1" s="23"/>
    </row>
    <row r="2" spans="1:22" ht="28.5" customHeight="1" x14ac:dyDescent="0.25">
      <c r="A2" s="609" t="s">
        <v>852</v>
      </c>
      <c r="B2" s="613" t="s">
        <v>1193</v>
      </c>
      <c r="C2" s="399" t="s">
        <v>1830</v>
      </c>
      <c r="D2" s="1930" t="str">
        <f>head27</f>
        <v>Ref</v>
      </c>
      <c r="E2" s="21" t="str">
        <f>head1b</f>
        <v>2015/16</v>
      </c>
      <c r="F2" s="26" t="str">
        <f>head1A</f>
        <v>2016/17</v>
      </c>
      <c r="G2" s="22" t="str">
        <f>Head1</f>
        <v>2017/18</v>
      </c>
      <c r="H2" s="1907" t="str">
        <f>Head2</f>
        <v>Current Year 2018/19</v>
      </c>
      <c r="I2" s="1908"/>
      <c r="J2" s="1912"/>
      <c r="K2" s="1904" t="str">
        <f>Head3</f>
        <v>2019/20 Medium Term Revenue &amp; Expenditure Framework</v>
      </c>
      <c r="L2" s="1905"/>
      <c r="M2" s="1906"/>
    </row>
    <row r="3" spans="1:22" ht="25.5" x14ac:dyDescent="0.25">
      <c r="A3" s="620" t="s">
        <v>573</v>
      </c>
      <c r="B3" s="619"/>
      <c r="C3" s="619"/>
      <c r="D3" s="1931"/>
      <c r="E3" s="202" t="str">
        <f>Head5</f>
        <v>Audited Outcome</v>
      </c>
      <c r="F3" s="203" t="str">
        <f>Head5</f>
        <v>Audited Outcome</v>
      </c>
      <c r="G3" s="204" t="str">
        <f>Head5</f>
        <v>Audited Outcome</v>
      </c>
      <c r="H3" s="141" t="str">
        <f>Head6</f>
        <v>Original Budget</v>
      </c>
      <c r="I3" s="203" t="str">
        <f>Head7</f>
        <v>Adjusted Budget</v>
      </c>
      <c r="J3" s="204" t="str">
        <f>Head8</f>
        <v>Full Year Forecast</v>
      </c>
      <c r="K3" s="141" t="str">
        <f>Head9</f>
        <v>Budget Year 2019/20</v>
      </c>
      <c r="L3" s="203" t="str">
        <f>Head10</f>
        <v>Budget Year +1 2020/21</v>
      </c>
      <c r="M3" s="204" t="str">
        <f>Head11</f>
        <v>Budget Year +2 2021/22</v>
      </c>
    </row>
    <row r="4" spans="1:22" x14ac:dyDescent="0.25">
      <c r="A4" s="1383"/>
      <c r="B4" s="1384"/>
      <c r="C4" s="1384"/>
      <c r="D4" s="235"/>
      <c r="E4" s="1385"/>
      <c r="F4" s="1385"/>
      <c r="G4" s="1386"/>
      <c r="H4" s="1387"/>
      <c r="I4" s="1385"/>
      <c r="J4" s="1388"/>
      <c r="K4" s="1389"/>
      <c r="L4" s="1385"/>
      <c r="M4" s="1386"/>
      <c r="N4" s="109"/>
      <c r="O4" s="109"/>
      <c r="P4" s="109"/>
      <c r="Q4" s="109"/>
      <c r="R4" s="109"/>
      <c r="S4" s="109"/>
      <c r="T4" s="109"/>
      <c r="U4" s="109"/>
      <c r="V4" s="234"/>
    </row>
    <row r="5" spans="1:22" x14ac:dyDescent="0.25">
      <c r="A5" s="1383"/>
      <c r="B5" s="1384"/>
      <c r="C5" s="1384"/>
      <c r="D5" s="235"/>
      <c r="E5" s="1385"/>
      <c r="F5" s="1385"/>
      <c r="G5" s="1386"/>
      <c r="H5" s="1387"/>
      <c r="I5" s="1385"/>
      <c r="J5" s="1388"/>
      <c r="K5" s="1389"/>
      <c r="L5" s="1385"/>
      <c r="M5" s="1386"/>
      <c r="N5" s="109"/>
      <c r="O5" s="109"/>
      <c r="P5" s="109"/>
      <c r="Q5" s="109"/>
      <c r="R5" s="109"/>
      <c r="S5" s="109"/>
      <c r="T5" s="109"/>
      <c r="U5" s="109"/>
    </row>
    <row r="6" spans="1:22" x14ac:dyDescent="0.25">
      <c r="A6" s="1383"/>
      <c r="B6" s="1384"/>
      <c r="C6" s="1384"/>
      <c r="D6" s="235"/>
      <c r="E6" s="1385"/>
      <c r="F6" s="1385"/>
      <c r="G6" s="1386"/>
      <c r="H6" s="1387"/>
      <c r="I6" s="1385"/>
      <c r="J6" s="1388"/>
      <c r="K6" s="1389"/>
      <c r="L6" s="1385"/>
      <c r="M6" s="1386"/>
      <c r="N6" s="109"/>
      <c r="O6" s="109"/>
      <c r="P6" s="109"/>
      <c r="Q6" s="109"/>
      <c r="R6" s="109"/>
      <c r="S6" s="109"/>
      <c r="T6" s="109"/>
      <c r="U6" s="109"/>
    </row>
    <row r="7" spans="1:22" x14ac:dyDescent="0.25">
      <c r="A7" s="1383"/>
      <c r="B7" s="1384"/>
      <c r="C7" s="1384"/>
      <c r="D7" s="235"/>
      <c r="E7" s="1385"/>
      <c r="F7" s="1385"/>
      <c r="G7" s="1386"/>
      <c r="H7" s="1387"/>
      <c r="I7" s="1385"/>
      <c r="J7" s="1388"/>
      <c r="K7" s="1389"/>
      <c r="L7" s="1385"/>
      <c r="M7" s="1386"/>
      <c r="N7" s="109"/>
      <c r="O7" s="109"/>
      <c r="P7" s="109"/>
      <c r="Q7" s="109"/>
      <c r="R7" s="109"/>
      <c r="S7" s="109"/>
      <c r="T7" s="109"/>
      <c r="U7" s="109"/>
    </row>
    <row r="8" spans="1:22" x14ac:dyDescent="0.25">
      <c r="A8" s="1383"/>
      <c r="B8" s="1384"/>
      <c r="C8" s="1384"/>
      <c r="D8" s="235"/>
      <c r="E8" s="1385"/>
      <c r="F8" s="1385"/>
      <c r="G8" s="1386"/>
      <c r="H8" s="1387"/>
      <c r="I8" s="1385"/>
      <c r="J8" s="1388"/>
      <c r="K8" s="1389"/>
      <c r="L8" s="1385"/>
      <c r="M8" s="1386"/>
      <c r="N8" s="109"/>
      <c r="O8" s="109"/>
      <c r="P8" s="109"/>
      <c r="Q8" s="109"/>
      <c r="R8" s="109"/>
      <c r="S8" s="109"/>
      <c r="T8" s="109"/>
      <c r="U8" s="109"/>
    </row>
    <row r="9" spans="1:22" x14ac:dyDescent="0.25">
      <c r="A9" s="1383"/>
      <c r="B9" s="1384"/>
      <c r="C9" s="1384"/>
      <c r="D9" s="235"/>
      <c r="E9" s="1385"/>
      <c r="F9" s="1385"/>
      <c r="G9" s="1386"/>
      <c r="H9" s="1387"/>
      <c r="I9" s="1385"/>
      <c r="J9" s="1388"/>
      <c r="K9" s="1389"/>
      <c r="L9" s="1385"/>
      <c r="M9" s="1386"/>
      <c r="N9" s="109"/>
      <c r="O9" s="109"/>
      <c r="P9" s="109"/>
      <c r="Q9" s="109"/>
      <c r="R9" s="109"/>
      <c r="S9" s="109"/>
      <c r="T9" s="109"/>
      <c r="U9" s="109"/>
    </row>
    <row r="10" spans="1:22" x14ac:dyDescent="0.25">
      <c r="A10" s="1383"/>
      <c r="B10" s="1384"/>
      <c r="C10" s="1384"/>
      <c r="D10" s="235"/>
      <c r="E10" s="1385"/>
      <c r="F10" s="1385"/>
      <c r="G10" s="1386"/>
      <c r="H10" s="1387"/>
      <c r="I10" s="1385"/>
      <c r="J10" s="1388"/>
      <c r="K10" s="1389"/>
      <c r="L10" s="1385"/>
      <c r="M10" s="1386"/>
      <c r="N10" s="109"/>
      <c r="O10" s="109"/>
      <c r="P10" s="109"/>
      <c r="Q10" s="109"/>
      <c r="R10" s="109"/>
      <c r="S10" s="109"/>
      <c r="T10" s="109"/>
      <c r="U10" s="109"/>
    </row>
    <row r="11" spans="1:22" x14ac:dyDescent="0.25">
      <c r="A11" s="1383"/>
      <c r="B11" s="1384"/>
      <c r="C11" s="1384"/>
      <c r="D11" s="235"/>
      <c r="E11" s="1385"/>
      <c r="F11" s="1385"/>
      <c r="G11" s="1386"/>
      <c r="H11" s="1387"/>
      <c r="I11" s="1385"/>
      <c r="J11" s="1388"/>
      <c r="K11" s="1389"/>
      <c r="L11" s="1385"/>
      <c r="M11" s="1386"/>
      <c r="N11" s="109"/>
      <c r="O11" s="109"/>
      <c r="P11" s="109"/>
      <c r="Q11" s="109"/>
      <c r="R11" s="109"/>
      <c r="S11" s="109"/>
      <c r="T11" s="109"/>
      <c r="U11" s="109"/>
    </row>
    <row r="12" spans="1:22" x14ac:dyDescent="0.25">
      <c r="A12" s="1383"/>
      <c r="B12" s="1384"/>
      <c r="C12" s="1384"/>
      <c r="D12" s="235"/>
      <c r="E12" s="1385"/>
      <c r="F12" s="1385"/>
      <c r="G12" s="1386"/>
      <c r="H12" s="1387"/>
      <c r="I12" s="1385"/>
      <c r="J12" s="1388"/>
      <c r="K12" s="1389"/>
      <c r="L12" s="1385"/>
      <c r="M12" s="1386"/>
      <c r="N12" s="109"/>
      <c r="O12" s="109"/>
      <c r="P12" s="109"/>
      <c r="Q12" s="109"/>
      <c r="R12" s="109"/>
      <c r="S12" s="109"/>
      <c r="T12" s="109"/>
      <c r="U12" s="109"/>
    </row>
    <row r="13" spans="1:22" ht="53.25" customHeight="1" x14ac:dyDescent="0.25">
      <c r="A13" s="1383"/>
      <c r="B13" s="1384"/>
      <c r="C13" s="1384"/>
      <c r="D13" s="235"/>
      <c r="E13" s="1385"/>
      <c r="F13" s="1385"/>
      <c r="G13" s="1386"/>
      <c r="H13" s="1387"/>
      <c r="I13" s="1385"/>
      <c r="J13" s="1388"/>
      <c r="K13" s="1389"/>
      <c r="L13" s="1385"/>
      <c r="M13" s="1386"/>
      <c r="N13" s="109"/>
      <c r="O13" s="109"/>
      <c r="P13" s="109"/>
      <c r="Q13" s="109"/>
      <c r="R13" s="109"/>
      <c r="S13" s="109"/>
      <c r="T13" s="109"/>
      <c r="U13" s="109"/>
    </row>
    <row r="14" spans="1:22" x14ac:dyDescent="0.25">
      <c r="A14" s="1383"/>
      <c r="B14" s="1384"/>
      <c r="C14" s="1384"/>
      <c r="D14" s="235"/>
      <c r="E14" s="1385"/>
      <c r="F14" s="1385"/>
      <c r="G14" s="1386"/>
      <c r="H14" s="1387"/>
      <c r="I14" s="1385"/>
      <c r="J14" s="1388"/>
      <c r="K14" s="1389"/>
      <c r="L14" s="1385"/>
      <c r="M14" s="1386"/>
      <c r="N14" s="109"/>
      <c r="O14" s="109"/>
      <c r="P14" s="109"/>
      <c r="Q14" s="109"/>
      <c r="R14" s="109"/>
      <c r="S14" s="109"/>
      <c r="T14" s="109"/>
      <c r="U14" s="109"/>
    </row>
    <row r="15" spans="1:22" x14ac:dyDescent="0.25">
      <c r="A15" s="1383"/>
      <c r="B15" s="1384"/>
      <c r="C15" s="1384"/>
      <c r="D15" s="235"/>
      <c r="E15" s="1385"/>
      <c r="F15" s="1385"/>
      <c r="G15" s="1386"/>
      <c r="H15" s="1387"/>
      <c r="I15" s="1385"/>
      <c r="J15" s="1388"/>
      <c r="K15" s="1389"/>
      <c r="L15" s="1385"/>
      <c r="M15" s="1386"/>
      <c r="N15" s="109"/>
      <c r="O15" s="109"/>
      <c r="P15" s="109"/>
      <c r="Q15" s="109"/>
      <c r="R15" s="109"/>
      <c r="S15" s="109"/>
      <c r="T15" s="109"/>
      <c r="U15" s="109"/>
    </row>
    <row r="16" spans="1:22" x14ac:dyDescent="0.25">
      <c r="A16" s="1383"/>
      <c r="B16" s="1384"/>
      <c r="C16" s="1384"/>
      <c r="D16" s="235"/>
      <c r="E16" s="1385"/>
      <c r="F16" s="1385"/>
      <c r="G16" s="1386"/>
      <c r="H16" s="1387"/>
      <c r="I16" s="1385"/>
      <c r="J16" s="1388"/>
      <c r="K16" s="1389"/>
      <c r="L16" s="1385"/>
      <c r="M16" s="1386"/>
      <c r="N16" s="109"/>
      <c r="O16" s="109"/>
      <c r="P16" s="109"/>
      <c r="Q16" s="109"/>
      <c r="R16" s="109"/>
      <c r="S16" s="109"/>
      <c r="T16" s="109"/>
      <c r="U16" s="109"/>
    </row>
    <row r="17" spans="1:21" x14ac:dyDescent="0.25">
      <c r="A17" s="1383"/>
      <c r="B17" s="1384"/>
      <c r="C17" s="1384"/>
      <c r="D17" s="235"/>
      <c r="E17" s="1385"/>
      <c r="F17" s="1385"/>
      <c r="G17" s="1386"/>
      <c r="H17" s="1387"/>
      <c r="I17" s="1385"/>
      <c r="J17" s="1388"/>
      <c r="K17" s="1389"/>
      <c r="L17" s="1385"/>
      <c r="M17" s="1386"/>
      <c r="N17" s="109"/>
      <c r="O17" s="109"/>
      <c r="P17" s="109"/>
      <c r="Q17" s="109"/>
      <c r="R17" s="109"/>
      <c r="S17" s="109"/>
      <c r="T17" s="109"/>
      <c r="U17" s="109"/>
    </row>
    <row r="18" spans="1:21" x14ac:dyDescent="0.25">
      <c r="A18" s="1383"/>
      <c r="B18" s="1384"/>
      <c r="C18" s="1384"/>
      <c r="D18" s="235"/>
      <c r="E18" s="1385"/>
      <c r="F18" s="1385"/>
      <c r="G18" s="1386"/>
      <c r="H18" s="1387"/>
      <c r="I18" s="1385"/>
      <c r="J18" s="1388"/>
      <c r="K18" s="1389"/>
      <c r="L18" s="1385"/>
      <c r="M18" s="1386"/>
      <c r="N18" s="109"/>
      <c r="O18" s="109"/>
      <c r="P18" s="109"/>
      <c r="Q18" s="109"/>
      <c r="R18" s="109"/>
      <c r="S18" s="109"/>
      <c r="T18" s="109"/>
      <c r="U18" s="109"/>
    </row>
    <row r="19" spans="1:21" x14ac:dyDescent="0.25">
      <c r="A19" s="1383"/>
      <c r="B19" s="1384"/>
      <c r="C19" s="1384"/>
      <c r="D19" s="235"/>
      <c r="E19" s="1385"/>
      <c r="F19" s="1385"/>
      <c r="G19" s="1386"/>
      <c r="H19" s="1387"/>
      <c r="I19" s="1385"/>
      <c r="J19" s="1388"/>
      <c r="K19" s="1389"/>
      <c r="L19" s="1385"/>
      <c r="M19" s="1386"/>
      <c r="N19" s="109"/>
      <c r="O19" s="109"/>
      <c r="P19" s="109"/>
      <c r="Q19" s="109"/>
      <c r="R19" s="109"/>
      <c r="S19" s="109"/>
      <c r="T19" s="109"/>
      <c r="U19" s="109"/>
    </row>
    <row r="20" spans="1:21" x14ac:dyDescent="0.25">
      <c r="A20" s="1383"/>
      <c r="B20" s="1384"/>
      <c r="C20" s="1384"/>
      <c r="D20" s="235"/>
      <c r="E20" s="1385"/>
      <c r="F20" s="1385"/>
      <c r="G20" s="1386"/>
      <c r="H20" s="1387"/>
      <c r="I20" s="1385"/>
      <c r="J20" s="1388"/>
      <c r="K20" s="1389"/>
      <c r="L20" s="1385"/>
      <c r="M20" s="1386"/>
      <c r="N20" s="109"/>
      <c r="O20" s="109"/>
      <c r="P20" s="109"/>
      <c r="Q20" s="109"/>
      <c r="R20" s="109"/>
      <c r="S20" s="109"/>
      <c r="T20" s="109"/>
      <c r="U20" s="109"/>
    </row>
    <row r="21" spans="1:21" x14ac:dyDescent="0.25">
      <c r="A21" s="1117" t="s">
        <v>1835</v>
      </c>
      <c r="B21" s="1118"/>
      <c r="C21" s="1119"/>
      <c r="D21" s="235">
        <v>2</v>
      </c>
      <c r="E21" s="1390"/>
      <c r="F21" s="1390"/>
      <c r="G21" s="1391"/>
      <c r="H21" s="1392"/>
      <c r="I21" s="1390"/>
      <c r="J21" s="1393"/>
      <c r="K21" s="1394"/>
      <c r="L21" s="1390"/>
      <c r="M21" s="1391"/>
      <c r="N21" s="109"/>
      <c r="O21" s="109"/>
      <c r="P21" s="109"/>
      <c r="Q21" s="109"/>
      <c r="R21" s="109"/>
      <c r="S21" s="109"/>
      <c r="T21" s="109"/>
      <c r="U21" s="109"/>
    </row>
    <row r="22" spans="1:21" ht="12.75" customHeight="1" x14ac:dyDescent="0.25">
      <c r="A22" s="178" t="str">
        <f>'A4-FinPerf RE'!A21</f>
        <v>Total Revenue (excluding capital transfers and contributions)</v>
      </c>
      <c r="B22" s="236"/>
      <c r="C22" s="236"/>
      <c r="D22" s="179">
        <v>1</v>
      </c>
      <c r="E22" s="95">
        <f t="shared" ref="E22:M22" si="0">SUM(E4:E21)</f>
        <v>0</v>
      </c>
      <c r="F22" s="95">
        <f t="shared" si="0"/>
        <v>0</v>
      </c>
      <c r="G22" s="96">
        <f t="shared" si="0"/>
        <v>0</v>
      </c>
      <c r="H22" s="97">
        <f t="shared" si="0"/>
        <v>0</v>
      </c>
      <c r="I22" s="95">
        <f t="shared" si="0"/>
        <v>0</v>
      </c>
      <c r="J22" s="94">
        <f t="shared" si="0"/>
        <v>0</v>
      </c>
      <c r="K22" s="98">
        <f t="shared" si="0"/>
        <v>0</v>
      </c>
      <c r="L22" s="95">
        <f t="shared" si="0"/>
        <v>0</v>
      </c>
      <c r="M22" s="96">
        <f t="shared" si="0"/>
        <v>0</v>
      </c>
    </row>
    <row r="23" spans="1:21" s="464" customFormat="1" x14ac:dyDescent="0.25">
      <c r="A23" s="101" t="str">
        <f>head27a</f>
        <v>References</v>
      </c>
      <c r="B23" s="648"/>
      <c r="C23" s="648"/>
      <c r="D23" s="645"/>
      <c r="E23" s="647"/>
      <c r="F23" s="647"/>
      <c r="G23" s="647"/>
      <c r="H23" s="647"/>
      <c r="I23" s="647"/>
      <c r="J23" s="647"/>
      <c r="K23" s="647"/>
      <c r="L23" s="647"/>
      <c r="M23" s="647"/>
    </row>
    <row r="24" spans="1:21" s="464" customFormat="1" x14ac:dyDescent="0.25">
      <c r="A24" s="132" t="str">
        <f>"1. Total revenue must reconcile to "&amp;'Template names'!F103</f>
        <v>1. Total revenue must reconcile to Table A4 Budgeted Financial Performance (revenue and expenditure)</v>
      </c>
      <c r="D24" s="645"/>
      <c r="E24" s="647"/>
      <c r="F24" s="648"/>
      <c r="G24" s="647"/>
      <c r="H24" s="647"/>
      <c r="I24" s="647"/>
      <c r="J24" s="647"/>
      <c r="K24" s="647"/>
      <c r="L24" s="647"/>
      <c r="M24" s="647"/>
    </row>
    <row r="25" spans="1:21" x14ac:dyDescent="0.25">
      <c r="A25" s="25" t="s">
        <v>1836</v>
      </c>
    </row>
    <row r="26" spans="1:21" x14ac:dyDescent="0.25">
      <c r="A26" s="133" t="s">
        <v>855</v>
      </c>
      <c r="E26" s="75">
        <f>E22-'A4-FinPerf RE'!C59</f>
        <v>0</v>
      </c>
      <c r="F26" s="75">
        <f>F22-'A4-FinPerf RE'!D59</f>
        <v>-330440712</v>
      </c>
      <c r="G26" s="113">
        <f>G22-'A4-FinPerf RE'!E59</f>
        <v>-376263458</v>
      </c>
      <c r="H26" s="113">
        <f>H22-'A4-FinPerf RE'!F59</f>
        <v>-342318905.34000003</v>
      </c>
      <c r="I26" s="113">
        <f>I22-'A4-FinPerf RE'!G59</f>
        <v>-373756259.50999999</v>
      </c>
      <c r="J26" s="113">
        <f>J22-'A4-FinPerf RE'!H59</f>
        <v>-373756259.50999999</v>
      </c>
      <c r="K26" s="113">
        <f>K22-'A4-FinPerf RE'!J59</f>
        <v>-393212328.03399998</v>
      </c>
      <c r="L26" s="113">
        <f>L22-'A4-FinPerf RE'!K59</f>
        <v>-416805067.71604002</v>
      </c>
      <c r="M26" s="113">
        <f>M22-'A4-FinPerf RE'!L59</f>
        <v>-441813371.77900249</v>
      </c>
    </row>
    <row r="27" spans="1:21" x14ac:dyDescent="0.25">
      <c r="E27" s="241"/>
    </row>
    <row r="28" spans="1:21" x14ac:dyDescent="0.25">
      <c r="E28" s="241"/>
    </row>
  </sheetData>
  <mergeCells count="3">
    <mergeCell ref="H2:J2"/>
    <mergeCell ref="K2:M2"/>
    <mergeCell ref="D2:D3"/>
  </mergeCells>
  <phoneticPr fontId="3" type="noConversion"/>
  <printOptions horizontalCentered="1"/>
  <pageMargins left="0" right="0" top="0.78740157480314965" bottom="0.59055118110236227" header="0.51181102362204722" footer="0.39370078740157483"/>
  <pageSetup paperSize="9" scale="7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Y29"/>
  <sheetViews>
    <sheetView showGridLines="0" zoomScaleNormal="100" workbookViewId="0">
      <pane xSplit="4" ySplit="3" topLeftCell="E16" activePane="bottomRight" state="frozen"/>
      <selection pane="topRight"/>
      <selection pane="bottomLeft"/>
      <selection pane="bottomRight"/>
    </sheetView>
  </sheetViews>
  <sheetFormatPr defaultRowHeight="12.75" x14ac:dyDescent="0.25"/>
  <cols>
    <col min="1" max="2" width="18.7109375" style="25" customWidth="1"/>
    <col min="3" max="3" width="5.28515625" style="25" customWidth="1"/>
    <col min="4" max="4" width="3" style="102" customWidth="1"/>
    <col min="5" max="13" width="9.28515625" style="25" customWidth="1"/>
    <col min="14" max="14" width="32.7109375" style="25" bestFit="1" customWidth="1"/>
    <col min="15" max="15" width="1.42578125" style="25" customWidth="1"/>
    <col min="16" max="17" width="8" style="25" bestFit="1" customWidth="1"/>
    <col min="18" max="18" width="8.42578125" style="25" bestFit="1" customWidth="1"/>
    <col min="19" max="20" width="8" style="25" bestFit="1" customWidth="1"/>
    <col min="21" max="24" width="8.7109375" style="25" bestFit="1" customWidth="1"/>
    <col min="25" max="26" width="9.7109375" style="25" customWidth="1"/>
    <col min="27" max="16384" width="9.140625" style="25"/>
  </cols>
  <sheetData>
    <row r="1" spans="1:25" ht="13.5" x14ac:dyDescent="0.25">
      <c r="A1" s="23" t="str">
        <f>muni&amp;" - "&amp;TableA5</f>
        <v>EC101 Dr Beyers Naude - Supporting Table SA5 Reconciliation of IDP strategic objectives and budget (operating expenditure)</v>
      </c>
      <c r="B1" s="23"/>
      <c r="C1" s="23"/>
      <c r="D1" s="23"/>
      <c r="E1" s="23"/>
      <c r="F1" s="23"/>
      <c r="G1" s="23"/>
      <c r="H1" s="23"/>
      <c r="I1" s="23"/>
      <c r="J1" s="23"/>
      <c r="K1" s="23"/>
      <c r="L1" s="23"/>
      <c r="M1" s="23"/>
    </row>
    <row r="2" spans="1:25" ht="28.5" customHeight="1" x14ac:dyDescent="0.25">
      <c r="A2" s="609" t="s">
        <v>852</v>
      </c>
      <c r="B2" s="613" t="s">
        <v>1193</v>
      </c>
      <c r="C2" s="399" t="s">
        <v>1830</v>
      </c>
      <c r="D2" s="1930" t="str">
        <f>head27</f>
        <v>Ref</v>
      </c>
      <c r="E2" s="21" t="str">
        <f>head1b</f>
        <v>2015/16</v>
      </c>
      <c r="F2" s="26" t="str">
        <f>head1A</f>
        <v>2016/17</v>
      </c>
      <c r="G2" s="22" t="str">
        <f>Head1</f>
        <v>2017/18</v>
      </c>
      <c r="H2" s="1907" t="str">
        <f>Head2</f>
        <v>Current Year 2018/19</v>
      </c>
      <c r="I2" s="1908"/>
      <c r="J2" s="1912"/>
      <c r="K2" s="1904" t="str">
        <f>Head3</f>
        <v>2019/20 Medium Term Revenue &amp; Expenditure Framework</v>
      </c>
      <c r="L2" s="1905"/>
      <c r="M2" s="1906"/>
    </row>
    <row r="3" spans="1:25" ht="25.5" x14ac:dyDescent="0.25">
      <c r="A3" s="620" t="s">
        <v>573</v>
      </c>
      <c r="B3" s="619"/>
      <c r="C3" s="619"/>
      <c r="D3" s="1931"/>
      <c r="E3" s="202" t="str">
        <f>Head5</f>
        <v>Audited Outcome</v>
      </c>
      <c r="F3" s="203" t="str">
        <f>Head5</f>
        <v>Audited Outcome</v>
      </c>
      <c r="G3" s="204" t="str">
        <f>Head5</f>
        <v>Audited Outcome</v>
      </c>
      <c r="H3" s="141" t="str">
        <f>Head6</f>
        <v>Original Budget</v>
      </c>
      <c r="I3" s="203" t="str">
        <f>Head7</f>
        <v>Adjusted Budget</v>
      </c>
      <c r="J3" s="204" t="str">
        <f>Head8</f>
        <v>Full Year Forecast</v>
      </c>
      <c r="K3" s="141" t="str">
        <f>Head9</f>
        <v>Budget Year 2019/20</v>
      </c>
      <c r="L3" s="203" t="str">
        <f>Head10</f>
        <v>Budget Year +1 2020/21</v>
      </c>
      <c r="M3" s="204" t="str">
        <f>Head11</f>
        <v>Budget Year +2 2021/22</v>
      </c>
    </row>
    <row r="4" spans="1:25" ht="42.75" customHeight="1" x14ac:dyDescent="0.25">
      <c r="A4" s="1383"/>
      <c r="B4" s="1384"/>
      <c r="C4" s="1384"/>
      <c r="D4" s="235"/>
      <c r="E4" s="1385"/>
      <c r="F4" s="1385"/>
      <c r="G4" s="1386"/>
      <c r="H4" s="1387"/>
      <c r="I4" s="1385"/>
      <c r="J4" s="1388"/>
      <c r="K4" s="1389"/>
      <c r="L4" s="1385"/>
      <c r="M4" s="1386"/>
      <c r="N4" s="238"/>
      <c r="O4" s="238"/>
      <c r="P4" s="113"/>
      <c r="Q4" s="113"/>
      <c r="R4" s="113"/>
      <c r="S4" s="113"/>
      <c r="T4" s="113"/>
      <c r="U4" s="113"/>
      <c r="V4" s="113"/>
      <c r="W4" s="113"/>
      <c r="X4" s="113"/>
      <c r="Y4" s="239"/>
    </row>
    <row r="5" spans="1:25" ht="42.75" customHeight="1" x14ac:dyDescent="0.25">
      <c r="A5" s="1383"/>
      <c r="B5" s="1384"/>
      <c r="C5" s="1384"/>
      <c r="D5" s="235"/>
      <c r="E5" s="1385"/>
      <c r="F5" s="1385"/>
      <c r="G5" s="1386"/>
      <c r="H5" s="1387"/>
      <c r="I5" s="1385"/>
      <c r="J5" s="1388"/>
      <c r="K5" s="1389"/>
      <c r="L5" s="1385"/>
      <c r="M5" s="1386"/>
      <c r="N5" s="234"/>
      <c r="O5" s="234"/>
      <c r="P5" s="113"/>
      <c r="Q5" s="113"/>
      <c r="R5" s="113"/>
      <c r="S5" s="113"/>
      <c r="T5" s="113"/>
      <c r="U5" s="113"/>
      <c r="V5" s="113"/>
      <c r="W5" s="113"/>
      <c r="X5" s="113"/>
    </row>
    <row r="6" spans="1:25" ht="42.75" customHeight="1" x14ac:dyDescent="0.25">
      <c r="A6" s="1383"/>
      <c r="B6" s="1384"/>
      <c r="C6" s="1384"/>
      <c r="D6" s="235"/>
      <c r="E6" s="1385"/>
      <c r="F6" s="1385"/>
      <c r="G6" s="1386"/>
      <c r="H6" s="1387"/>
      <c r="I6" s="1385"/>
      <c r="J6" s="1388"/>
      <c r="K6" s="1389"/>
      <c r="L6" s="1385"/>
      <c r="M6" s="1386"/>
      <c r="N6" s="234"/>
      <c r="O6" s="234"/>
      <c r="P6" s="113"/>
      <c r="Q6" s="113"/>
      <c r="R6" s="113"/>
      <c r="S6" s="113"/>
      <c r="T6" s="113"/>
      <c r="U6" s="113"/>
      <c r="V6" s="113"/>
      <c r="W6" s="113"/>
      <c r="X6" s="113"/>
    </row>
    <row r="7" spans="1:25" ht="42.75" customHeight="1" x14ac:dyDescent="0.25">
      <c r="A7" s="1383"/>
      <c r="B7" s="1384"/>
      <c r="C7" s="1384"/>
      <c r="D7" s="235"/>
      <c r="E7" s="1385"/>
      <c r="F7" s="1385"/>
      <c r="G7" s="1386"/>
      <c r="H7" s="1387"/>
      <c r="I7" s="1385"/>
      <c r="J7" s="1388"/>
      <c r="K7" s="1389"/>
      <c r="L7" s="1385"/>
      <c r="M7" s="1386"/>
      <c r="N7" s="109"/>
      <c r="O7" s="109"/>
      <c r="P7" s="113"/>
      <c r="Q7" s="113"/>
      <c r="R7" s="113"/>
      <c r="S7" s="113"/>
      <c r="T7" s="113"/>
      <c r="U7" s="113"/>
      <c r="V7" s="113"/>
      <c r="W7" s="113"/>
      <c r="X7" s="113"/>
    </row>
    <row r="8" spans="1:25" ht="42.75" customHeight="1" x14ac:dyDescent="0.25">
      <c r="A8" s="1383"/>
      <c r="B8" s="1384"/>
      <c r="C8" s="1384"/>
      <c r="D8" s="235"/>
      <c r="E8" s="1385"/>
      <c r="F8" s="1385"/>
      <c r="G8" s="1386"/>
      <c r="H8" s="1387"/>
      <c r="I8" s="1385"/>
      <c r="J8" s="1388"/>
      <c r="K8" s="1389"/>
      <c r="L8" s="1385"/>
      <c r="M8" s="1386"/>
      <c r="N8" s="109"/>
      <c r="O8" s="109"/>
      <c r="P8" s="113"/>
      <c r="Q8" s="113"/>
      <c r="R8" s="113"/>
      <c r="S8" s="113"/>
      <c r="T8" s="113"/>
      <c r="U8" s="113"/>
      <c r="V8" s="113"/>
      <c r="W8" s="113"/>
      <c r="X8" s="113"/>
    </row>
    <row r="9" spans="1:25" ht="42.75" customHeight="1" x14ac:dyDescent="0.25">
      <c r="A9" s="1383"/>
      <c r="B9" s="1384"/>
      <c r="C9" s="1384"/>
      <c r="D9" s="235"/>
      <c r="E9" s="1385"/>
      <c r="F9" s="1385"/>
      <c r="G9" s="1386"/>
      <c r="H9" s="1387"/>
      <c r="I9" s="1385"/>
      <c r="J9" s="1388"/>
      <c r="K9" s="1389"/>
      <c r="L9" s="1385"/>
      <c r="M9" s="1386"/>
      <c r="N9" s="109"/>
      <c r="O9" s="109"/>
      <c r="P9" s="113"/>
      <c r="Q9" s="113"/>
      <c r="R9" s="113"/>
      <c r="S9" s="113"/>
      <c r="T9" s="113"/>
      <c r="U9" s="113"/>
      <c r="V9" s="113"/>
      <c r="W9" s="113"/>
      <c r="X9" s="113"/>
    </row>
    <row r="10" spans="1:25" ht="42.75" customHeight="1" x14ac:dyDescent="0.25">
      <c r="A10" s="1383"/>
      <c r="B10" s="1384"/>
      <c r="C10" s="1384"/>
      <c r="D10" s="235"/>
      <c r="E10" s="1385"/>
      <c r="F10" s="1385"/>
      <c r="G10" s="1386"/>
      <c r="H10" s="1387"/>
      <c r="I10" s="1385"/>
      <c r="J10" s="1388"/>
      <c r="K10" s="1389"/>
      <c r="L10" s="1385"/>
      <c r="M10" s="1386"/>
      <c r="P10" s="113"/>
      <c r="Q10" s="113"/>
      <c r="R10" s="113"/>
      <c r="S10" s="113"/>
      <c r="T10" s="113"/>
      <c r="U10" s="113"/>
      <c r="V10" s="113"/>
      <c r="W10" s="113"/>
      <c r="X10" s="113"/>
    </row>
    <row r="11" spans="1:25" ht="42.75" customHeight="1" x14ac:dyDescent="0.25">
      <c r="A11" s="1383"/>
      <c r="B11" s="1384"/>
      <c r="C11" s="1384"/>
      <c r="D11" s="235"/>
      <c r="E11" s="1385"/>
      <c r="F11" s="1385"/>
      <c r="G11" s="1386"/>
      <c r="H11" s="1387"/>
      <c r="I11" s="1385"/>
      <c r="J11" s="1388"/>
      <c r="K11" s="1389"/>
      <c r="L11" s="1385"/>
      <c r="M11" s="1386"/>
      <c r="P11" s="113"/>
      <c r="Q11" s="113"/>
      <c r="R11" s="113"/>
      <c r="S11" s="113"/>
      <c r="T11" s="113"/>
      <c r="U11" s="113"/>
      <c r="V11" s="113"/>
      <c r="W11" s="113"/>
      <c r="X11" s="113"/>
    </row>
    <row r="12" spans="1:25" ht="42.75" customHeight="1" x14ac:dyDescent="0.25">
      <c r="A12" s="1383"/>
      <c r="B12" s="1384"/>
      <c r="C12" s="1384"/>
      <c r="D12" s="235"/>
      <c r="E12" s="1385"/>
      <c r="F12" s="1385"/>
      <c r="G12" s="1386"/>
      <c r="H12" s="1387"/>
      <c r="I12" s="1385"/>
      <c r="J12" s="1388"/>
      <c r="K12" s="1389"/>
      <c r="L12" s="1385"/>
      <c r="M12" s="1386"/>
      <c r="P12" s="113"/>
      <c r="Q12" s="113"/>
      <c r="R12" s="113"/>
      <c r="S12" s="113"/>
      <c r="T12" s="113"/>
      <c r="U12" s="113"/>
      <c r="V12" s="113"/>
      <c r="W12" s="113"/>
      <c r="X12" s="113"/>
    </row>
    <row r="13" spans="1:25" ht="42.75" customHeight="1" x14ac:dyDescent="0.25">
      <c r="A13" s="1383"/>
      <c r="B13" s="1384"/>
      <c r="C13" s="1384"/>
      <c r="D13" s="235"/>
      <c r="E13" s="1385"/>
      <c r="F13" s="1385"/>
      <c r="G13" s="1386"/>
      <c r="H13" s="1387"/>
      <c r="I13" s="1385"/>
      <c r="J13" s="1388"/>
      <c r="K13" s="1389"/>
      <c r="L13" s="1385"/>
      <c r="M13" s="1386"/>
      <c r="P13" s="75"/>
      <c r="Q13" s="75"/>
      <c r="R13" s="75"/>
      <c r="S13" s="75"/>
      <c r="T13" s="75"/>
      <c r="U13" s="75"/>
      <c r="V13" s="75"/>
      <c r="W13" s="75"/>
      <c r="X13" s="75"/>
    </row>
    <row r="14" spans="1:25" ht="42.75" customHeight="1" x14ac:dyDescent="0.25">
      <c r="A14" s="1383"/>
      <c r="B14" s="1384"/>
      <c r="C14" s="1384"/>
      <c r="D14" s="235"/>
      <c r="E14" s="1385"/>
      <c r="F14" s="1385"/>
      <c r="G14" s="1386"/>
      <c r="H14" s="1387"/>
      <c r="I14" s="1385"/>
      <c r="J14" s="1388"/>
      <c r="K14" s="1389"/>
      <c r="L14" s="1385"/>
      <c r="M14" s="1386"/>
      <c r="P14" s="113"/>
      <c r="Q14" s="113"/>
      <c r="R14" s="113"/>
      <c r="S14" s="113"/>
      <c r="T14" s="113"/>
      <c r="U14" s="113"/>
      <c r="V14" s="113"/>
      <c r="W14" s="113"/>
      <c r="X14" s="113"/>
    </row>
    <row r="15" spans="1:25" ht="42.75" customHeight="1" x14ac:dyDescent="0.25">
      <c r="A15" s="1383"/>
      <c r="B15" s="1384"/>
      <c r="C15" s="1384"/>
      <c r="D15" s="235"/>
      <c r="E15" s="1385"/>
      <c r="F15" s="1385"/>
      <c r="G15" s="1386"/>
      <c r="H15" s="1387"/>
      <c r="I15" s="1385"/>
      <c r="J15" s="1388"/>
      <c r="K15" s="1389"/>
      <c r="L15" s="1385"/>
      <c r="M15" s="1386"/>
    </row>
    <row r="16" spans="1:25" ht="42.75" customHeight="1" x14ac:dyDescent="0.25">
      <c r="A16" s="1383"/>
      <c r="B16" s="1384"/>
      <c r="C16" s="1384"/>
      <c r="D16" s="235"/>
      <c r="E16" s="1385"/>
      <c r="F16" s="1385"/>
      <c r="G16" s="1386"/>
      <c r="H16" s="1387"/>
      <c r="I16" s="1385"/>
      <c r="J16" s="1388"/>
      <c r="K16" s="1389"/>
      <c r="L16" s="1385"/>
      <c r="M16" s="1386"/>
    </row>
    <row r="17" spans="1:13" ht="42.75" customHeight="1" x14ac:dyDescent="0.25">
      <c r="A17" s="1383"/>
      <c r="B17" s="1384"/>
      <c r="C17" s="1384"/>
      <c r="D17" s="235"/>
      <c r="E17" s="1385"/>
      <c r="F17" s="1385"/>
      <c r="G17" s="1386"/>
      <c r="H17" s="1387"/>
      <c r="I17" s="1385"/>
      <c r="J17" s="1388"/>
      <c r="K17" s="1389"/>
      <c r="L17" s="1385"/>
      <c r="M17" s="1386"/>
    </row>
    <row r="18" spans="1:13" ht="42.75" customHeight="1" x14ac:dyDescent="0.25">
      <c r="A18" s="1383"/>
      <c r="B18" s="1384"/>
      <c r="C18" s="1384"/>
      <c r="D18" s="235"/>
      <c r="E18" s="1385"/>
      <c r="F18" s="1385"/>
      <c r="G18" s="1386"/>
      <c r="H18" s="1387"/>
      <c r="I18" s="1385"/>
      <c r="J18" s="1388"/>
      <c r="K18" s="1389"/>
      <c r="L18" s="1385"/>
      <c r="M18" s="1386"/>
    </row>
    <row r="19" spans="1:13" ht="42.75" customHeight="1" x14ac:dyDescent="0.25">
      <c r="A19" s="1383"/>
      <c r="B19" s="1384"/>
      <c r="C19" s="1384"/>
      <c r="D19" s="235"/>
      <c r="E19" s="1385"/>
      <c r="F19" s="1385"/>
      <c r="G19" s="1386"/>
      <c r="H19" s="1387"/>
      <c r="I19" s="1385"/>
      <c r="J19" s="1388"/>
      <c r="K19" s="1389"/>
      <c r="L19" s="1385"/>
      <c r="M19" s="1386"/>
    </row>
    <row r="20" spans="1:13" ht="42.75" customHeight="1" x14ac:dyDescent="0.25">
      <c r="A20" s="1383"/>
      <c r="B20" s="1384"/>
      <c r="C20" s="1384"/>
      <c r="D20" s="235"/>
      <c r="E20" s="1385"/>
      <c r="F20" s="1385"/>
      <c r="G20" s="1386"/>
      <c r="H20" s="1387"/>
      <c r="I20" s="1385"/>
      <c r="J20" s="1388"/>
      <c r="K20" s="1389"/>
      <c r="L20" s="1385"/>
      <c r="M20" s="1386"/>
    </row>
    <row r="21" spans="1:13" ht="42.75" customHeight="1" x14ac:dyDescent="0.25">
      <c r="A21" s="1383"/>
      <c r="B21" s="1384"/>
      <c r="C21" s="1384"/>
      <c r="D21" s="235"/>
      <c r="E21" s="1385"/>
      <c r="F21" s="1385"/>
      <c r="G21" s="1386"/>
      <c r="H21" s="1387"/>
      <c r="I21" s="1385"/>
      <c r="J21" s="1388"/>
      <c r="K21" s="1389"/>
      <c r="L21" s="1385"/>
      <c r="M21" s="1386"/>
    </row>
    <row r="22" spans="1:13" ht="12.75" customHeight="1" x14ac:dyDescent="0.25">
      <c r="A22" s="1122" t="s">
        <v>1835</v>
      </c>
      <c r="B22" s="1118"/>
      <c r="C22" s="1119"/>
      <c r="D22" s="235"/>
      <c r="E22" s="1390"/>
      <c r="F22" s="1390"/>
      <c r="G22" s="1391"/>
      <c r="H22" s="1392"/>
      <c r="I22" s="1390"/>
      <c r="J22" s="1393"/>
      <c r="K22" s="1394"/>
      <c r="L22" s="1390"/>
      <c r="M22" s="1391"/>
    </row>
    <row r="23" spans="1:13" x14ac:dyDescent="0.25">
      <c r="A23" s="178" t="str">
        <f>'A4-FinPerf RE'!A35</f>
        <v>Total Expenditure</v>
      </c>
      <c r="B23" s="1120"/>
      <c r="C23" s="1121"/>
      <c r="D23" s="179">
        <v>1</v>
      </c>
      <c r="E23" s="95">
        <f t="shared" ref="E23:M23" si="0">SUM(E4:E22)</f>
        <v>0</v>
      </c>
      <c r="F23" s="95">
        <f t="shared" si="0"/>
        <v>0</v>
      </c>
      <c r="G23" s="96">
        <f t="shared" si="0"/>
        <v>0</v>
      </c>
      <c r="H23" s="97">
        <f t="shared" si="0"/>
        <v>0</v>
      </c>
      <c r="I23" s="95">
        <f t="shared" si="0"/>
        <v>0</v>
      </c>
      <c r="J23" s="94">
        <f t="shared" si="0"/>
        <v>0</v>
      </c>
      <c r="K23" s="98">
        <f t="shared" si="0"/>
        <v>0</v>
      </c>
      <c r="L23" s="95">
        <f t="shared" si="0"/>
        <v>0</v>
      </c>
      <c r="M23" s="96">
        <f t="shared" si="0"/>
        <v>0</v>
      </c>
    </row>
    <row r="24" spans="1:13" s="464" customFormat="1" x14ac:dyDescent="0.25">
      <c r="A24" s="101" t="str">
        <f>head27a</f>
        <v>References</v>
      </c>
      <c r="B24" s="648"/>
      <c r="C24" s="648"/>
      <c r="D24" s="645"/>
      <c r="E24" s="647"/>
      <c r="F24" s="647"/>
      <c r="G24" s="647"/>
      <c r="H24" s="647"/>
      <c r="I24" s="647"/>
      <c r="J24" s="647"/>
      <c r="K24" s="647"/>
      <c r="L24" s="647"/>
      <c r="M24" s="647"/>
    </row>
    <row r="25" spans="1:13" s="464" customFormat="1" x14ac:dyDescent="0.25">
      <c r="A25" s="132" t="str">
        <f>"1. Total expenditure must reconcile to "&amp;'Template names'!F103</f>
        <v>1. Total expenditure must reconcile to Table A4 Budgeted Financial Performance (revenue and expenditure)</v>
      </c>
      <c r="B25" s="665"/>
      <c r="C25" s="665"/>
      <c r="D25" s="645"/>
      <c r="E25" s="648"/>
      <c r="F25" s="648"/>
      <c r="G25" s="647"/>
      <c r="H25" s="647"/>
      <c r="I25" s="647"/>
      <c r="J25" s="647"/>
      <c r="K25" s="647"/>
      <c r="L25" s="647"/>
      <c r="M25" s="647"/>
    </row>
    <row r="26" spans="1:13" s="464" customFormat="1" x14ac:dyDescent="0.25">
      <c r="A26" s="464" t="s">
        <v>1836</v>
      </c>
    </row>
    <row r="27" spans="1:13" x14ac:dyDescent="0.25">
      <c r="A27" s="133" t="s">
        <v>856</v>
      </c>
      <c r="B27" s="650"/>
      <c r="C27" s="650"/>
      <c r="D27" s="649"/>
      <c r="E27" s="825">
        <f>E23-'A4-FinPerf RE'!C35</f>
        <v>0</v>
      </c>
      <c r="F27" s="825">
        <f>F23-'A4-FinPerf RE'!D35</f>
        <v>-374167586</v>
      </c>
      <c r="G27" s="240">
        <f>G23-'A4-FinPerf RE'!E35</f>
        <v>-419517289</v>
      </c>
      <c r="H27" s="240">
        <f>H23-'A4-FinPerf RE'!F35</f>
        <v>-366051098.6630916</v>
      </c>
      <c r="I27" s="240">
        <f>I23-'A4-FinPerf RE'!G35</f>
        <v>-381311977.60509163</v>
      </c>
      <c r="J27" s="240">
        <f>J23-'A4-FinPerf RE'!H35</f>
        <v>-381311977.60509163</v>
      </c>
      <c r="K27" s="240">
        <f>K23-'A4-FinPerf RE'!J35</f>
        <v>-392659855.62979996</v>
      </c>
      <c r="L27" s="240">
        <f>L23-'A4-FinPerf RE'!K35</f>
        <v>-416219446.96758795</v>
      </c>
      <c r="M27" s="240">
        <f>M23-'A4-FinPerf RE'!L35</f>
        <v>-441192613.78564328</v>
      </c>
    </row>
    <row r="28" spans="1:13" x14ac:dyDescent="0.25">
      <c r="E28" s="241"/>
    </row>
    <row r="29" spans="1:13" x14ac:dyDescent="0.25">
      <c r="E29" s="241"/>
    </row>
  </sheetData>
  <mergeCells count="3">
    <mergeCell ref="H2:J2"/>
    <mergeCell ref="K2:M2"/>
    <mergeCell ref="D2:D3"/>
  </mergeCells>
  <phoneticPr fontId="3" type="noConversion"/>
  <printOptions horizontalCentered="1"/>
  <pageMargins left="0" right="0" top="0.78740157480314965" bottom="0.59055118110236227" header="0.51181102362204722" footer="0.41"/>
  <pageSetup paperSize="9" scale="7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X28"/>
  <sheetViews>
    <sheetView showGridLines="0" zoomScaleNormal="100" workbookViewId="0">
      <pane xSplit="4" ySplit="3" topLeftCell="E14" activePane="bottomRight" state="frozen"/>
      <selection pane="topRight"/>
      <selection pane="bottomLeft"/>
      <selection pane="bottomRight"/>
    </sheetView>
  </sheetViews>
  <sheetFormatPr defaultRowHeight="12.75" x14ac:dyDescent="0.25"/>
  <cols>
    <col min="1" max="2" width="18.7109375" style="25" customWidth="1"/>
    <col min="3" max="3" width="4.42578125" style="25" customWidth="1"/>
    <col min="4" max="4" width="3" style="102" customWidth="1"/>
    <col min="5" max="13" width="9.28515625" style="25" customWidth="1"/>
    <col min="14" max="14" width="32.7109375" style="25" bestFit="1" customWidth="1"/>
    <col min="15" max="15" width="1.42578125" style="25" customWidth="1"/>
    <col min="16" max="20" width="7.7109375" style="25" bestFit="1" customWidth="1"/>
    <col min="21" max="24" width="8.7109375" style="25" bestFit="1" customWidth="1"/>
    <col min="25" max="26" width="9.7109375" style="25" customWidth="1"/>
    <col min="27" max="16384" width="9.140625" style="25"/>
  </cols>
  <sheetData>
    <row r="1" spans="1:24" ht="13.5" x14ac:dyDescent="0.25">
      <c r="A1" s="23" t="str">
        <f>muni&amp;" - "&amp;TableA6</f>
        <v>EC101 Dr Beyers Naude - Supporting Table SA6 Reconciliation of IDP strategic objectives and budget (capital expenditure)</v>
      </c>
      <c r="B1" s="23"/>
      <c r="C1" s="23"/>
      <c r="D1" s="23"/>
      <c r="E1" s="23"/>
      <c r="F1" s="23"/>
      <c r="G1" s="23"/>
      <c r="H1" s="23"/>
      <c r="I1" s="23"/>
      <c r="J1" s="23"/>
      <c r="K1" s="23"/>
      <c r="L1" s="23"/>
      <c r="M1" s="23"/>
    </row>
    <row r="2" spans="1:24" ht="28.5" customHeight="1" x14ac:dyDescent="0.25">
      <c r="A2" s="609" t="s">
        <v>852</v>
      </c>
      <c r="B2" s="613" t="s">
        <v>1193</v>
      </c>
      <c r="C2" s="399" t="s">
        <v>819</v>
      </c>
      <c r="D2" s="1930" t="str">
        <f>head27</f>
        <v>Ref</v>
      </c>
      <c r="E2" s="21" t="str">
        <f>head1b</f>
        <v>2015/16</v>
      </c>
      <c r="F2" s="26" t="str">
        <f>head1A</f>
        <v>2016/17</v>
      </c>
      <c r="G2" s="22" t="str">
        <f>Head1</f>
        <v>2017/18</v>
      </c>
      <c r="H2" s="1907" t="str">
        <f>Head2</f>
        <v>Current Year 2018/19</v>
      </c>
      <c r="I2" s="1908"/>
      <c r="J2" s="1912"/>
      <c r="K2" s="1904" t="str">
        <f>Head3</f>
        <v>2019/20 Medium Term Revenue &amp; Expenditure Framework</v>
      </c>
      <c r="L2" s="1905"/>
      <c r="M2" s="1906"/>
    </row>
    <row r="3" spans="1:24" ht="25.5" x14ac:dyDescent="0.25">
      <c r="A3" s="620" t="s">
        <v>573</v>
      </c>
      <c r="B3" s="619"/>
      <c r="C3" s="619"/>
      <c r="D3" s="1931"/>
      <c r="E3" s="202" t="str">
        <f>Head5</f>
        <v>Audited Outcome</v>
      </c>
      <c r="F3" s="203" t="str">
        <f>Head5</f>
        <v>Audited Outcome</v>
      </c>
      <c r="G3" s="204" t="str">
        <f>Head5</f>
        <v>Audited Outcome</v>
      </c>
      <c r="H3" s="141" t="str">
        <f>Head6</f>
        <v>Original Budget</v>
      </c>
      <c r="I3" s="203" t="str">
        <f>Head7</f>
        <v>Adjusted Budget</v>
      </c>
      <c r="J3" s="204" t="str">
        <f>Head8</f>
        <v>Full Year Forecast</v>
      </c>
      <c r="K3" s="141" t="str">
        <f>Head9</f>
        <v>Budget Year 2019/20</v>
      </c>
      <c r="L3" s="203" t="str">
        <f>Head10</f>
        <v>Budget Year +1 2020/21</v>
      </c>
      <c r="M3" s="204" t="str">
        <f>Head11</f>
        <v>Budget Year +2 2021/22</v>
      </c>
    </row>
    <row r="4" spans="1:24" ht="42.75" customHeight="1" x14ac:dyDescent="0.25">
      <c r="A4" s="1383"/>
      <c r="B4" s="1384"/>
      <c r="C4" s="1395" t="s">
        <v>346</v>
      </c>
      <c r="D4" s="235"/>
      <c r="E4" s="1385"/>
      <c r="F4" s="1385"/>
      <c r="G4" s="1386"/>
      <c r="H4" s="1387"/>
      <c r="I4" s="1385"/>
      <c r="J4" s="1388"/>
      <c r="K4" s="1389"/>
      <c r="L4" s="1385"/>
      <c r="M4" s="1386"/>
      <c r="N4" s="234"/>
      <c r="O4" s="234"/>
      <c r="P4" s="113"/>
      <c r="Q4" s="113"/>
      <c r="R4" s="113"/>
      <c r="S4" s="113"/>
      <c r="T4" s="113"/>
      <c r="U4" s="113"/>
      <c r="V4" s="113"/>
      <c r="W4" s="113"/>
      <c r="X4" s="113"/>
    </row>
    <row r="5" spans="1:24" ht="42.75" customHeight="1" x14ac:dyDescent="0.25">
      <c r="A5" s="1383"/>
      <c r="B5" s="1384"/>
      <c r="C5" s="1395" t="s">
        <v>1183</v>
      </c>
      <c r="D5" s="235"/>
      <c r="E5" s="1385"/>
      <c r="F5" s="1385"/>
      <c r="G5" s="1386"/>
      <c r="H5" s="1387"/>
      <c r="I5" s="1385"/>
      <c r="J5" s="1388"/>
      <c r="K5" s="1389"/>
      <c r="L5" s="1385"/>
      <c r="M5" s="1386"/>
      <c r="N5" s="234"/>
      <c r="O5" s="234"/>
      <c r="P5" s="113"/>
      <c r="Q5" s="113"/>
      <c r="R5" s="113"/>
      <c r="S5" s="113"/>
      <c r="T5" s="113"/>
      <c r="U5" s="113"/>
      <c r="V5" s="113"/>
      <c r="W5" s="113"/>
      <c r="X5" s="113"/>
    </row>
    <row r="6" spans="1:24" ht="42.75" customHeight="1" x14ac:dyDescent="0.25">
      <c r="A6" s="1383"/>
      <c r="B6" s="1384"/>
      <c r="C6" s="1395" t="s">
        <v>429</v>
      </c>
      <c r="D6" s="235"/>
      <c r="E6" s="1385"/>
      <c r="F6" s="1385"/>
      <c r="G6" s="1386"/>
      <c r="H6" s="1387"/>
      <c r="I6" s="1385"/>
      <c r="J6" s="1388"/>
      <c r="K6" s="1389"/>
      <c r="L6" s="1385"/>
      <c r="M6" s="1386"/>
      <c r="N6" s="234"/>
      <c r="O6" s="234"/>
      <c r="P6" s="113"/>
      <c r="Q6" s="113"/>
      <c r="R6" s="113"/>
      <c r="S6" s="113"/>
      <c r="T6" s="113"/>
      <c r="U6" s="113"/>
      <c r="V6" s="113"/>
      <c r="W6" s="113"/>
      <c r="X6" s="113"/>
    </row>
    <row r="7" spans="1:24" ht="42.75" customHeight="1" x14ac:dyDescent="0.25">
      <c r="A7" s="1383"/>
      <c r="B7" s="1384"/>
      <c r="C7" s="1395" t="s">
        <v>475</v>
      </c>
      <c r="D7" s="235"/>
      <c r="E7" s="1385"/>
      <c r="F7" s="1385"/>
      <c r="G7" s="1386"/>
      <c r="H7" s="1387"/>
      <c r="I7" s="1385"/>
      <c r="J7" s="1388"/>
      <c r="K7" s="1389"/>
      <c r="L7" s="1385"/>
      <c r="M7" s="1386"/>
      <c r="N7" s="234"/>
      <c r="O7" s="234"/>
      <c r="P7" s="113"/>
      <c r="Q7" s="113"/>
      <c r="R7" s="113"/>
      <c r="S7" s="113"/>
      <c r="T7" s="113"/>
      <c r="U7" s="113"/>
      <c r="V7" s="113"/>
      <c r="W7" s="113"/>
      <c r="X7" s="113"/>
    </row>
    <row r="8" spans="1:24" ht="42.75" customHeight="1" x14ac:dyDescent="0.25">
      <c r="A8" s="1383"/>
      <c r="B8" s="1384"/>
      <c r="C8" s="1395" t="s">
        <v>1376</v>
      </c>
      <c r="D8" s="235"/>
      <c r="E8" s="1385"/>
      <c r="F8" s="1385"/>
      <c r="G8" s="1386"/>
      <c r="H8" s="1387"/>
      <c r="I8" s="1385"/>
      <c r="J8" s="1388"/>
      <c r="K8" s="1389"/>
      <c r="L8" s="1385"/>
      <c r="M8" s="1386"/>
      <c r="N8" s="234"/>
      <c r="O8" s="234"/>
      <c r="P8" s="113"/>
      <c r="Q8" s="113"/>
      <c r="R8" s="113"/>
      <c r="S8" s="113"/>
      <c r="T8" s="113"/>
      <c r="U8" s="113"/>
      <c r="V8" s="113"/>
      <c r="W8" s="113"/>
      <c r="X8" s="113"/>
    </row>
    <row r="9" spans="1:24" ht="42.75" customHeight="1" x14ac:dyDescent="0.25">
      <c r="A9" s="1383"/>
      <c r="B9" s="1384"/>
      <c r="C9" s="1395" t="s">
        <v>1377</v>
      </c>
      <c r="D9" s="235"/>
      <c r="E9" s="1385"/>
      <c r="F9" s="1385"/>
      <c r="G9" s="1386"/>
      <c r="H9" s="1387"/>
      <c r="I9" s="1385"/>
      <c r="J9" s="1388"/>
      <c r="K9" s="1389"/>
      <c r="L9" s="1385"/>
      <c r="M9" s="1386"/>
      <c r="N9" s="148"/>
      <c r="O9" s="148"/>
      <c r="P9" s="113"/>
      <c r="Q9" s="113"/>
      <c r="R9" s="113"/>
      <c r="S9" s="113"/>
      <c r="T9" s="113"/>
      <c r="U9" s="113"/>
      <c r="V9" s="113"/>
      <c r="W9" s="113"/>
      <c r="X9" s="113"/>
    </row>
    <row r="10" spans="1:24" ht="42.75" customHeight="1" x14ac:dyDescent="0.25">
      <c r="A10" s="1383"/>
      <c r="B10" s="1384"/>
      <c r="C10" s="1395" t="s">
        <v>1378</v>
      </c>
      <c r="D10" s="235"/>
      <c r="E10" s="1385"/>
      <c r="F10" s="1385"/>
      <c r="G10" s="1386"/>
      <c r="H10" s="1387"/>
      <c r="I10" s="1385"/>
      <c r="J10" s="1388"/>
      <c r="K10" s="1389"/>
      <c r="L10" s="1385"/>
      <c r="M10" s="1386"/>
      <c r="P10" s="113"/>
      <c r="Q10" s="113"/>
      <c r="R10" s="113"/>
      <c r="S10" s="113"/>
      <c r="T10" s="113"/>
      <c r="U10" s="113"/>
      <c r="V10" s="113"/>
      <c r="W10" s="113"/>
      <c r="X10" s="113"/>
    </row>
    <row r="11" spans="1:24" ht="42.75" customHeight="1" x14ac:dyDescent="0.25">
      <c r="A11" s="1383"/>
      <c r="B11" s="1384"/>
      <c r="C11" s="1395" t="s">
        <v>488</v>
      </c>
      <c r="D11" s="235"/>
      <c r="E11" s="1385"/>
      <c r="F11" s="1385"/>
      <c r="G11" s="1386"/>
      <c r="H11" s="1387"/>
      <c r="I11" s="1385"/>
      <c r="J11" s="1388"/>
      <c r="K11" s="1389"/>
      <c r="L11" s="1385"/>
      <c r="M11" s="1386"/>
      <c r="P11" s="113"/>
      <c r="Q11" s="113"/>
      <c r="R11" s="113"/>
      <c r="S11" s="113"/>
      <c r="T11" s="113"/>
      <c r="U11" s="113"/>
      <c r="V11" s="113"/>
      <c r="W11" s="113"/>
      <c r="X11" s="113"/>
    </row>
    <row r="12" spans="1:24" ht="42.75" customHeight="1" x14ac:dyDescent="0.25">
      <c r="A12" s="1383"/>
      <c r="B12" s="1384"/>
      <c r="C12" s="1395" t="s">
        <v>489</v>
      </c>
      <c r="D12" s="235"/>
      <c r="E12" s="1385"/>
      <c r="F12" s="1385"/>
      <c r="G12" s="1386"/>
      <c r="H12" s="1387"/>
      <c r="I12" s="1385"/>
      <c r="J12" s="1388"/>
      <c r="K12" s="1389"/>
      <c r="L12" s="1385"/>
      <c r="M12" s="1386"/>
      <c r="P12" s="113"/>
      <c r="Q12" s="113"/>
      <c r="R12" s="113"/>
      <c r="S12" s="113"/>
      <c r="T12" s="113"/>
      <c r="U12" s="113"/>
      <c r="V12" s="113"/>
      <c r="W12" s="113"/>
      <c r="X12" s="113"/>
    </row>
    <row r="13" spans="1:24" ht="42.75" customHeight="1" x14ac:dyDescent="0.25">
      <c r="A13" s="1383"/>
      <c r="B13" s="1384"/>
      <c r="C13" s="1395" t="s">
        <v>820</v>
      </c>
      <c r="D13" s="235"/>
      <c r="E13" s="1385"/>
      <c r="F13" s="1385"/>
      <c r="G13" s="1386"/>
      <c r="H13" s="1387"/>
      <c r="I13" s="1385"/>
      <c r="J13" s="1388"/>
      <c r="K13" s="1389"/>
      <c r="L13" s="1385"/>
      <c r="M13" s="1386"/>
      <c r="P13" s="75"/>
      <c r="Q13" s="75"/>
      <c r="R13" s="75"/>
      <c r="S13" s="75"/>
      <c r="T13" s="75"/>
      <c r="U13" s="75"/>
      <c r="V13" s="75"/>
      <c r="W13" s="75"/>
      <c r="X13" s="75"/>
    </row>
    <row r="14" spans="1:24" ht="42.75" customHeight="1" x14ac:dyDescent="0.25">
      <c r="A14" s="1383"/>
      <c r="B14" s="1384"/>
      <c r="C14" s="1395" t="s">
        <v>821</v>
      </c>
      <c r="D14" s="235"/>
      <c r="E14" s="1385"/>
      <c r="F14" s="1385"/>
      <c r="G14" s="1386"/>
      <c r="H14" s="1387"/>
      <c r="I14" s="1385"/>
      <c r="J14" s="1388"/>
      <c r="K14" s="1389"/>
      <c r="L14" s="1385"/>
      <c r="M14" s="1386"/>
      <c r="P14" s="113"/>
      <c r="Q14" s="113"/>
      <c r="R14" s="113"/>
      <c r="S14" s="113"/>
      <c r="T14" s="113"/>
      <c r="U14" s="113"/>
      <c r="V14" s="113"/>
      <c r="W14" s="113"/>
      <c r="X14" s="113"/>
    </row>
    <row r="15" spans="1:24" ht="42.75" customHeight="1" x14ac:dyDescent="0.25">
      <c r="A15" s="1383"/>
      <c r="B15" s="1384"/>
      <c r="C15" s="1395" t="s">
        <v>822</v>
      </c>
      <c r="D15" s="235"/>
      <c r="E15" s="1385"/>
      <c r="F15" s="1385"/>
      <c r="G15" s="1386"/>
      <c r="H15" s="1387"/>
      <c r="I15" s="1385"/>
      <c r="J15" s="1388"/>
      <c r="K15" s="1389"/>
      <c r="L15" s="1385"/>
      <c r="M15" s="1386"/>
    </row>
    <row r="16" spans="1:24" ht="42.75" customHeight="1" x14ac:dyDescent="0.25">
      <c r="A16" s="1383"/>
      <c r="B16" s="1384"/>
      <c r="C16" s="1395" t="s">
        <v>823</v>
      </c>
      <c r="D16" s="235"/>
      <c r="E16" s="1385"/>
      <c r="F16" s="1385"/>
      <c r="G16" s="1386"/>
      <c r="H16" s="1387"/>
      <c r="I16" s="1385"/>
      <c r="J16" s="1388"/>
      <c r="K16" s="1389"/>
      <c r="L16" s="1385"/>
      <c r="M16" s="1386"/>
    </row>
    <row r="17" spans="1:13" ht="42.75" customHeight="1" x14ac:dyDescent="0.25">
      <c r="A17" s="1383"/>
      <c r="B17" s="1384"/>
      <c r="C17" s="1395" t="s">
        <v>824</v>
      </c>
      <c r="D17" s="235"/>
      <c r="E17" s="1385"/>
      <c r="F17" s="1385"/>
      <c r="G17" s="1386"/>
      <c r="H17" s="1387"/>
      <c r="I17" s="1385"/>
      <c r="J17" s="1388"/>
      <c r="K17" s="1389"/>
      <c r="L17" s="1385"/>
      <c r="M17" s="1386"/>
    </row>
    <row r="18" spans="1:13" ht="42.75" customHeight="1" x14ac:dyDescent="0.25">
      <c r="A18" s="1383"/>
      <c r="B18" s="1384"/>
      <c r="C18" s="1395" t="s">
        <v>825</v>
      </c>
      <c r="D18" s="235"/>
      <c r="E18" s="1385"/>
      <c r="F18" s="1385"/>
      <c r="G18" s="1386"/>
      <c r="H18" s="1387"/>
      <c r="I18" s="1385"/>
      <c r="J18" s="1388"/>
      <c r="K18" s="1389"/>
      <c r="L18" s="1385"/>
      <c r="M18" s="1386"/>
    </row>
    <row r="19" spans="1:13" ht="42.75" customHeight="1" x14ac:dyDescent="0.25">
      <c r="A19" s="1383"/>
      <c r="B19" s="1384"/>
      <c r="C19" s="1395" t="s">
        <v>826</v>
      </c>
      <c r="D19" s="235"/>
      <c r="E19" s="1385"/>
      <c r="F19" s="1385"/>
      <c r="G19" s="1386"/>
      <c r="H19" s="1387"/>
      <c r="I19" s="1385"/>
      <c r="J19" s="1388"/>
      <c r="K19" s="1389"/>
      <c r="L19" s="1385"/>
      <c r="M19" s="1386"/>
    </row>
    <row r="20" spans="1:13" ht="12.75" customHeight="1" x14ac:dyDescent="0.25">
      <c r="A20" s="1122" t="s">
        <v>1835</v>
      </c>
      <c r="B20" s="1118"/>
      <c r="C20" s="1123"/>
      <c r="D20" s="235">
        <v>3</v>
      </c>
      <c r="E20" s="1390"/>
      <c r="F20" s="1390"/>
      <c r="G20" s="1391"/>
      <c r="H20" s="1392"/>
      <c r="I20" s="1390"/>
      <c r="J20" s="1393"/>
      <c r="K20" s="1394"/>
      <c r="L20" s="1390"/>
      <c r="M20" s="1391"/>
    </row>
    <row r="21" spans="1:13" x14ac:dyDescent="0.25">
      <c r="A21" s="178" t="s">
        <v>528</v>
      </c>
      <c r="B21" s="1120"/>
      <c r="C21" s="1121"/>
      <c r="D21" s="179">
        <v>1</v>
      </c>
      <c r="E21" s="95">
        <f t="shared" ref="E21:M21" si="0">SUM(E4:E20)</f>
        <v>0</v>
      </c>
      <c r="F21" s="95">
        <f t="shared" si="0"/>
        <v>0</v>
      </c>
      <c r="G21" s="96">
        <f t="shared" si="0"/>
        <v>0</v>
      </c>
      <c r="H21" s="97">
        <f t="shared" si="0"/>
        <v>0</v>
      </c>
      <c r="I21" s="95">
        <f t="shared" si="0"/>
        <v>0</v>
      </c>
      <c r="J21" s="94">
        <f t="shared" si="0"/>
        <v>0</v>
      </c>
      <c r="K21" s="98">
        <f t="shared" si="0"/>
        <v>0</v>
      </c>
      <c r="L21" s="95">
        <f t="shared" si="0"/>
        <v>0</v>
      </c>
      <c r="M21" s="96">
        <f t="shared" si="0"/>
        <v>0</v>
      </c>
    </row>
    <row r="22" spans="1:13" s="464" customFormat="1" x14ac:dyDescent="0.25">
      <c r="A22" s="101" t="str">
        <f>head27a</f>
        <v>References</v>
      </c>
      <c r="B22" s="648"/>
      <c r="C22" s="648"/>
      <c r="D22" s="645"/>
      <c r="E22" s="647"/>
      <c r="F22" s="647"/>
      <c r="G22" s="647"/>
      <c r="H22" s="647"/>
      <c r="I22" s="647"/>
      <c r="J22" s="647"/>
      <c r="K22" s="647"/>
      <c r="L22" s="647"/>
      <c r="M22" s="647"/>
    </row>
    <row r="23" spans="1:13" s="464" customFormat="1" x14ac:dyDescent="0.25">
      <c r="A23" s="132" t="s">
        <v>1195</v>
      </c>
      <c r="B23" s="648"/>
      <c r="C23" s="648"/>
      <c r="D23" s="645"/>
      <c r="E23" s="647"/>
      <c r="F23" s="647"/>
      <c r="G23" s="647"/>
      <c r="H23" s="647"/>
      <c r="I23" s="647"/>
      <c r="J23" s="647"/>
      <c r="K23" s="647"/>
      <c r="L23" s="647"/>
      <c r="M23" s="647"/>
    </row>
    <row r="24" spans="1:13" s="464" customFormat="1" x14ac:dyDescent="0.25">
      <c r="A24" s="132" t="s">
        <v>1834</v>
      </c>
      <c r="D24" s="645"/>
      <c r="E24" s="648"/>
      <c r="F24" s="648"/>
      <c r="G24" s="647"/>
      <c r="H24" s="647"/>
      <c r="I24" s="647"/>
      <c r="J24" s="647"/>
      <c r="K24" s="647"/>
      <c r="L24" s="647"/>
      <c r="M24" s="647"/>
    </row>
    <row r="25" spans="1:13" x14ac:dyDescent="0.25">
      <c r="A25" s="25" t="s">
        <v>1837</v>
      </c>
    </row>
    <row r="26" spans="1:13" x14ac:dyDescent="0.25">
      <c r="A26" s="108" t="s">
        <v>363</v>
      </c>
      <c r="B26" s="108"/>
      <c r="C26" s="108"/>
      <c r="E26" s="240">
        <f>E21-'A5-Capex'!C40</f>
        <v>0</v>
      </c>
      <c r="F26" s="240">
        <f>F21-'A5-Capex'!D40</f>
        <v>-62449782.710000001</v>
      </c>
      <c r="G26" s="240">
        <f>G21-'A5-Capex'!E40</f>
        <v>-53459027</v>
      </c>
      <c r="H26" s="240">
        <f>H21-'A5-Capex'!F40</f>
        <v>-44883600</v>
      </c>
      <c r="I26" s="240">
        <f>I21-'A5-Capex'!G40</f>
        <v>-60681889</v>
      </c>
      <c r="J26" s="240">
        <f>J21-'A5-Capex'!H40</f>
        <v>-60681889</v>
      </c>
      <c r="K26" s="240">
        <f>K21-'A5-Capex'!J40</f>
        <v>-32447438.100000001</v>
      </c>
      <c r="L26" s="240">
        <f>L21-'A5-Capex'!K40</f>
        <v>-49972500</v>
      </c>
      <c r="M26" s="240">
        <f>M21-'A5-Capex'!L40</f>
        <v>0</v>
      </c>
    </row>
    <row r="27" spans="1:13" x14ac:dyDescent="0.25">
      <c r="E27" s="241"/>
    </row>
    <row r="28" spans="1:13" x14ac:dyDescent="0.25">
      <c r="E28" s="241"/>
    </row>
  </sheetData>
  <mergeCells count="3">
    <mergeCell ref="H2:J2"/>
    <mergeCell ref="K2:M2"/>
    <mergeCell ref="D2:D3"/>
  </mergeCells>
  <phoneticPr fontId="3" type="noConversion"/>
  <printOptions horizontalCentered="1"/>
  <pageMargins left="0" right="0" top="0.78740157480314965" bottom="0.59055118110236227" header="0.51181102362204722" footer="0.39"/>
  <pageSetup paperSize="9" scale="80"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89"/>
  <sheetViews>
    <sheetView showGridLines="0" zoomScaleNormal="100" workbookViewId="0">
      <pane xSplit="2" ySplit="3" topLeftCell="C4" activePane="bottomRight" state="frozen"/>
      <selection pane="topRight"/>
      <selection pane="bottomLeft"/>
      <selection pane="bottomRight" activeCell="Q37" sqref="Q37"/>
    </sheetView>
  </sheetViews>
  <sheetFormatPr defaultRowHeight="11.25" customHeight="1" x14ac:dyDescent="0.25"/>
  <cols>
    <col min="1" max="1" width="29.28515625" style="25" customWidth="1"/>
    <col min="2" max="2" width="15.7109375" style="25" customWidth="1"/>
    <col min="3" max="11" width="9.28515625" style="25" customWidth="1"/>
    <col min="12" max="16384" width="9.140625" style="25"/>
  </cols>
  <sheetData>
    <row r="1" spans="1:11" s="52" customFormat="1" ht="12.75" x14ac:dyDescent="0.2">
      <c r="A1" s="23" t="str">
        <f>muni&amp;" - "&amp;TableA7</f>
        <v>EC101 Dr Beyers Naude - Supporting Table SA7 Measureable performance objectives</v>
      </c>
      <c r="B1" s="23"/>
      <c r="C1" s="23"/>
      <c r="D1" s="23"/>
      <c r="E1" s="23"/>
      <c r="F1" s="23"/>
      <c r="G1" s="23"/>
      <c r="H1" s="23"/>
      <c r="I1" s="23"/>
      <c r="J1" s="23"/>
      <c r="K1" s="23"/>
    </row>
    <row r="2" spans="1:11" ht="28.5" customHeight="1" x14ac:dyDescent="0.25">
      <c r="A2" s="1940" t="s">
        <v>669</v>
      </c>
      <c r="B2" s="1938" t="s">
        <v>359</v>
      </c>
      <c r="C2" s="21"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1941"/>
      <c r="B3" s="1939"/>
      <c r="C3" s="202" t="str">
        <f>Head5</f>
        <v>Audited Outcome</v>
      </c>
      <c r="D3" s="203"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1.25" customHeight="1" x14ac:dyDescent="0.25">
      <c r="A4" s="870" t="s">
        <v>1223</v>
      </c>
      <c r="B4" s="1396"/>
      <c r="C4" s="1397"/>
      <c r="D4" s="1398"/>
      <c r="E4" s="1398"/>
      <c r="F4" s="1398"/>
      <c r="G4" s="1398"/>
      <c r="H4" s="1399"/>
      <c r="I4" s="1399"/>
      <c r="J4" s="1398"/>
      <c r="K4" s="1398"/>
    </row>
    <row r="5" spans="1:11" ht="11.25" customHeight="1" x14ac:dyDescent="0.25">
      <c r="A5" s="873" t="s">
        <v>1224</v>
      </c>
      <c r="B5" s="1400"/>
      <c r="C5" s="1397"/>
      <c r="D5" s="1398"/>
      <c r="E5" s="1398"/>
      <c r="F5" s="1398"/>
      <c r="G5" s="1398"/>
      <c r="H5" s="1398"/>
      <c r="I5" s="1398"/>
      <c r="J5" s="1398"/>
      <c r="K5" s="1398"/>
    </row>
    <row r="6" spans="1:11" ht="11.25" customHeight="1" x14ac:dyDescent="0.25">
      <c r="A6" s="874" t="s">
        <v>1225</v>
      </c>
      <c r="B6" s="1401"/>
      <c r="C6" s="1397"/>
      <c r="D6" s="1398"/>
      <c r="E6" s="1398"/>
      <c r="F6" s="1398"/>
      <c r="G6" s="1398"/>
      <c r="H6" s="1398"/>
      <c r="I6" s="1398"/>
      <c r="J6" s="1398"/>
      <c r="K6" s="1398"/>
    </row>
    <row r="7" spans="1:11" ht="11.25" customHeight="1" x14ac:dyDescent="0.25">
      <c r="A7" s="1402" t="s">
        <v>963</v>
      </c>
      <c r="B7" s="1401"/>
      <c r="C7" s="1397"/>
      <c r="D7" s="1398"/>
      <c r="E7" s="1398"/>
      <c r="F7" s="1398"/>
      <c r="G7" s="1398"/>
      <c r="H7" s="1398"/>
      <c r="I7" s="1398"/>
      <c r="J7" s="1398"/>
      <c r="K7" s="1398"/>
    </row>
    <row r="8" spans="1:11" ht="11.25" customHeight="1" x14ac:dyDescent="0.25">
      <c r="A8" s="1403"/>
      <c r="B8" s="1401"/>
      <c r="C8" s="1397"/>
      <c r="D8" s="1398"/>
      <c r="E8" s="1398"/>
      <c r="F8" s="1398"/>
      <c r="G8" s="1398"/>
      <c r="H8" s="1398"/>
      <c r="I8" s="1398"/>
      <c r="J8" s="1398"/>
      <c r="K8" s="1398"/>
    </row>
    <row r="9" spans="1:11" ht="11.25" customHeight="1" x14ac:dyDescent="0.25">
      <c r="A9" s="874" t="s">
        <v>1227</v>
      </c>
      <c r="B9" s="1404"/>
      <c r="C9" s="1405"/>
      <c r="D9" s="1406"/>
      <c r="E9" s="1406"/>
      <c r="F9" s="1406"/>
      <c r="G9" s="1406"/>
      <c r="H9" s="1406"/>
      <c r="I9" s="1406"/>
      <c r="J9" s="1406"/>
      <c r="K9" s="1406"/>
    </row>
    <row r="10" spans="1:11" ht="11.25" customHeight="1" x14ac:dyDescent="0.25">
      <c r="A10" s="1402" t="s">
        <v>963</v>
      </c>
      <c r="B10" s="1401"/>
      <c r="C10" s="1397"/>
      <c r="D10" s="1398"/>
      <c r="E10" s="1398"/>
      <c r="F10" s="1398"/>
      <c r="G10" s="1398"/>
      <c r="H10" s="1398"/>
      <c r="I10" s="1398"/>
      <c r="J10" s="1398"/>
      <c r="K10" s="1398"/>
    </row>
    <row r="11" spans="1:11" ht="11.25" customHeight="1" x14ac:dyDescent="0.25">
      <c r="A11" s="1403"/>
      <c r="B11" s="1396"/>
      <c r="C11" s="1397"/>
      <c r="D11" s="1398"/>
      <c r="E11" s="1398"/>
      <c r="F11" s="1398"/>
      <c r="G11" s="1398"/>
      <c r="H11" s="1398"/>
      <c r="I11" s="1398"/>
      <c r="J11" s="1398"/>
      <c r="K11" s="1398"/>
    </row>
    <row r="12" spans="1:11" ht="11.25" customHeight="1" x14ac:dyDescent="0.25">
      <c r="A12" s="874" t="s">
        <v>1228</v>
      </c>
      <c r="B12" s="1404"/>
      <c r="C12" s="1405"/>
      <c r="D12" s="1406"/>
      <c r="E12" s="1406"/>
      <c r="F12" s="1406"/>
      <c r="G12" s="1406"/>
      <c r="H12" s="1406"/>
      <c r="I12" s="1406"/>
      <c r="J12" s="1406"/>
      <c r="K12" s="1406"/>
    </row>
    <row r="13" spans="1:11" ht="11.25" customHeight="1" x14ac:dyDescent="0.25">
      <c r="A13" s="1402" t="s">
        <v>963</v>
      </c>
      <c r="B13" s="1401"/>
      <c r="C13" s="1397"/>
      <c r="D13" s="1398"/>
      <c r="E13" s="1398"/>
      <c r="F13" s="1398"/>
      <c r="G13" s="1398"/>
      <c r="H13" s="1398"/>
      <c r="I13" s="1398"/>
      <c r="J13" s="1398"/>
      <c r="K13" s="1398"/>
    </row>
    <row r="14" spans="1:11" ht="11.25" customHeight="1" x14ac:dyDescent="0.25">
      <c r="A14" s="1403"/>
      <c r="B14" s="1401"/>
      <c r="C14" s="1397"/>
      <c r="D14" s="1398"/>
      <c r="E14" s="1398"/>
      <c r="F14" s="1398"/>
      <c r="G14" s="1398"/>
      <c r="H14" s="1398"/>
      <c r="I14" s="1398"/>
      <c r="J14" s="1398"/>
      <c r="K14" s="1398"/>
    </row>
    <row r="15" spans="1:11" ht="11.25" customHeight="1" x14ac:dyDescent="0.25">
      <c r="A15" s="873" t="s">
        <v>1226</v>
      </c>
      <c r="B15" s="1404"/>
      <c r="C15" s="1405"/>
      <c r="D15" s="1406"/>
      <c r="E15" s="1406"/>
      <c r="F15" s="1406"/>
      <c r="G15" s="1406"/>
      <c r="H15" s="1406"/>
      <c r="I15" s="1406"/>
      <c r="J15" s="1406"/>
      <c r="K15" s="1406"/>
    </row>
    <row r="16" spans="1:11" ht="11.25" customHeight="1" x14ac:dyDescent="0.25">
      <c r="A16" s="874" t="s">
        <v>1225</v>
      </c>
      <c r="B16" s="1401"/>
      <c r="C16" s="1397"/>
      <c r="D16" s="1398"/>
      <c r="E16" s="1398"/>
      <c r="F16" s="1398"/>
      <c r="G16" s="1398"/>
      <c r="H16" s="1398"/>
      <c r="I16" s="1398"/>
      <c r="J16" s="1398"/>
      <c r="K16" s="1398"/>
    </row>
    <row r="17" spans="1:11" ht="11.25" customHeight="1" x14ac:dyDescent="0.25">
      <c r="A17" s="1402" t="s">
        <v>963</v>
      </c>
      <c r="B17" s="1401"/>
      <c r="C17" s="1397"/>
      <c r="D17" s="1398"/>
      <c r="E17" s="1398"/>
      <c r="F17" s="1398"/>
      <c r="G17" s="1398"/>
      <c r="H17" s="1398"/>
      <c r="I17" s="1398"/>
      <c r="J17" s="1398"/>
      <c r="K17" s="1398"/>
    </row>
    <row r="18" spans="1:11" ht="11.25" customHeight="1" x14ac:dyDescent="0.25">
      <c r="A18" s="1403"/>
      <c r="B18" s="1401"/>
      <c r="C18" s="1397"/>
      <c r="D18" s="1398"/>
      <c r="E18" s="1398"/>
      <c r="F18" s="1398"/>
      <c r="G18" s="1398"/>
      <c r="H18" s="1398"/>
      <c r="I18" s="1398"/>
      <c r="J18" s="1398"/>
      <c r="K18" s="1398"/>
    </row>
    <row r="19" spans="1:11" ht="11.25" customHeight="1" x14ac:dyDescent="0.25">
      <c r="A19" s="874" t="s">
        <v>1227</v>
      </c>
      <c r="B19" s="1407"/>
      <c r="C19" s="1405"/>
      <c r="D19" s="1406"/>
      <c r="E19" s="1406"/>
      <c r="F19" s="1406"/>
      <c r="G19" s="1406"/>
      <c r="H19" s="1406"/>
      <c r="I19" s="1406"/>
      <c r="J19" s="1406"/>
      <c r="K19" s="1406"/>
    </row>
    <row r="20" spans="1:11" ht="11.25" customHeight="1" x14ac:dyDescent="0.25">
      <c r="A20" s="1402" t="s">
        <v>963</v>
      </c>
      <c r="B20" s="1401"/>
      <c r="C20" s="1397"/>
      <c r="D20" s="1398"/>
      <c r="E20" s="1398"/>
      <c r="F20" s="1398"/>
      <c r="G20" s="1398"/>
      <c r="H20" s="1398"/>
      <c r="I20" s="1398"/>
      <c r="J20" s="1398"/>
      <c r="K20" s="1398"/>
    </row>
    <row r="21" spans="1:11" ht="11.25" customHeight="1" x14ac:dyDescent="0.25">
      <c r="A21" s="1403"/>
      <c r="B21" s="1401"/>
      <c r="C21" s="1397"/>
      <c r="D21" s="1398"/>
      <c r="E21" s="1398"/>
      <c r="F21" s="1398"/>
      <c r="G21" s="1398"/>
      <c r="H21" s="1398"/>
      <c r="I21" s="1398"/>
      <c r="J21" s="1398"/>
      <c r="K21" s="1398"/>
    </row>
    <row r="22" spans="1:11" ht="11.25" customHeight="1" x14ac:dyDescent="0.25">
      <c r="A22" s="874" t="s">
        <v>1228</v>
      </c>
      <c r="B22" s="1404"/>
      <c r="C22" s="1405"/>
      <c r="D22" s="1406"/>
      <c r="E22" s="1406"/>
      <c r="F22" s="1406"/>
      <c r="G22" s="1406"/>
      <c r="H22" s="1406"/>
      <c r="I22" s="1406"/>
      <c r="J22" s="1406"/>
      <c r="K22" s="1406"/>
    </row>
    <row r="23" spans="1:11" ht="11.25" customHeight="1" x14ac:dyDescent="0.25">
      <c r="A23" s="1402" t="s">
        <v>963</v>
      </c>
      <c r="B23" s="1401"/>
      <c r="C23" s="1397"/>
      <c r="D23" s="1398"/>
      <c r="E23" s="1398"/>
      <c r="F23" s="1398"/>
      <c r="G23" s="1398"/>
      <c r="H23" s="1398"/>
      <c r="I23" s="1398"/>
      <c r="J23" s="1398"/>
      <c r="K23" s="1398"/>
    </row>
    <row r="24" spans="1:11" ht="11.25" customHeight="1" x14ac:dyDescent="0.25">
      <c r="A24" s="1408"/>
      <c r="B24" s="1409"/>
      <c r="C24" s="1410"/>
      <c r="D24" s="1411"/>
      <c r="E24" s="1411"/>
      <c r="F24" s="1411"/>
      <c r="G24" s="1411"/>
      <c r="H24" s="1411"/>
      <c r="I24" s="1411"/>
      <c r="J24" s="1411"/>
      <c r="K24" s="1411"/>
    </row>
    <row r="25" spans="1:11" ht="11.25" customHeight="1" x14ac:dyDescent="0.25">
      <c r="A25" s="870" t="s">
        <v>1229</v>
      </c>
      <c r="B25" s="1401"/>
      <c r="C25" s="1397"/>
      <c r="D25" s="1398"/>
      <c r="E25" s="1398"/>
      <c r="F25" s="1398"/>
      <c r="G25" s="1398"/>
      <c r="H25" s="1398"/>
      <c r="I25" s="1398"/>
      <c r="J25" s="1398"/>
      <c r="K25" s="1398"/>
    </row>
    <row r="26" spans="1:11" ht="11.25" customHeight="1" x14ac:dyDescent="0.25">
      <c r="A26" s="873" t="s">
        <v>1224</v>
      </c>
      <c r="B26" s="1401"/>
      <c r="C26" s="1397"/>
      <c r="D26" s="1398"/>
      <c r="E26" s="1398"/>
      <c r="F26" s="1398"/>
      <c r="G26" s="1398"/>
      <c r="H26" s="1398"/>
      <c r="I26" s="1398"/>
      <c r="J26" s="1398"/>
      <c r="K26" s="1398"/>
    </row>
    <row r="27" spans="1:11" ht="11.25" customHeight="1" x14ac:dyDescent="0.25">
      <c r="A27" s="874" t="s">
        <v>1225</v>
      </c>
      <c r="B27" s="1396"/>
      <c r="C27" s="1397"/>
      <c r="D27" s="1398"/>
      <c r="E27" s="1398"/>
      <c r="F27" s="1398"/>
      <c r="G27" s="1398"/>
      <c r="H27" s="1398"/>
      <c r="I27" s="1398"/>
      <c r="J27" s="1398"/>
      <c r="K27" s="1398"/>
    </row>
    <row r="28" spans="1:11" ht="11.25" customHeight="1" x14ac:dyDescent="0.25">
      <c r="A28" s="1402" t="s">
        <v>963</v>
      </c>
      <c r="B28" s="1401"/>
      <c r="C28" s="1397"/>
      <c r="D28" s="1398"/>
      <c r="E28" s="1398"/>
      <c r="F28" s="1398"/>
      <c r="G28" s="1398"/>
      <c r="H28" s="1398"/>
      <c r="I28" s="1398"/>
      <c r="J28" s="1398"/>
      <c r="K28" s="1398"/>
    </row>
    <row r="29" spans="1:11" ht="11.25" customHeight="1" x14ac:dyDescent="0.25">
      <c r="A29" s="1403"/>
      <c r="B29" s="1401"/>
      <c r="C29" s="1397"/>
      <c r="D29" s="1398"/>
      <c r="E29" s="1398"/>
      <c r="F29" s="1398"/>
      <c r="G29" s="1398"/>
      <c r="H29" s="1398"/>
      <c r="I29" s="1398"/>
      <c r="J29" s="1398"/>
      <c r="K29" s="1398"/>
    </row>
    <row r="30" spans="1:11" ht="11.25" customHeight="1" x14ac:dyDescent="0.25">
      <c r="A30" s="874" t="s">
        <v>1227</v>
      </c>
      <c r="B30" s="1404"/>
      <c r="C30" s="1405"/>
      <c r="D30" s="1406"/>
      <c r="E30" s="1406"/>
      <c r="F30" s="1406"/>
      <c r="G30" s="1406"/>
      <c r="H30" s="1406"/>
      <c r="I30" s="1406"/>
      <c r="J30" s="1406"/>
      <c r="K30" s="1406"/>
    </row>
    <row r="31" spans="1:11" ht="11.25" customHeight="1" x14ac:dyDescent="0.25">
      <c r="A31" s="1402" t="s">
        <v>963</v>
      </c>
      <c r="B31" s="1401"/>
      <c r="C31" s="1397"/>
      <c r="D31" s="1398"/>
      <c r="E31" s="1398"/>
      <c r="F31" s="1398"/>
      <c r="G31" s="1398"/>
      <c r="H31" s="1398"/>
      <c r="I31" s="1398"/>
      <c r="J31" s="1398"/>
      <c r="K31" s="1398"/>
    </row>
    <row r="32" spans="1:11" ht="11.25" customHeight="1" x14ac:dyDescent="0.25">
      <c r="A32" s="1403"/>
      <c r="B32" s="1401"/>
      <c r="C32" s="1397"/>
      <c r="D32" s="1398"/>
      <c r="E32" s="1398"/>
      <c r="F32" s="1398"/>
      <c r="G32" s="1398"/>
      <c r="H32" s="1398"/>
      <c r="I32" s="1398"/>
      <c r="J32" s="1398"/>
      <c r="K32" s="1398"/>
    </row>
    <row r="33" spans="1:11" ht="11.25" customHeight="1" x14ac:dyDescent="0.25">
      <c r="A33" s="874" t="s">
        <v>1228</v>
      </c>
      <c r="B33" s="1404"/>
      <c r="C33" s="1405"/>
      <c r="D33" s="1406"/>
      <c r="E33" s="1406"/>
      <c r="F33" s="1406"/>
      <c r="G33" s="1406"/>
      <c r="H33" s="1406"/>
      <c r="I33" s="1406"/>
      <c r="J33" s="1406"/>
      <c r="K33" s="1406"/>
    </row>
    <row r="34" spans="1:11" ht="11.25" customHeight="1" x14ac:dyDescent="0.25">
      <c r="A34" s="1402" t="s">
        <v>963</v>
      </c>
      <c r="B34" s="1401"/>
      <c r="C34" s="1397"/>
      <c r="D34" s="1398"/>
      <c r="E34" s="1398"/>
      <c r="F34" s="1398"/>
      <c r="G34" s="1398"/>
      <c r="H34" s="1398"/>
      <c r="I34" s="1398"/>
      <c r="J34" s="1398"/>
      <c r="K34" s="1398"/>
    </row>
    <row r="35" spans="1:11" ht="11.25" customHeight="1" x14ac:dyDescent="0.25">
      <c r="A35" s="1403"/>
      <c r="B35" s="1396"/>
      <c r="C35" s="1397"/>
      <c r="D35" s="1398"/>
      <c r="E35" s="1398"/>
      <c r="F35" s="1398"/>
      <c r="G35" s="1398"/>
      <c r="H35" s="1398"/>
      <c r="I35" s="1398"/>
      <c r="J35" s="1398"/>
      <c r="K35" s="1398"/>
    </row>
    <row r="36" spans="1:11" ht="11.25" customHeight="1" x14ac:dyDescent="0.25">
      <c r="A36" s="873" t="s">
        <v>1226</v>
      </c>
      <c r="B36" s="1404"/>
      <c r="C36" s="1405"/>
      <c r="D36" s="1406"/>
      <c r="E36" s="1406"/>
      <c r="F36" s="1406"/>
      <c r="G36" s="1406"/>
      <c r="H36" s="1406"/>
      <c r="I36" s="1406"/>
      <c r="J36" s="1406"/>
      <c r="K36" s="1406"/>
    </row>
    <row r="37" spans="1:11" ht="11.25" customHeight="1" x14ac:dyDescent="0.25">
      <c r="A37" s="874" t="s">
        <v>1225</v>
      </c>
      <c r="B37" s="1401"/>
      <c r="C37" s="1397"/>
      <c r="D37" s="1398"/>
      <c r="E37" s="1398"/>
      <c r="F37" s="1398"/>
      <c r="G37" s="1398"/>
      <c r="H37" s="1398"/>
      <c r="I37" s="1398"/>
      <c r="J37" s="1398"/>
      <c r="K37" s="1398"/>
    </row>
    <row r="38" spans="1:11" ht="11.25" customHeight="1" x14ac:dyDescent="0.25">
      <c r="A38" s="1402" t="s">
        <v>963</v>
      </c>
      <c r="B38" s="1401"/>
      <c r="C38" s="1397"/>
      <c r="D38" s="1398"/>
      <c r="E38" s="1398"/>
      <c r="F38" s="1398"/>
      <c r="G38" s="1398"/>
      <c r="H38" s="1398"/>
      <c r="I38" s="1398"/>
      <c r="J38" s="1398"/>
      <c r="K38" s="1398"/>
    </row>
    <row r="39" spans="1:11" ht="11.25" customHeight="1" x14ac:dyDescent="0.25">
      <c r="A39" s="1403"/>
      <c r="B39" s="1401"/>
      <c r="C39" s="1397"/>
      <c r="D39" s="1398"/>
      <c r="E39" s="1398"/>
      <c r="F39" s="1398"/>
      <c r="G39" s="1398"/>
      <c r="H39" s="1398"/>
      <c r="I39" s="1398"/>
      <c r="J39" s="1398"/>
      <c r="K39" s="1398"/>
    </row>
    <row r="40" spans="1:11" ht="11.25" customHeight="1" x14ac:dyDescent="0.25">
      <c r="A40" s="874" t="s">
        <v>1227</v>
      </c>
      <c r="B40" s="1404"/>
      <c r="C40" s="1405"/>
      <c r="D40" s="1406"/>
      <c r="E40" s="1406"/>
      <c r="F40" s="1406"/>
      <c r="G40" s="1406"/>
      <c r="H40" s="1406"/>
      <c r="I40" s="1406"/>
      <c r="J40" s="1406"/>
      <c r="K40" s="1406"/>
    </row>
    <row r="41" spans="1:11" ht="11.25" customHeight="1" x14ac:dyDescent="0.25">
      <c r="A41" s="1402" t="s">
        <v>963</v>
      </c>
      <c r="B41" s="1401"/>
      <c r="C41" s="1397"/>
      <c r="D41" s="1398"/>
      <c r="E41" s="1398"/>
      <c r="F41" s="1398"/>
      <c r="G41" s="1398"/>
      <c r="H41" s="1398"/>
      <c r="I41" s="1398"/>
      <c r="J41" s="1398"/>
      <c r="K41" s="1398"/>
    </row>
    <row r="42" spans="1:11" ht="11.25" customHeight="1" x14ac:dyDescent="0.25">
      <c r="A42" s="1403"/>
      <c r="B42" s="1401"/>
      <c r="C42" s="1397"/>
      <c r="D42" s="1398"/>
      <c r="E42" s="1398"/>
      <c r="F42" s="1398"/>
      <c r="G42" s="1398"/>
      <c r="H42" s="1398"/>
      <c r="I42" s="1398"/>
      <c r="J42" s="1398"/>
      <c r="K42" s="1398"/>
    </row>
    <row r="43" spans="1:11" ht="11.25" customHeight="1" x14ac:dyDescent="0.25">
      <c r="A43" s="874" t="s">
        <v>1228</v>
      </c>
      <c r="B43" s="1407"/>
      <c r="C43" s="1405"/>
      <c r="D43" s="1406"/>
      <c r="E43" s="1406"/>
      <c r="F43" s="1406"/>
      <c r="G43" s="1406"/>
      <c r="H43" s="1406"/>
      <c r="I43" s="1406"/>
      <c r="J43" s="1406"/>
      <c r="K43" s="1406"/>
    </row>
    <row r="44" spans="1:11" ht="11.25" customHeight="1" x14ac:dyDescent="0.25">
      <c r="A44" s="1402" t="s">
        <v>963</v>
      </c>
      <c r="B44" s="1401"/>
      <c r="C44" s="1397"/>
      <c r="D44" s="1398"/>
      <c r="E44" s="1398"/>
      <c r="F44" s="1398"/>
      <c r="G44" s="1398"/>
      <c r="H44" s="1398"/>
      <c r="I44" s="1398"/>
      <c r="J44" s="1398"/>
      <c r="K44" s="1398"/>
    </row>
    <row r="45" spans="1:11" ht="11.25" customHeight="1" x14ac:dyDescent="0.25">
      <c r="A45" s="1402"/>
      <c r="B45" s="1409"/>
      <c r="C45" s="1410"/>
      <c r="D45" s="1411"/>
      <c r="E45" s="1411"/>
      <c r="F45" s="1411"/>
      <c r="G45" s="1411"/>
      <c r="H45" s="1411"/>
      <c r="I45" s="1411"/>
      <c r="J45" s="1411"/>
      <c r="K45" s="1411"/>
    </row>
    <row r="46" spans="1:11" ht="11.25" customHeight="1" x14ac:dyDescent="0.25">
      <c r="A46" s="870" t="s">
        <v>1230</v>
      </c>
      <c r="B46" s="1401"/>
      <c r="C46" s="1397"/>
      <c r="D46" s="1398"/>
      <c r="E46" s="1398"/>
      <c r="F46" s="1398"/>
      <c r="G46" s="1398"/>
      <c r="H46" s="1398"/>
      <c r="I46" s="1398"/>
      <c r="J46" s="1398"/>
      <c r="K46" s="1398"/>
    </row>
    <row r="47" spans="1:11" ht="11.25" customHeight="1" x14ac:dyDescent="0.25">
      <c r="A47" s="873" t="s">
        <v>1224</v>
      </c>
      <c r="B47" s="1401"/>
      <c r="C47" s="1397"/>
      <c r="D47" s="1398"/>
      <c r="E47" s="1398"/>
      <c r="F47" s="1398"/>
      <c r="G47" s="1398"/>
      <c r="H47" s="1398"/>
      <c r="I47" s="1398"/>
      <c r="J47" s="1398"/>
      <c r="K47" s="1398"/>
    </row>
    <row r="48" spans="1:11" ht="11.25" customHeight="1" x14ac:dyDescent="0.25">
      <c r="A48" s="874" t="s">
        <v>1225</v>
      </c>
      <c r="B48" s="1401"/>
      <c r="C48" s="1397"/>
      <c r="D48" s="1398"/>
      <c r="E48" s="1398"/>
      <c r="F48" s="1398"/>
      <c r="G48" s="1398"/>
      <c r="H48" s="1398"/>
      <c r="I48" s="1398"/>
      <c r="J48" s="1398"/>
      <c r="K48" s="1398"/>
    </row>
    <row r="49" spans="1:11" ht="11.25" customHeight="1" x14ac:dyDescent="0.25">
      <c r="A49" s="1402" t="s">
        <v>963</v>
      </c>
      <c r="B49" s="1401"/>
      <c r="C49" s="1397"/>
      <c r="D49" s="1398"/>
      <c r="E49" s="1398"/>
      <c r="F49" s="1398"/>
      <c r="G49" s="1398"/>
      <c r="H49" s="1398"/>
      <c r="I49" s="1398"/>
      <c r="J49" s="1398"/>
      <c r="K49" s="1398"/>
    </row>
    <row r="50" spans="1:11" ht="11.25" customHeight="1" x14ac:dyDescent="0.25">
      <c r="A50" s="1403"/>
      <c r="B50" s="1401"/>
      <c r="C50" s="1397"/>
      <c r="D50" s="1398"/>
      <c r="E50" s="1398"/>
      <c r="F50" s="1398"/>
      <c r="G50" s="1398"/>
      <c r="H50" s="1398"/>
      <c r="I50" s="1398"/>
      <c r="J50" s="1398"/>
      <c r="K50" s="1398"/>
    </row>
    <row r="51" spans="1:11" ht="11.25" customHeight="1" x14ac:dyDescent="0.25">
      <c r="A51" s="874" t="s">
        <v>1227</v>
      </c>
      <c r="B51" s="1404"/>
      <c r="C51" s="1405"/>
      <c r="D51" s="1406"/>
      <c r="E51" s="1406"/>
      <c r="F51" s="1406"/>
      <c r="G51" s="1406"/>
      <c r="H51" s="1406"/>
      <c r="I51" s="1406"/>
      <c r="J51" s="1406"/>
      <c r="K51" s="1406"/>
    </row>
    <row r="52" spans="1:11" ht="11.25" customHeight="1" x14ac:dyDescent="0.25">
      <c r="A52" s="1402" t="s">
        <v>963</v>
      </c>
      <c r="B52" s="1401"/>
      <c r="C52" s="1397"/>
      <c r="D52" s="1398"/>
      <c r="E52" s="1398"/>
      <c r="F52" s="1398"/>
      <c r="G52" s="1398"/>
      <c r="H52" s="1398"/>
      <c r="I52" s="1398"/>
      <c r="J52" s="1398"/>
      <c r="K52" s="1398"/>
    </row>
    <row r="53" spans="1:11" ht="11.25" customHeight="1" x14ac:dyDescent="0.25">
      <c r="A53" s="1403"/>
      <c r="B53" s="1401"/>
      <c r="C53" s="1397"/>
      <c r="D53" s="1398"/>
      <c r="E53" s="1398"/>
      <c r="F53" s="1398"/>
      <c r="G53" s="1398"/>
      <c r="H53" s="1398"/>
      <c r="I53" s="1398"/>
      <c r="J53" s="1398"/>
      <c r="K53" s="1398"/>
    </row>
    <row r="54" spans="1:11" ht="11.25" customHeight="1" x14ac:dyDescent="0.25">
      <c r="A54" s="874" t="s">
        <v>1228</v>
      </c>
      <c r="B54" s="1404"/>
      <c r="C54" s="1405"/>
      <c r="D54" s="1406"/>
      <c r="E54" s="1406"/>
      <c r="F54" s="1406"/>
      <c r="G54" s="1406"/>
      <c r="H54" s="1406"/>
      <c r="I54" s="1406"/>
      <c r="J54" s="1406"/>
      <c r="K54" s="1406"/>
    </row>
    <row r="55" spans="1:11" ht="11.25" customHeight="1" x14ac:dyDescent="0.25">
      <c r="A55" s="1402" t="s">
        <v>963</v>
      </c>
      <c r="B55" s="1401"/>
      <c r="C55" s="1397"/>
      <c r="D55" s="1398"/>
      <c r="E55" s="1398"/>
      <c r="F55" s="1398"/>
      <c r="G55" s="1398"/>
      <c r="H55" s="1398"/>
      <c r="I55" s="1398"/>
      <c r="J55" s="1398"/>
      <c r="K55" s="1398"/>
    </row>
    <row r="56" spans="1:11" ht="11.25" customHeight="1" x14ac:dyDescent="0.25">
      <c r="A56" s="1403"/>
      <c r="B56" s="1401"/>
      <c r="C56" s="1397"/>
      <c r="D56" s="1398"/>
      <c r="E56" s="1398"/>
      <c r="F56" s="1398"/>
      <c r="G56" s="1398"/>
      <c r="H56" s="1398"/>
      <c r="I56" s="1398"/>
      <c r="J56" s="1398"/>
      <c r="K56" s="1398"/>
    </row>
    <row r="57" spans="1:11" ht="11.25" customHeight="1" x14ac:dyDescent="0.25">
      <c r="A57" s="873" t="s">
        <v>1226</v>
      </c>
      <c r="B57" s="1404"/>
      <c r="C57" s="1405"/>
      <c r="D57" s="1406"/>
      <c r="E57" s="1406"/>
      <c r="F57" s="1406"/>
      <c r="G57" s="1406"/>
      <c r="H57" s="1406"/>
      <c r="I57" s="1406"/>
      <c r="J57" s="1406"/>
      <c r="K57" s="1406"/>
    </row>
    <row r="58" spans="1:11" ht="11.25" customHeight="1" x14ac:dyDescent="0.25">
      <c r="A58" s="874" t="s">
        <v>1225</v>
      </c>
      <c r="B58" s="1401"/>
      <c r="C58" s="1397"/>
      <c r="D58" s="1398"/>
      <c r="E58" s="1398"/>
      <c r="F58" s="1398"/>
      <c r="G58" s="1398"/>
      <c r="H58" s="1398"/>
      <c r="I58" s="1398"/>
      <c r="J58" s="1398"/>
      <c r="K58" s="1398"/>
    </row>
    <row r="59" spans="1:11" ht="11.25" customHeight="1" x14ac:dyDescent="0.25">
      <c r="A59" s="1402" t="s">
        <v>963</v>
      </c>
      <c r="B59" s="1401"/>
      <c r="C59" s="1397"/>
      <c r="D59" s="1398"/>
      <c r="E59" s="1398"/>
      <c r="F59" s="1398"/>
      <c r="G59" s="1398"/>
      <c r="H59" s="1398"/>
      <c r="I59" s="1398"/>
      <c r="J59" s="1398"/>
      <c r="K59" s="1398"/>
    </row>
    <row r="60" spans="1:11" ht="11.25" customHeight="1" x14ac:dyDescent="0.25">
      <c r="A60" s="1403"/>
      <c r="B60" s="1401"/>
      <c r="C60" s="1397"/>
      <c r="D60" s="1398"/>
      <c r="E60" s="1398"/>
      <c r="F60" s="1398"/>
      <c r="G60" s="1398"/>
      <c r="H60" s="1398"/>
      <c r="I60" s="1398"/>
      <c r="J60" s="1398"/>
      <c r="K60" s="1398"/>
    </row>
    <row r="61" spans="1:11" ht="11.25" customHeight="1" x14ac:dyDescent="0.25">
      <c r="A61" s="874" t="s">
        <v>1227</v>
      </c>
      <c r="B61" s="1404"/>
      <c r="C61" s="1405"/>
      <c r="D61" s="1406"/>
      <c r="E61" s="1406"/>
      <c r="F61" s="1406"/>
      <c r="G61" s="1406"/>
      <c r="H61" s="1406"/>
      <c r="I61" s="1406"/>
      <c r="J61" s="1406"/>
      <c r="K61" s="1406"/>
    </row>
    <row r="62" spans="1:11" ht="11.25" customHeight="1" x14ac:dyDescent="0.25">
      <c r="A62" s="1402" t="s">
        <v>963</v>
      </c>
      <c r="B62" s="1401"/>
      <c r="C62" s="1397"/>
      <c r="D62" s="1398"/>
      <c r="E62" s="1398"/>
      <c r="F62" s="1398"/>
      <c r="G62" s="1398"/>
      <c r="H62" s="1398"/>
      <c r="I62" s="1398"/>
      <c r="J62" s="1398"/>
      <c r="K62" s="1398"/>
    </row>
    <row r="63" spans="1:11" ht="11.25" customHeight="1" x14ac:dyDescent="0.25">
      <c r="A63" s="1403"/>
      <c r="B63" s="1401"/>
      <c r="C63" s="1397"/>
      <c r="D63" s="1398"/>
      <c r="E63" s="1398"/>
      <c r="F63" s="1398"/>
      <c r="G63" s="1398"/>
      <c r="H63" s="1398"/>
      <c r="I63" s="1398"/>
      <c r="J63" s="1398"/>
      <c r="K63" s="1398"/>
    </row>
    <row r="64" spans="1:11" ht="11.25" customHeight="1" x14ac:dyDescent="0.25">
      <c r="A64" s="874" t="s">
        <v>1228</v>
      </c>
      <c r="B64" s="1404"/>
      <c r="C64" s="1405"/>
      <c r="D64" s="1406"/>
      <c r="E64" s="1406"/>
      <c r="F64" s="1406"/>
      <c r="G64" s="1406"/>
      <c r="H64" s="1406"/>
      <c r="I64" s="1406"/>
      <c r="J64" s="1406"/>
      <c r="K64" s="1406"/>
    </row>
    <row r="65" spans="1:11" ht="11.25" customHeight="1" x14ac:dyDescent="0.25">
      <c r="A65" s="1402" t="s">
        <v>963</v>
      </c>
      <c r="B65" s="1401"/>
      <c r="C65" s="1397"/>
      <c r="D65" s="1398"/>
      <c r="E65" s="1398"/>
      <c r="F65" s="1398"/>
      <c r="G65" s="1398"/>
      <c r="H65" s="1398"/>
      <c r="I65" s="1398"/>
      <c r="J65" s="1398"/>
      <c r="K65" s="1398"/>
    </row>
    <row r="66" spans="1:11" ht="11.25" customHeight="1" x14ac:dyDescent="0.25">
      <c r="A66" s="1402"/>
      <c r="B66" s="1401"/>
      <c r="C66" s="1397"/>
      <c r="D66" s="1398"/>
      <c r="E66" s="1398"/>
      <c r="F66" s="1398"/>
      <c r="G66" s="1398"/>
      <c r="H66" s="1398"/>
      <c r="I66" s="1398"/>
      <c r="J66" s="1398"/>
      <c r="K66" s="1398"/>
    </row>
    <row r="67" spans="1:11" ht="11.25" customHeight="1" x14ac:dyDescent="0.25">
      <c r="A67" s="1412" t="s">
        <v>1231</v>
      </c>
      <c r="B67" s="1409"/>
      <c r="C67" s="1410"/>
      <c r="D67" s="1411"/>
      <c r="E67" s="1411"/>
      <c r="F67" s="1411"/>
      <c r="G67" s="1411"/>
      <c r="H67" s="1411"/>
      <c r="I67" s="1411"/>
      <c r="J67" s="1411"/>
      <c r="K67" s="1411"/>
    </row>
    <row r="68" spans="1:11" ht="11.25" customHeight="1" x14ac:dyDescent="0.25">
      <c r="A68" s="1911" t="s">
        <v>149</v>
      </c>
      <c r="B68" s="1911"/>
      <c r="C68" s="1911"/>
      <c r="D68" s="1911"/>
      <c r="E68" s="1911"/>
      <c r="F68" s="1911"/>
      <c r="G68" s="1911"/>
      <c r="H68" s="1911"/>
      <c r="I68" s="1911"/>
      <c r="J68" s="1911"/>
      <c r="K68" s="1911"/>
    </row>
    <row r="69" spans="1:11" ht="11.25" customHeight="1" x14ac:dyDescent="0.25">
      <c r="A69" s="132" t="s">
        <v>1222</v>
      </c>
      <c r="B69" s="19"/>
      <c r="C69" s="253"/>
      <c r="D69" s="253"/>
      <c r="E69" s="253"/>
      <c r="F69" s="253"/>
      <c r="G69" s="253"/>
      <c r="H69" s="253"/>
      <c r="I69" s="253"/>
      <c r="J69" s="253"/>
      <c r="K69" s="253"/>
    </row>
    <row r="70" spans="1:11" ht="11.25" customHeight="1" x14ac:dyDescent="0.25">
      <c r="A70" s="132" t="s">
        <v>1196</v>
      </c>
      <c r="B70" s="19"/>
      <c r="C70" s="253"/>
      <c r="D70" s="253"/>
      <c r="E70" s="253"/>
      <c r="F70" s="253"/>
      <c r="G70" s="253"/>
      <c r="H70" s="253"/>
      <c r="I70" s="253"/>
      <c r="J70" s="253"/>
      <c r="K70" s="253"/>
    </row>
    <row r="71" spans="1:11" ht="12.75" x14ac:dyDescent="0.25">
      <c r="B71" s="183"/>
    </row>
    <row r="72" spans="1:11" ht="12.75" customHeight="1" x14ac:dyDescent="0.25">
      <c r="A72" s="23" t="str">
        <f>muni&amp;" - "&amp;"Entities measureable performance objectives"</f>
        <v>EC101 Dr Beyers Naude - Entities measureable performance objectives</v>
      </c>
      <c r="B72" s="23"/>
      <c r="C72" s="23"/>
      <c r="D72" s="23"/>
      <c r="E72" s="23"/>
      <c r="F72" s="23"/>
      <c r="G72" s="23"/>
      <c r="H72" s="23"/>
      <c r="I72" s="23"/>
      <c r="J72" s="23"/>
      <c r="K72" s="23"/>
    </row>
    <row r="73" spans="1:11" ht="28.5" customHeight="1" x14ac:dyDescent="0.25">
      <c r="A73" s="1940" t="str">
        <f>A2</f>
        <v>Description</v>
      </c>
      <c r="B73" s="1938" t="s">
        <v>359</v>
      </c>
      <c r="C73" s="21" t="str">
        <f>head1b</f>
        <v>2015/16</v>
      </c>
      <c r="D73" s="26" t="str">
        <f>head1A</f>
        <v>2016/17</v>
      </c>
      <c r="E73" s="22" t="str">
        <f>Head1</f>
        <v>2017/18</v>
      </c>
      <c r="F73" s="1907" t="str">
        <f>Head2</f>
        <v>Current Year 2018/19</v>
      </c>
      <c r="G73" s="1908"/>
      <c r="H73" s="1912"/>
      <c r="I73" s="1904" t="str">
        <f>Head3</f>
        <v>2019/20 Medium Term Revenue &amp; Expenditure Framework</v>
      </c>
      <c r="J73" s="1905"/>
      <c r="K73" s="1906"/>
    </row>
    <row r="74" spans="1:11" ht="25.5" x14ac:dyDescent="0.25">
      <c r="A74" s="1941"/>
      <c r="B74" s="1939"/>
      <c r="C74" s="202" t="str">
        <f>Head5</f>
        <v>Audited Outcome</v>
      </c>
      <c r="D74" s="203" t="str">
        <f>Head5</f>
        <v>Audited Outcome</v>
      </c>
      <c r="E74" s="204" t="str">
        <f>Head5</f>
        <v>Audited Outcome</v>
      </c>
      <c r="F74" s="141" t="str">
        <f>Head6</f>
        <v>Original Budget</v>
      </c>
      <c r="G74" s="203" t="str">
        <f>Head7</f>
        <v>Adjusted Budget</v>
      </c>
      <c r="H74" s="204" t="str">
        <f>Head8</f>
        <v>Full Year Forecast</v>
      </c>
      <c r="I74" s="141" t="str">
        <f>Head9</f>
        <v>Budget Year 2019/20</v>
      </c>
      <c r="J74" s="203" t="str">
        <f>Head10</f>
        <v>Budget Year +1 2020/21</v>
      </c>
      <c r="K74" s="204" t="str">
        <f>Head11</f>
        <v>Budget Year +2 2021/22</v>
      </c>
    </row>
    <row r="75" spans="1:11" ht="11.25" customHeight="1" x14ac:dyDescent="0.25">
      <c r="A75" s="872" t="s">
        <v>1232</v>
      </c>
      <c r="B75" s="1396"/>
      <c r="C75" s="1413"/>
      <c r="D75" s="1414"/>
      <c r="E75" s="1415"/>
      <c r="F75" s="1416"/>
      <c r="G75" s="1414"/>
      <c r="H75" s="1417"/>
      <c r="I75" s="1418"/>
      <c r="J75" s="1414"/>
      <c r="K75" s="1415"/>
    </row>
    <row r="76" spans="1:11" ht="11.25" customHeight="1" x14ac:dyDescent="0.25">
      <c r="A76" s="1419" t="s">
        <v>963</v>
      </c>
      <c r="B76" s="1401"/>
      <c r="C76" s="1413"/>
      <c r="D76" s="1414"/>
      <c r="E76" s="1415"/>
      <c r="F76" s="1416"/>
      <c r="G76" s="1414"/>
      <c r="H76" s="1417"/>
      <c r="I76" s="1420"/>
      <c r="J76" s="1414"/>
      <c r="K76" s="1415"/>
    </row>
    <row r="77" spans="1:11" ht="11.25" customHeight="1" x14ac:dyDescent="0.25">
      <c r="A77" s="1419"/>
      <c r="B77" s="1401"/>
      <c r="C77" s="1413"/>
      <c r="D77" s="1414"/>
      <c r="E77" s="1415"/>
      <c r="F77" s="1416"/>
      <c r="G77" s="1414"/>
      <c r="H77" s="1417"/>
      <c r="I77" s="1420"/>
      <c r="J77" s="1414"/>
      <c r="K77" s="1415"/>
    </row>
    <row r="78" spans="1:11" ht="11.25" customHeight="1" x14ac:dyDescent="0.25">
      <c r="A78" s="1421"/>
      <c r="B78" s="1401"/>
      <c r="C78" s="1413"/>
      <c r="D78" s="1414"/>
      <c r="E78" s="1415"/>
      <c r="F78" s="1416"/>
      <c r="G78" s="1414"/>
      <c r="H78" s="1417"/>
      <c r="I78" s="1420"/>
      <c r="J78" s="1414"/>
      <c r="K78" s="1415"/>
    </row>
    <row r="79" spans="1:11" ht="11.25" customHeight="1" x14ac:dyDescent="0.25">
      <c r="A79" s="872" t="s">
        <v>1233</v>
      </c>
      <c r="B79" s="1422"/>
      <c r="C79" s="1423"/>
      <c r="D79" s="1424"/>
      <c r="E79" s="1425"/>
      <c r="F79" s="1426"/>
      <c r="G79" s="1424"/>
      <c r="H79" s="1427"/>
      <c r="I79" s="1418"/>
      <c r="J79" s="1424"/>
      <c r="K79" s="1425"/>
    </row>
    <row r="80" spans="1:11" ht="11.25" customHeight="1" x14ac:dyDescent="0.25">
      <c r="A80" s="1768" t="str">
        <f>$A$10</f>
        <v>Insert measure/s description</v>
      </c>
      <c r="B80" s="1401"/>
      <c r="C80" s="1413"/>
      <c r="D80" s="1414"/>
      <c r="E80" s="1415"/>
      <c r="F80" s="1416"/>
      <c r="G80" s="1414"/>
      <c r="H80" s="1417"/>
      <c r="I80" s="1420"/>
      <c r="J80" s="1414"/>
      <c r="K80" s="1415"/>
    </row>
    <row r="81" spans="1:11" ht="11.25" customHeight="1" x14ac:dyDescent="0.25">
      <c r="A81" s="1419"/>
      <c r="B81" s="1401"/>
      <c r="C81" s="1413"/>
      <c r="D81" s="1414"/>
      <c r="E81" s="1415"/>
      <c r="F81" s="1416"/>
      <c r="G81" s="1414"/>
      <c r="H81" s="1417"/>
      <c r="I81" s="1420"/>
      <c r="J81" s="1414"/>
      <c r="K81" s="1415"/>
    </row>
    <row r="82" spans="1:11" ht="11.25" customHeight="1" x14ac:dyDescent="0.25">
      <c r="A82" s="1419"/>
      <c r="B82" s="1428"/>
      <c r="C82" s="1429"/>
      <c r="D82" s="1430"/>
      <c r="E82" s="1431"/>
      <c r="F82" s="1432"/>
      <c r="G82" s="1430"/>
      <c r="H82" s="1433"/>
      <c r="I82" s="1434"/>
      <c r="J82" s="1430"/>
      <c r="K82" s="1431"/>
    </row>
    <row r="83" spans="1:11" ht="11.25" customHeight="1" x14ac:dyDescent="0.25">
      <c r="A83" s="872" t="s">
        <v>1234</v>
      </c>
      <c r="B83" s="1435"/>
      <c r="C83" s="1436"/>
      <c r="D83" s="1437"/>
      <c r="E83" s="1438"/>
      <c r="F83" s="1439"/>
      <c r="G83" s="1437"/>
      <c r="H83" s="1440"/>
      <c r="I83" s="1441"/>
      <c r="J83" s="1437"/>
      <c r="K83" s="1438"/>
    </row>
    <row r="84" spans="1:11" ht="11.25" customHeight="1" x14ac:dyDescent="0.25">
      <c r="A84" s="1768" t="str">
        <f>$A$10</f>
        <v>Insert measure/s description</v>
      </c>
      <c r="B84" s="1401"/>
      <c r="C84" s="1442"/>
      <c r="D84" s="1443"/>
      <c r="E84" s="1444"/>
      <c r="F84" s="1445"/>
      <c r="G84" s="1443"/>
      <c r="H84" s="1446"/>
      <c r="I84" s="1447"/>
      <c r="J84" s="1443"/>
      <c r="K84" s="1444"/>
    </row>
    <row r="85" spans="1:11" ht="11.25" customHeight="1" x14ac:dyDescent="0.25">
      <c r="A85" s="1419"/>
      <c r="B85" s="1428"/>
      <c r="C85" s="1429"/>
      <c r="D85" s="1430"/>
      <c r="E85" s="1431"/>
      <c r="F85" s="1432"/>
      <c r="G85" s="1430"/>
      <c r="H85" s="1433"/>
      <c r="I85" s="1434"/>
      <c r="J85" s="1430"/>
      <c r="K85" s="1431"/>
    </row>
    <row r="86" spans="1:11" ht="11.25" customHeight="1" x14ac:dyDescent="0.25">
      <c r="A86" s="1419"/>
      <c r="B86" s="1428"/>
      <c r="C86" s="1429"/>
      <c r="D86" s="1430"/>
      <c r="E86" s="1431"/>
      <c r="F86" s="1432"/>
      <c r="G86" s="1430"/>
      <c r="H86" s="1433"/>
      <c r="I86" s="1434"/>
      <c r="J86" s="1430"/>
      <c r="K86" s="1431"/>
    </row>
    <row r="87" spans="1:11" ht="11.25" customHeight="1" x14ac:dyDescent="0.25">
      <c r="A87" s="1412" t="s">
        <v>1235</v>
      </c>
      <c r="B87" s="1448"/>
      <c r="C87" s="1449"/>
      <c r="D87" s="1450"/>
      <c r="E87" s="1451"/>
      <c r="F87" s="1452"/>
      <c r="G87" s="1450"/>
      <c r="H87" s="1453"/>
      <c r="I87" s="1454"/>
      <c r="J87" s="1450"/>
      <c r="K87" s="1451"/>
    </row>
    <row r="88" spans="1:11" ht="11.25" customHeight="1" x14ac:dyDescent="0.25">
      <c r="A88" s="1911" t="s">
        <v>150</v>
      </c>
      <c r="B88" s="1911"/>
      <c r="C88" s="1911"/>
      <c r="D88" s="1911"/>
      <c r="E88" s="1911"/>
      <c r="F88" s="1911"/>
      <c r="G88" s="1911"/>
      <c r="H88" s="1911"/>
      <c r="I88" s="1911"/>
      <c r="J88" s="1911"/>
      <c r="K88" s="1911"/>
    </row>
    <row r="89" spans="1:11" ht="11.25" customHeight="1" x14ac:dyDescent="0.25">
      <c r="A89" s="132" t="s">
        <v>1197</v>
      </c>
      <c r="B89" s="19"/>
      <c r="C89" s="253"/>
      <c r="D89" s="253"/>
      <c r="E89" s="253"/>
      <c r="F89" s="253"/>
      <c r="G89" s="253"/>
      <c r="H89" s="253"/>
      <c r="I89" s="253"/>
      <c r="J89" s="253"/>
      <c r="K89" s="253"/>
    </row>
  </sheetData>
  <mergeCells count="10">
    <mergeCell ref="B2:B3"/>
    <mergeCell ref="A2:A3"/>
    <mergeCell ref="F2:H2"/>
    <mergeCell ref="I2:K2"/>
    <mergeCell ref="A88:K88"/>
    <mergeCell ref="A68:K68"/>
    <mergeCell ref="A73:A74"/>
    <mergeCell ref="B73:B74"/>
    <mergeCell ref="F73:H73"/>
    <mergeCell ref="I73:K73"/>
  </mergeCells>
  <phoneticPr fontId="3" type="noConversion"/>
  <printOptions horizontalCentered="1"/>
  <pageMargins left="0" right="0" top="0.78740157480314965" bottom="0.59055118110236227" header="0.51181102362204722" footer="0.39370078740157483"/>
  <pageSetup paperSize="9" scale="80" fitToHeight="2" orientation="portrait"/>
  <headerFooter alignWithMargins="0"/>
  <rowBreaks count="1" manualBreakCount="1">
    <brk id="71"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L49"/>
  <sheetViews>
    <sheetView showGridLines="0" zoomScaleNormal="100" workbookViewId="0">
      <pane xSplit="2" ySplit="3" topLeftCell="D4" activePane="bottomRight" state="frozen"/>
      <selection pane="topRight"/>
      <selection pane="bottomLeft"/>
      <selection pane="bottomRight" activeCell="J4" sqref="J4"/>
    </sheetView>
  </sheetViews>
  <sheetFormatPr defaultRowHeight="12.75" x14ac:dyDescent="0.25"/>
  <cols>
    <col min="1" max="1" width="29.28515625" style="25" customWidth="1"/>
    <col min="2" max="2" width="25.140625" style="25" customWidth="1"/>
    <col min="3" max="12" width="8.7109375" style="25" customWidth="1"/>
    <col min="13" max="16384" width="9.140625" style="25"/>
  </cols>
  <sheetData>
    <row r="1" spans="1:12" s="52" customFormat="1" x14ac:dyDescent="0.2">
      <c r="A1" s="23" t="str">
        <f>muni&amp;" - "&amp;TableA8</f>
        <v>EC101 Dr Beyers Naude - Supporting Table SA8 Performance indicators and benchmarks</v>
      </c>
      <c r="B1" s="23"/>
      <c r="C1" s="23"/>
      <c r="D1" s="23"/>
      <c r="E1" s="23"/>
      <c r="F1" s="23"/>
      <c r="G1" s="23"/>
      <c r="H1" s="23"/>
      <c r="I1" s="23"/>
      <c r="J1" s="23"/>
      <c r="K1" s="23"/>
      <c r="L1" s="23"/>
    </row>
    <row r="2" spans="1:12" ht="28.5" customHeight="1" x14ac:dyDescent="0.25">
      <c r="A2" s="1940" t="s">
        <v>290</v>
      </c>
      <c r="B2" s="1938" t="s">
        <v>957</v>
      </c>
      <c r="C2" s="21" t="str">
        <f>head1b</f>
        <v>2015/16</v>
      </c>
      <c r="D2" s="26" t="str">
        <f>head1A</f>
        <v>2016/17</v>
      </c>
      <c r="E2" s="22" t="str">
        <f>Head1</f>
        <v>2017/18</v>
      </c>
      <c r="F2" s="1907" t="str">
        <f>Head2</f>
        <v>Current Year 2018/19</v>
      </c>
      <c r="G2" s="1908"/>
      <c r="H2" s="1908"/>
      <c r="I2" s="1908"/>
      <c r="J2" s="1904" t="str">
        <f>Head3</f>
        <v>2019/20 Medium Term Revenue &amp; Expenditure Framework</v>
      </c>
      <c r="K2" s="1905"/>
      <c r="L2" s="1906"/>
    </row>
    <row r="3" spans="1:12" ht="38.25" x14ac:dyDescent="0.25">
      <c r="A3" s="1941"/>
      <c r="B3" s="1939"/>
      <c r="C3" s="30" t="str">
        <f>Head5</f>
        <v>Audited Outcome</v>
      </c>
      <c r="D3" s="28" t="str">
        <f>Head5</f>
        <v>Audited Outcome</v>
      </c>
      <c r="E3" s="29" t="str">
        <f>Head5</f>
        <v>Audited Outcome</v>
      </c>
      <c r="F3" s="27" t="str">
        <f>Head6</f>
        <v>Original Budget</v>
      </c>
      <c r="G3" s="28" t="str">
        <f>Head7</f>
        <v>Adjusted Budget</v>
      </c>
      <c r="H3" s="29" t="str">
        <f>Head8</f>
        <v>Full Year Forecast</v>
      </c>
      <c r="I3" s="30" t="str">
        <f>Head5b</f>
        <v>Pre-audit outcome</v>
      </c>
      <c r="J3" s="27" t="str">
        <f>Head9</f>
        <v>Budget Year 2019/20</v>
      </c>
      <c r="K3" s="28" t="str">
        <f>Head10</f>
        <v>Budget Year +1 2020/21</v>
      </c>
      <c r="L3" s="29" t="str">
        <f>Head11</f>
        <v>Budget Year +2 2021/22</v>
      </c>
    </row>
    <row r="4" spans="1:12" x14ac:dyDescent="0.25">
      <c r="A4" s="254" t="s">
        <v>688</v>
      </c>
      <c r="B4" s="255"/>
      <c r="C4" s="256"/>
      <c r="D4" s="233"/>
      <c r="E4" s="257"/>
      <c r="F4" s="258"/>
      <c r="G4" s="233"/>
      <c r="H4" s="257"/>
      <c r="I4" s="259"/>
      <c r="J4" s="256"/>
      <c r="K4" s="233"/>
      <c r="L4" s="257"/>
    </row>
    <row r="5" spans="1:12" ht="5.25" customHeight="1" x14ac:dyDescent="0.25">
      <c r="A5" s="266"/>
      <c r="B5" s="260"/>
      <c r="C5" s="261"/>
      <c r="D5" s="262"/>
      <c r="E5" s="263"/>
      <c r="F5" s="264"/>
      <c r="G5" s="262"/>
      <c r="H5" s="263"/>
      <c r="I5" s="265"/>
      <c r="J5" s="261"/>
      <c r="K5" s="262"/>
      <c r="L5" s="263"/>
    </row>
    <row r="6" spans="1:12" x14ac:dyDescent="0.25">
      <c r="A6" s="1861" t="s">
        <v>833</v>
      </c>
      <c r="B6" s="260"/>
      <c r="C6" s="1455"/>
      <c r="D6" s="1456"/>
      <c r="E6" s="1457"/>
      <c r="F6" s="1458"/>
      <c r="G6" s="1456"/>
      <c r="H6" s="1457"/>
      <c r="I6" s="1459"/>
      <c r="J6" s="267"/>
      <c r="K6" s="268"/>
      <c r="L6" s="269"/>
    </row>
    <row r="7" spans="1:12" ht="25.5" x14ac:dyDescent="0.25">
      <c r="A7" s="266" t="s">
        <v>516</v>
      </c>
      <c r="B7" s="260" t="s">
        <v>1284</v>
      </c>
      <c r="C7" s="261">
        <f>IF(ISERROR(('A4-FinPerf RE'!C28-'A7-CFlow'!C35)/'A4-FinPerf RE'!C35),0,(('A4-FinPerf RE'!C28-'A7-CFlow'!C35)/'A4-FinPerf RE'!C35))</f>
        <v>0</v>
      </c>
      <c r="D7" s="262">
        <f>IF(ISERROR(('A4-FinPerf RE'!D28-'A7-CFlow'!D35)/'A4-FinPerf RE'!D35),0,(('A4-FinPerf RE'!D28-'A7-CFlow'!D35)/'A4-FinPerf RE'!D35))</f>
        <v>1.6463561330510336E-2</v>
      </c>
      <c r="E7" s="263">
        <f>IF(ISERROR(('A4-FinPerf RE'!E28-'A7-CFlow'!E35)/'A4-FinPerf RE'!E35),0,(('A4-FinPerf RE'!E28-'A7-CFlow'!E35)/'A4-FinPerf RE'!E35))</f>
        <v>1.7231134900855063E-2</v>
      </c>
      <c r="F7" s="264">
        <f>IF(ISERROR(('A4-FinPerf RE'!F28-'A7-CFlow'!F35)/'A4-FinPerf RE'!F35),0,(('A4-FinPerf RE'!F28-'A7-CFlow'!F35)/'A4-FinPerf RE'!F35))</f>
        <v>1.5231753217961806E-2</v>
      </c>
      <c r="G7" s="262">
        <f>IF(ISERROR(('A4-FinPerf RE'!G28-'A7-CFlow'!G35)/'A4-FinPerf RE'!G35),0,(('A4-FinPerf RE'!G28-'A7-CFlow'!G35)/'A4-FinPerf RE'!G35))</f>
        <v>7.3110737761487368E-3</v>
      </c>
      <c r="H7" s="263">
        <f>IF(ISERROR(('A4-FinPerf RE'!H28-'A7-CFlow'!H35)/'A4-FinPerf RE'!H35),0,(('A4-FinPerf RE'!H28-'A7-CFlow'!H35)/'A4-FinPerf RE'!H35))</f>
        <v>7.3110737761487368E-3</v>
      </c>
      <c r="I7" s="265">
        <f>IF(ISERROR(('A4-FinPerf RE'!I28-'A7-CFlow'!I35)/'A4-FinPerf RE'!I35),0,(('A4-FinPerf RE'!I28-'A7-CFlow'!I35)/'A4-FinPerf RE'!I35))</f>
        <v>7.3110737761487368E-3</v>
      </c>
      <c r="J7" s="261">
        <f>IF(ISERROR(('A4-FinPerf RE'!J28-'A7-CFlow'!J35)/'A4-FinPerf RE'!J35),0,(('A4-FinPerf RE'!J28-'A7-CFlow'!J35)/'A4-FinPerf RE'!J35))</f>
        <v>9.6465170699067872E-3</v>
      </c>
      <c r="K7" s="262">
        <f>IF(ISERROR(('A4-FinPerf RE'!K28-'A7-CFlow'!K35)/'A4-FinPerf RE'!K35),0,(('A4-FinPerf RE'!K28-'A7-CFlow'!K35)/'A4-FinPerf RE'!K35))</f>
        <v>9.6465170699067872E-3</v>
      </c>
      <c r="L7" s="263">
        <f>IF(ISERROR(('A4-FinPerf RE'!L28-'A7-CFlow'!L35)/'A4-FinPerf RE'!L35),0,(('A4-FinPerf RE'!L28-'A7-CFlow'!L35)/'A4-FinPerf RE'!L35))</f>
        <v>9.6465170699067872E-3</v>
      </c>
    </row>
    <row r="8" spans="1:12" ht="25.5" x14ac:dyDescent="0.25">
      <c r="A8" s="266" t="s">
        <v>1962</v>
      </c>
      <c r="B8" s="260" t="s">
        <v>1974</v>
      </c>
      <c r="C8" s="261">
        <f>IF(ISERROR(('A4-FinPerf RE'!C28-'A7-CFlow'!C35)/('A4-FinPerf RE'!C21-'A4-FinPerf RE'!C18)),0,(('A4-FinPerf RE'!C28-'A7-CFlow'!C35)/('A4-FinPerf RE'!C21-'A4-FinPerf RE'!C18)))</f>
        <v>0</v>
      </c>
      <c r="D8" s="262">
        <f>IF(ISERROR(('A4-FinPerf RE'!D28-'A7-CFlow'!D35)/('A4-FinPerf RE'!D21-'A4-FinPerf RE'!D18)),0,(('A4-FinPerf RE'!D28-'A7-CFlow'!D35)/('A4-FinPerf RE'!D21-'A4-FinPerf RE'!D18)))</f>
        <v>3.9803129379543403E-2</v>
      </c>
      <c r="E8" s="263">
        <f>IF(ISERROR(('A4-FinPerf RE'!E28-'A7-CFlow'!E35)/('A4-FinPerf RE'!E21-'A4-FinPerf RE'!E18)),0,(('A4-FinPerf RE'!E28-'A7-CFlow'!E35)/('A4-FinPerf RE'!E21-'A4-FinPerf RE'!E18)))</f>
        <v>3.507807366206267E-2</v>
      </c>
      <c r="F8" s="264">
        <f>IF(ISERROR(('A4-FinPerf RE'!F28-'A7-CFlow'!F35)/('A4-FinPerf RE'!F21-'A4-FinPerf RE'!F18)),0,(('A4-FinPerf RE'!F28-'A7-CFlow'!F35)/('A4-FinPerf RE'!F21-'A4-FinPerf RE'!F18)))</f>
        <v>2.7827799437341753E-2</v>
      </c>
      <c r="G8" s="262">
        <f>IF(ISERROR(('A4-FinPerf RE'!G28-'A7-CFlow'!G35)/('A4-FinPerf RE'!G21-'A4-FinPerf RE'!G18)),0,(('A4-FinPerf RE'!G28-'A7-CFlow'!G35)/('A4-FinPerf RE'!G21-'A4-FinPerf RE'!G18)))</f>
        <v>1.3386317148729319E-2</v>
      </c>
      <c r="H8" s="263">
        <f>IF(ISERROR(('A4-FinPerf RE'!H28-'A7-CFlow'!H35)/('A4-FinPerf RE'!H21-'A4-FinPerf RE'!H18)),0,(('A4-FinPerf RE'!H28-'A7-CFlow'!H35)/('A4-FinPerf RE'!H21-'A4-FinPerf RE'!H18)))</f>
        <v>1.3386317148729319E-2</v>
      </c>
      <c r="I8" s="265">
        <f>IF(ISERROR(('A4-FinPerf RE'!I28-'A7-CFlow'!I35)/('A4-FinPerf RE'!I21-'A4-FinPerf RE'!I18)),0,(('A4-FinPerf RE'!I28-'A7-CFlow'!I35)/('A4-FinPerf RE'!I21-'A4-FinPerf RE'!I18)))</f>
        <v>1.3386317148729319E-2</v>
      </c>
      <c r="J8" s="261">
        <f>IF(ISERROR(('A4-FinPerf RE'!J28-'A7-CFlow'!J35)/('A4-FinPerf RE'!J21-'A4-FinPerf RE'!J18)),0,(('A4-FinPerf RE'!J28-'A7-CFlow'!J35)/('A4-FinPerf RE'!J21-'A4-FinPerf RE'!J18)))</f>
        <v>1.47349509826031E-2</v>
      </c>
      <c r="K8" s="262">
        <f>IF(ISERROR(('A4-FinPerf RE'!K28-'A7-CFlow'!K35)/('A4-FinPerf RE'!K21-'A4-FinPerf RE'!K18)),0,(('A4-FinPerf RE'!K28-'A7-CFlow'!K35)/('A4-FinPerf RE'!K21-'A4-FinPerf RE'!K18)))</f>
        <v>1.4734950982603098E-2</v>
      </c>
      <c r="L8" s="263">
        <f>IF(ISERROR(('A4-FinPerf RE'!L28-'A7-CFlow'!L35)/('A4-FinPerf RE'!L21-'A4-FinPerf RE'!L18)),0,(('A4-FinPerf RE'!L28-'A7-CFlow'!L35)/('A4-FinPerf RE'!L21-'A4-FinPerf RE'!L18)))</f>
        <v>1.4734950982603096E-2</v>
      </c>
    </row>
    <row r="9" spans="1:12" ht="25.5" x14ac:dyDescent="0.25">
      <c r="A9" s="266" t="s">
        <v>791</v>
      </c>
      <c r="B9" s="260" t="s">
        <v>321</v>
      </c>
      <c r="C9" s="261">
        <f>IF(ISERROR(C49/C48),0,(C49/C48))</f>
        <v>0</v>
      </c>
      <c r="D9" s="262">
        <f>IF(ISERROR(D49/D48),0,(D49/D48))</f>
        <v>0</v>
      </c>
      <c r="E9" s="263">
        <f t="shared" ref="E9:L9" si="0">IF(ISERROR(E49/E48),0,(E49/E48))</f>
        <v>0</v>
      </c>
      <c r="F9" s="264">
        <f t="shared" si="0"/>
        <v>0</v>
      </c>
      <c r="G9" s="262">
        <f t="shared" si="0"/>
        <v>0</v>
      </c>
      <c r="H9" s="263">
        <f t="shared" si="0"/>
        <v>0</v>
      </c>
      <c r="I9" s="265">
        <f t="shared" si="0"/>
        <v>0</v>
      </c>
      <c r="J9" s="261">
        <f t="shared" si="0"/>
        <v>0</v>
      </c>
      <c r="K9" s="262">
        <f t="shared" si="0"/>
        <v>0</v>
      </c>
      <c r="L9" s="263">
        <f t="shared" si="0"/>
        <v>0</v>
      </c>
    </row>
    <row r="10" spans="1:12" x14ac:dyDescent="0.25">
      <c r="A10" s="270" t="s">
        <v>296</v>
      </c>
      <c r="B10" s="260"/>
      <c r="C10" s="271"/>
      <c r="D10" s="235"/>
      <c r="E10" s="242"/>
      <c r="F10" s="243"/>
      <c r="G10" s="235"/>
      <c r="H10" s="242"/>
      <c r="I10" s="272"/>
      <c r="J10" s="271"/>
      <c r="K10" s="235"/>
      <c r="L10" s="242"/>
    </row>
    <row r="11" spans="1:12" ht="25.5" x14ac:dyDescent="0.25">
      <c r="A11" s="266" t="s">
        <v>295</v>
      </c>
      <c r="B11" s="260" t="s">
        <v>248</v>
      </c>
      <c r="C11" s="261">
        <f>IF(ISERROR(('A6-FinPos'!C37/'A6-FinPos'!C46)),0,(('A6-FinPos'!C37/'A6-FinPos'!C46)))</f>
        <v>0</v>
      </c>
      <c r="D11" s="262">
        <f>IF(ISERROR(('A6-FinPos'!D37/'A6-FinPos'!D46)),0,(('A6-FinPos'!D37/'A6-FinPos'!D46)))</f>
        <v>0</v>
      </c>
      <c r="E11" s="263">
        <f>IF(ISERROR(('A6-FinPos'!E37/'A6-FinPos'!E46)),0,(('A6-FinPos'!E37/'A6-FinPos'!E46)))</f>
        <v>0</v>
      </c>
      <c r="F11" s="264">
        <f>IF(ISERROR(('A6-FinPos'!F37/'A6-FinPos'!F46)),0,(('A6-FinPos'!F37/'A6-FinPos'!F46)))</f>
        <v>0</v>
      </c>
      <c r="G11" s="262">
        <f>IF(ISERROR(('A6-FinPos'!G37/'A6-FinPos'!G46)),0,(('A6-FinPos'!G37/'A6-FinPos'!G46)))</f>
        <v>0</v>
      </c>
      <c r="H11" s="263">
        <f>IF(ISERROR(('A6-FinPos'!H37/'A6-FinPos'!H46)),0,(('A6-FinPos'!H37/'A6-FinPos'!H46)))</f>
        <v>0</v>
      </c>
      <c r="I11" s="265">
        <f>IF(ISERROR(('A6-FinPos'!I37/'A6-FinPos'!I46)),0,(('A6-FinPos'!I37/'A6-FinPos'!I46)))</f>
        <v>0</v>
      </c>
      <c r="J11" s="261">
        <f>IF(ISERROR(('A6-FinPos'!J37/'A6-FinPos'!J46)),0,(('A6-FinPos'!J37/'A6-FinPos'!J46)))</f>
        <v>0</v>
      </c>
      <c r="K11" s="262">
        <f>IF(ISERROR(('A6-FinPos'!K37/'A6-FinPos'!K46)),0,(('A6-FinPos'!K37/'A6-FinPos'!K46)))</f>
        <v>0</v>
      </c>
      <c r="L11" s="263">
        <f>IF(ISERROR(('A6-FinPos'!L37/'A6-FinPos'!L46)),0,(('A6-FinPos'!L37/'A6-FinPos'!L46)))</f>
        <v>0</v>
      </c>
    </row>
    <row r="12" spans="1:12" x14ac:dyDescent="0.25">
      <c r="A12" s="270" t="s">
        <v>297</v>
      </c>
      <c r="B12" s="260"/>
      <c r="C12" s="271"/>
      <c r="D12" s="235"/>
      <c r="E12" s="242"/>
      <c r="F12" s="243"/>
      <c r="G12" s="235"/>
      <c r="H12" s="242"/>
      <c r="I12" s="272"/>
      <c r="J12" s="271"/>
      <c r="K12" s="235"/>
      <c r="L12" s="242"/>
    </row>
    <row r="13" spans="1:12" x14ac:dyDescent="0.25">
      <c r="A13" s="266" t="s">
        <v>517</v>
      </c>
      <c r="B13" s="260" t="s">
        <v>1288</v>
      </c>
      <c r="C13" s="273">
        <f>IF(ISERROR('A6-FinPos'!C12/'A6-FinPos'!C34),0,('A6-FinPos'!C12/'A6-FinPos'!C34))</f>
        <v>0</v>
      </c>
      <c r="D13" s="274">
        <f>IF(ISERROR('A6-FinPos'!D12/'A6-FinPos'!D34),0,('A6-FinPos'!D12/'A6-FinPos'!D34))</f>
        <v>0.41695705605730937</v>
      </c>
      <c r="E13" s="275">
        <f>IF(ISERROR('A6-FinPos'!E12/'A6-FinPos'!E34),0,('A6-FinPos'!E12/'A6-FinPos'!E34))</f>
        <v>0.33249817589429059</v>
      </c>
      <c r="F13" s="276">
        <f>IF(ISERROR('A6-FinPos'!F12/'A6-FinPos'!F34),0,('A6-FinPos'!F12/'A6-FinPos'!F34))</f>
        <v>0.60533421789426933</v>
      </c>
      <c r="G13" s="274">
        <f>IF(ISERROR('A6-FinPos'!G12/'A6-FinPos'!G34),0,('A6-FinPos'!G12/'A6-FinPos'!G34))</f>
        <v>0.67207414021050449</v>
      </c>
      <c r="H13" s="275">
        <f>IF(ISERROR('A6-FinPos'!H12/'A6-FinPos'!H34),0,('A6-FinPos'!H12/'A6-FinPos'!H34))</f>
        <v>0.67207414021050449</v>
      </c>
      <c r="I13" s="277">
        <f>IF(ISERROR('A6-FinPos'!I12/'A6-FinPos'!I34),0,('A6-FinPos'!I12/'A6-FinPos'!I34))</f>
        <v>0.67207414021050449</v>
      </c>
      <c r="J13" s="273">
        <f>IF(ISERROR('A6-FinPos'!J12/'A6-FinPos'!J34),0,('A6-FinPos'!J12/'A6-FinPos'!J34))</f>
        <v>1.8158564530309749</v>
      </c>
      <c r="K13" s="274">
        <f>IF(ISERROR('A6-FinPos'!K12/'A6-FinPos'!K34),0,('A6-FinPos'!K12/'A6-FinPos'!K34))</f>
        <v>1.9965996701895328</v>
      </c>
      <c r="L13" s="275">
        <f>IF(ISERROR('A6-FinPos'!L12/'A6-FinPos'!L34),0,('A6-FinPos'!L12/'A6-FinPos'!L34))</f>
        <v>2.9692574565990006</v>
      </c>
    </row>
    <row r="14" spans="1:12" ht="25.5" x14ac:dyDescent="0.25">
      <c r="A14" s="266" t="s">
        <v>1285</v>
      </c>
      <c r="B14" s="260" t="s">
        <v>1237</v>
      </c>
      <c r="C14" s="273">
        <f>IF(ISERROR(('A6-FinPos'!C12-'SA8'!C45)/'A6-FinPos'!C34),0,(('A6-FinPos'!C12-'SA8'!C45)/'A6-FinPos'!C34))</f>
        <v>0</v>
      </c>
      <c r="D14" s="274">
        <f>IF(ISERROR(('A6-FinPos'!D12-'SA8'!D45)/'A6-FinPos'!D34),0,(('A6-FinPos'!D12-'SA8'!D45)/'A6-FinPos'!D34))</f>
        <v>0.41695705605730937</v>
      </c>
      <c r="E14" s="275">
        <f>IF(ISERROR(('A6-FinPos'!E12-'SA8'!E45)/'A6-FinPos'!E34),0,(('A6-FinPos'!E12-'SA8'!E45)/'A6-FinPos'!E34))</f>
        <v>0.33249817589429059</v>
      </c>
      <c r="F14" s="276">
        <f>IF(ISERROR(('A6-FinPos'!F12-'SA8'!F45)/'A6-FinPos'!F34),0,(('A6-FinPos'!F12-'SA8'!F45)/'A6-FinPos'!F34))</f>
        <v>0.60533421789426933</v>
      </c>
      <c r="G14" s="274">
        <f>IF(ISERROR(('A6-FinPos'!G12-'SA8'!G45)/'A6-FinPos'!G34),0,(('A6-FinPos'!G12-'SA8'!G45)/'A6-FinPos'!G34))</f>
        <v>0.67207414021050449</v>
      </c>
      <c r="H14" s="275">
        <f>IF(ISERROR(('A6-FinPos'!H12-'SA8'!H45)/'A6-FinPos'!H34),0,(('A6-FinPos'!H12-'SA8'!H45)/'A6-FinPos'!H34))</f>
        <v>0.67207414021050449</v>
      </c>
      <c r="I14" s="277">
        <f>IF(ISERROR(('A6-FinPos'!I12-'SA8'!I45)/'A6-FinPos'!I34),0,(('A6-FinPos'!I12-'SA8'!I45)/'A6-FinPos'!I34))</f>
        <v>0.67207414021050449</v>
      </c>
      <c r="J14" s="273">
        <f>IF(ISERROR(('A6-FinPos'!J12-'SA8'!J45)/'A6-FinPos'!J34),0,(('A6-FinPos'!J12-'SA8'!J45)/'A6-FinPos'!J34))</f>
        <v>1.8158564530309749</v>
      </c>
      <c r="K14" s="274">
        <f>IF(ISERROR(('A6-FinPos'!K12-'SA8'!K45)/'A6-FinPos'!K34),0,(('A6-FinPos'!K12-'SA8'!K45)/'A6-FinPos'!K34))</f>
        <v>1.9965996701895328</v>
      </c>
      <c r="L14" s="275">
        <f>IF(ISERROR(('A6-FinPos'!L12-'SA8'!L45)/'A6-FinPos'!L34),0,(('A6-FinPos'!L12-'SA8'!L45)/'A6-FinPos'!L34))</f>
        <v>2.9692574565990006</v>
      </c>
    </row>
    <row r="15" spans="1:12" x14ac:dyDescent="0.25">
      <c r="A15" s="266" t="s">
        <v>298</v>
      </c>
      <c r="B15" s="260" t="s">
        <v>780</v>
      </c>
      <c r="C15" s="273">
        <f>IF(ISERROR(('A6-FinPos'!C6+'A6-FinPos'!C7)/'A6-FinPos'!C34),0,(('A6-FinPos'!C6+'A6-FinPos'!C7)/'A6-FinPos'!C34))</f>
        <v>0</v>
      </c>
      <c r="D15" s="274">
        <f>IF(ISERROR(('A6-FinPos'!D6+'A6-FinPos'!D7)/'A6-FinPos'!D34),0,(('A6-FinPos'!D6+'A6-FinPos'!D7)/'A6-FinPos'!D34))</f>
        <v>0.21615773586117254</v>
      </c>
      <c r="E15" s="275">
        <f>IF(ISERROR(('A6-FinPos'!E6+'A6-FinPos'!E7)/'A6-FinPos'!E34),0,(('A6-FinPos'!E6+'A6-FinPos'!E7)/'A6-FinPos'!E34))</f>
        <v>6.8212689199719373E-3</v>
      </c>
      <c r="F15" s="276">
        <f>IF(ISERROR(('A6-FinPos'!F6+'A6-FinPos'!F7)/'A6-FinPos'!F34),0,(('A6-FinPos'!F6+'A6-FinPos'!F7)/'A6-FinPos'!F34))</f>
        <v>2.8028331950409859E-2</v>
      </c>
      <c r="G15" s="274">
        <f>IF(ISERROR(('A6-FinPos'!G6+'A6-FinPos'!G7)/'A6-FinPos'!G34),0,(('A6-FinPos'!G6+'A6-FinPos'!G7)/'A6-FinPos'!G34))</f>
        <v>2.3126085024395816E-2</v>
      </c>
      <c r="H15" s="275">
        <f>IF(ISERROR(('A6-FinPos'!H6+'A6-FinPos'!H7)/'A6-FinPos'!H34),0,(('A6-FinPos'!H6+'A6-FinPos'!H7)/'A6-FinPos'!H34))</f>
        <v>2.3126085024395816E-2</v>
      </c>
      <c r="I15" s="277">
        <f>IF(ISERROR(('A6-FinPos'!I6+'A6-FinPos'!I7)/'A6-FinPos'!I34),0,(('A6-FinPos'!I6+'A6-FinPos'!I7)/'A6-FinPos'!I34))</f>
        <v>2.3126085024395816E-2</v>
      </c>
      <c r="J15" s="273">
        <f>IF(ISERROR(('A6-FinPos'!J6+'A6-FinPos'!J7)/'A6-FinPos'!J34),0,(('A6-FinPos'!J6+'A6-FinPos'!J7)/'A6-FinPos'!J34))</f>
        <v>1.7949183080746185E-2</v>
      </c>
      <c r="K15" s="274">
        <f>IF(ISERROR(('A6-FinPos'!K6+'A6-FinPos'!K7)/'A6-FinPos'!K34),0,(('A6-FinPos'!K6+'A6-FinPos'!K7)/'A6-FinPos'!K34))</f>
        <v>6.5621046117491352E-2</v>
      </c>
      <c r="L15" s="275">
        <f>IF(ISERROR(('A6-FinPos'!L6+'A6-FinPos'!L7)/'A6-FinPos'!L34),0,(('A6-FinPos'!L6+'A6-FinPos'!L7)/'A6-FinPos'!L34))</f>
        <v>3.2383063645290949E-2</v>
      </c>
    </row>
    <row r="16" spans="1:12" x14ac:dyDescent="0.25">
      <c r="A16" s="270" t="s">
        <v>781</v>
      </c>
      <c r="B16" s="260"/>
      <c r="C16" s="278"/>
      <c r="D16" s="279"/>
      <c r="E16" s="280"/>
      <c r="F16" s="281"/>
      <c r="G16" s="279"/>
      <c r="H16" s="280"/>
      <c r="I16" s="282"/>
      <c r="J16" s="278"/>
      <c r="K16" s="279"/>
      <c r="L16" s="280"/>
    </row>
    <row r="17" spans="1:12" ht="25.5" x14ac:dyDescent="0.25">
      <c r="A17" s="266" t="s">
        <v>782</v>
      </c>
      <c r="B17" s="260" t="s">
        <v>1238</v>
      </c>
      <c r="C17" s="283"/>
      <c r="D17" s="284">
        <f>IF(ISERROR(('A7-CFlow'!C6+'A7-CFlow'!C7+'A7-CFlow'!C22+'A7-CFlow'!C23)/SUM('A4-FinPerf RE'!C5:C10)),0,('A7-CFlow'!C6+'A7-CFlow'!C7+'A7-CFlow'!C22+'A7-CFlow'!C23)/(SUM('A4-FinPerf RE'!C5:C10)))</f>
        <v>0</v>
      </c>
      <c r="E17" s="284">
        <f>IF(ISERROR(('A7-CFlow'!D6+'A7-CFlow'!D7+'A7-CFlow'!D22+'A7-CFlow'!D23)/SUM('A4-FinPerf RE'!D5:D10)),0,('A7-CFlow'!D6+'A7-CFlow'!D7+'A7-CFlow'!D22+'A7-CFlow'!D23)/(SUM('A4-FinPerf RE'!D5:D10)))</f>
        <v>0.9608141010823682</v>
      </c>
      <c r="F17" s="247">
        <f>IF(ISERROR(('A7-CFlow'!E6+'A7-CFlow'!E7+'A7-CFlow'!E22+'A7-CFlow'!E23)/SUM('A4-FinPerf RE'!E5:E10)),0,('A7-CFlow'!E6+'A7-CFlow'!E7+'A7-CFlow'!E22+'A7-CFlow'!E23)/(SUM('A4-FinPerf RE'!E5:E10)))</f>
        <v>0.86555163510480471</v>
      </c>
      <c r="G17" s="284">
        <f>IF(ISERROR(('A7-CFlow'!F6+'A7-CFlow'!F7+'A7-CFlow'!F22+'A7-CFlow'!F23)/SUM('A4-FinPerf RE'!F5:F10)),0,('A7-CFlow'!F6+'A7-CFlow'!F7+'A7-CFlow'!F22+'A7-CFlow'!F23)/(SUM('A4-FinPerf RE'!F5:F10)))</f>
        <v>0.95092376956472269</v>
      </c>
      <c r="H17" s="285">
        <f>IF(ISERROR(('A7-CFlow'!G6+'A7-CFlow'!G7+'A7-CFlow'!G22+'A7-CFlow'!G23)/SUM('A4-FinPerf RE'!G5:G10)),0,('A7-CFlow'!G6+'A7-CFlow'!G7+'A7-CFlow'!G22+'A7-CFlow'!G23)/(SUM('A4-FinPerf RE'!G5:G10)))</f>
        <v>0.95811159348829056</v>
      </c>
      <c r="I17" s="286">
        <f>IF(ISERROR(('A7-CFlow'!H6+'A7-CFlow'!H7+'A7-CFlow'!H22+'A7-CFlow'!H23)/SUM('A4-FinPerf RE'!H5:H10)),0,('A7-CFlow'!H6+'A7-CFlow'!H7+'A7-CFlow'!H22+'A7-CFlow'!H23)/(SUM('A4-FinPerf RE'!H5:H10)))</f>
        <v>0.95811159348829056</v>
      </c>
      <c r="J17" s="283">
        <f>IF(ISERROR(('A7-CFlow'!I6+'A7-CFlow'!I7+'A7-CFlow'!I22+'A7-CFlow'!I23)/SUM('A4-FinPerf RE'!I5:I10)),0,('A7-CFlow'!I6+'A7-CFlow'!I7+'A7-CFlow'!I22+'A7-CFlow'!I23)/(SUM('A4-FinPerf RE'!I5:I10)))</f>
        <v>0.95811159348829056</v>
      </c>
      <c r="K17" s="284">
        <f>IF(ISERROR(('A7-CFlow'!J6+'A7-CFlow'!J7+'A7-CFlow'!J22+'A7-CFlow'!J23)/SUM('A4-FinPerf RE'!J5:J10)),0,('A7-CFlow'!J6+'A7-CFlow'!J7+'A7-CFlow'!J22+'A7-CFlow'!J23)/(SUM('A4-FinPerf RE'!J5:J10)))</f>
        <v>0.94999999945683211</v>
      </c>
      <c r="L17" s="285">
        <f>IF(ISERROR(('A7-CFlow'!K6+'A7-CFlow'!K7+'A7-CFlow'!K22+'A7-CFlow'!K23)/SUM('A4-FinPerf RE'!K5:K10)),0,('A7-CFlow'!K6+'A7-CFlow'!K7+'A7-CFlow'!K22+'A7-CFlow'!K23)/(SUM('A4-FinPerf RE'!K5:K10)))</f>
        <v>0.94999999945683222</v>
      </c>
    </row>
    <row r="18" spans="1:12" ht="25.5" customHeight="1" x14ac:dyDescent="0.25">
      <c r="A18" s="266" t="s">
        <v>2004</v>
      </c>
      <c r="B18" s="260"/>
      <c r="C18" s="283">
        <f>IF(ISERROR(('A7-CFlow'!C6+'A7-CFlow'!C7)/SUM('A4-FinPerf RE'!C5:C10)),0,(('A7-CFlow'!C6+'A7-CFlow'!C7)/SUM('A4-FinPerf RE'!C5:C10)))</f>
        <v>0</v>
      </c>
      <c r="D18" s="284">
        <f>IF(ISERROR(('A7-CFlow'!D6+'A7-CFlow'!D7)/SUM('A4-FinPerf RE'!D5:D10)),0,(('A7-CFlow'!D6+'A7-CFlow'!D7)/SUM('A4-FinPerf RE'!D5:D10)))</f>
        <v>0.9608141010823682</v>
      </c>
      <c r="E18" s="286">
        <f>IF(ISERROR(('A7-CFlow'!E6+'A7-CFlow'!E7)/SUM('A4-FinPerf RE'!E5:E10)),0,(('A7-CFlow'!E6+'A7-CFlow'!E7)/SUM('A4-FinPerf RE'!E5:E10)))</f>
        <v>0.86555163510480471</v>
      </c>
      <c r="F18" s="247">
        <f>IF(ISERROR(('A7-CFlow'!F6+'A7-CFlow'!F7)/SUM('A4-FinPerf RE'!F5:F10)),0,(('A7-CFlow'!F6+'A7-CFlow'!F7)/SUM('A4-FinPerf RE'!F5:F10)))</f>
        <v>0.95092376956472269</v>
      </c>
      <c r="G18" s="284">
        <f>IF(ISERROR(('A7-CFlow'!G6+'A7-CFlow'!G7)/SUM('A4-FinPerf RE'!G5:G10)),0,(('A7-CFlow'!G6+'A7-CFlow'!G7)/SUM('A4-FinPerf RE'!G5:G10)))</f>
        <v>0.95811159348829056</v>
      </c>
      <c r="H18" s="285">
        <f>IF(ISERROR(('A7-CFlow'!H6+'A7-CFlow'!H7)/SUM('A4-FinPerf RE'!H5:H10)),0,(('A7-CFlow'!H6+'A7-CFlow'!H7)/SUM('A4-FinPerf RE'!H5:H10)))</f>
        <v>0.95811159348829056</v>
      </c>
      <c r="I18" s="286">
        <f>IF(ISERROR(('A7-CFlow'!I6+'A7-CFlow'!I7)/SUM('A4-FinPerf RE'!I5:I10)),0,(('A7-CFlow'!I6+'A7-CFlow'!I7)/SUM('A4-FinPerf RE'!I5:I10)))</f>
        <v>0.95811159348829056</v>
      </c>
      <c r="J18" s="283">
        <f>IF(ISERROR(('A7-CFlow'!J6+'A7-CFlow'!J7)/SUM('A4-FinPerf RE'!J5:J10)),0,(('A7-CFlow'!J6+'A7-CFlow'!J7)/SUM('A4-FinPerf RE'!J5:J10)))</f>
        <v>0.94999999945683211</v>
      </c>
      <c r="K18" s="284">
        <f>IF(ISERROR(('A7-CFlow'!K6+'A7-CFlow'!K7)/SUM('A4-FinPerf RE'!K5:K10)),0,(('A7-CFlow'!K6+'A7-CFlow'!K7)/SUM('A4-FinPerf RE'!K5:K10)))</f>
        <v>0.94999999945683222</v>
      </c>
      <c r="L18" s="285">
        <f>IF(ISERROR(('A7-CFlow'!L6+'A7-CFlow'!L7)/SUM('A4-FinPerf RE'!L5:L10)),0,(('A7-CFlow'!L6+'A7-CFlow'!L7)/SUM('A4-FinPerf RE'!L5:L10)))</f>
        <v>0.949999999456832</v>
      </c>
    </row>
    <row r="19" spans="1:12" ht="25.5" x14ac:dyDescent="0.25">
      <c r="A19" s="266" t="s">
        <v>423</v>
      </c>
      <c r="B19" s="260" t="s">
        <v>1203</v>
      </c>
      <c r="C19" s="261">
        <f>IF(ISERROR(('A6-FinPos'!C8+'A6-FinPos'!C9+'A6-FinPos'!C10+'A6-FinPos'!C15)/'A4-FinPerf RE'!C21),0,(('A6-FinPos'!C8+'A6-FinPos'!C9+'A6-FinPos'!C10+'A6-FinPos'!C15)/'A4-FinPerf RE'!C21))</f>
        <v>0</v>
      </c>
      <c r="D19" s="262">
        <f>IF(ISERROR(('A6-FinPos'!D8+'A6-FinPos'!D9+'A6-FinPos'!D10+'A6-FinPos'!D15)/'A4-FinPerf RE'!D21),0,(('A6-FinPos'!D8+'A6-FinPos'!D9+'A6-FinPos'!D10+'A6-FinPos'!D15)/'A4-FinPerf RE'!D21))</f>
        <v>7.2216037126741378E-2</v>
      </c>
      <c r="E19" s="263">
        <f>IF(ISERROR(('A6-FinPos'!E8+'A6-FinPos'!E9+'A6-FinPos'!E10+'A6-FinPos'!E15)/'A4-FinPerf RE'!E21),0,(('A6-FinPos'!E8+'A6-FinPos'!E9+'A6-FinPos'!E10+'A6-FinPos'!E15)/'A4-FinPerf RE'!E21))</f>
        <v>0.12785569679017245</v>
      </c>
      <c r="F19" s="264">
        <f>IF(ISERROR(('A6-FinPos'!F8+'A6-FinPos'!F9+'A6-FinPos'!F10+'A6-FinPos'!F15)/'A4-FinPerf RE'!F21),0,(('A6-FinPos'!F8+'A6-FinPos'!F9+'A6-FinPos'!F10+'A6-FinPos'!F15)/'A4-FinPerf RE'!F21))</f>
        <v>0.1756915757146176</v>
      </c>
      <c r="G19" s="262">
        <f>IF(ISERROR(('A6-FinPos'!G8+'A6-FinPos'!G9+'A6-FinPos'!G10+'A6-FinPos'!G15)/'A4-FinPerf RE'!G21),0,(('A6-FinPos'!G8+'A6-FinPos'!G9+'A6-FinPos'!G10+'A6-FinPos'!G15)/'A4-FinPerf RE'!G21))</f>
        <v>0.23837548357946312</v>
      </c>
      <c r="H19" s="263">
        <f>IF(ISERROR(('A6-FinPos'!H8+'A6-FinPos'!H9+'A6-FinPos'!H10+'A6-FinPos'!H15)/'A4-FinPerf RE'!H21),0,(('A6-FinPos'!H8+'A6-FinPos'!H9+'A6-FinPos'!H10+'A6-FinPos'!H15)/'A4-FinPerf RE'!H21))</f>
        <v>0.23837548357946312</v>
      </c>
      <c r="I19" s="265">
        <f>IF(ISERROR(('A6-FinPos'!I8+'A6-FinPos'!I9+'A6-FinPos'!I10+'A6-FinPos'!I15)/'A4-FinPerf RE'!I21),0,(('A6-FinPos'!I8+'A6-FinPos'!I9+'A6-FinPos'!I10+'A6-FinPos'!I15)/'A4-FinPerf RE'!I21))</f>
        <v>0.23837548357946312</v>
      </c>
      <c r="J19" s="261">
        <f>IF(ISERROR(('A6-FinPos'!J8+'A6-FinPos'!J9+'A6-FinPos'!J10+'A6-FinPos'!J15)/'A4-FinPerf RE'!J21),0,(('A6-FinPos'!J8+'A6-FinPos'!J9+'A6-FinPos'!J10+'A6-FinPos'!J15)/'A4-FinPerf RE'!J21))</f>
        <v>0.29778324653992705</v>
      </c>
      <c r="K19" s="262">
        <f>IF(ISERROR(('A6-FinPos'!K8+'A6-FinPos'!K9+'A6-FinPos'!K10+'A6-FinPos'!K15)/'A4-FinPerf RE'!K21),0,(('A6-FinPos'!K8+'A6-FinPos'!K9+'A6-FinPos'!K10+'A6-FinPos'!K15)/'A4-FinPerf RE'!K21))</f>
        <v>0.27213811735029525</v>
      </c>
      <c r="L19" s="263">
        <f>IF(ISERROR(('A6-FinPos'!L8+'A6-FinPos'!L9+'A6-FinPos'!L10+'A6-FinPos'!L15)/'A4-FinPerf RE'!L21),0,(('A6-FinPos'!L8+'A6-FinPos'!L9+'A6-FinPos'!L10+'A6-FinPos'!L15)/'A4-FinPerf RE'!L21))</f>
        <v>0.417979421269004</v>
      </c>
    </row>
    <row r="20" spans="1:12" ht="25.5" x14ac:dyDescent="0.25">
      <c r="A20" s="266" t="s">
        <v>1515</v>
      </c>
      <c r="B20" s="260" t="s">
        <v>491</v>
      </c>
      <c r="C20" s="1460"/>
      <c r="D20" s="1461"/>
      <c r="E20" s="1397"/>
      <c r="F20" s="1462"/>
      <c r="G20" s="1461"/>
      <c r="H20" s="1397"/>
      <c r="I20" s="1463"/>
      <c r="J20" s="1460"/>
      <c r="K20" s="1461"/>
      <c r="L20" s="1397"/>
    </row>
    <row r="21" spans="1:12" x14ac:dyDescent="0.25">
      <c r="A21" s="270" t="s">
        <v>685</v>
      </c>
      <c r="B21" s="260"/>
      <c r="C21" s="271"/>
      <c r="D21" s="235"/>
      <c r="E21" s="242"/>
      <c r="F21" s="243"/>
      <c r="G21" s="235"/>
      <c r="H21" s="242"/>
      <c r="I21" s="272"/>
      <c r="J21" s="271"/>
      <c r="K21" s="235"/>
      <c r="L21" s="242"/>
    </row>
    <row r="22" spans="1:12" ht="24.75" customHeight="1" x14ac:dyDescent="0.25">
      <c r="A22" s="266" t="s">
        <v>686</v>
      </c>
      <c r="B22" s="260" t="s">
        <v>288</v>
      </c>
      <c r="C22" s="1460"/>
      <c r="D22" s="1461"/>
      <c r="E22" s="1397"/>
      <c r="F22" s="1462"/>
      <c r="G22" s="1461"/>
      <c r="H22" s="1397"/>
      <c r="I22" s="1463"/>
      <c r="J22" s="1460"/>
      <c r="K22" s="1461"/>
      <c r="L22" s="1397"/>
    </row>
    <row r="23" spans="1:12" x14ac:dyDescent="0.25">
      <c r="A23" s="266" t="s">
        <v>1976</v>
      </c>
      <c r="B23" s="260"/>
      <c r="C23" s="283">
        <f>IF(ISERROR('SA3'!C35/'A7-CFlow'!C40),0,('SA3'!C35/'A7-CFlow'!C40))</f>
        <v>0</v>
      </c>
      <c r="D23" s="284">
        <f>IF(ISERROR('SA3'!D35/'A7-CFlow'!D40),0,('SA3'!D35/'A7-CFlow'!D40))</f>
        <v>3.3464842754464814</v>
      </c>
      <c r="E23" s="285">
        <f>IF(ISERROR('SA3'!E35/'A7-CFlow'!E40),0,('SA3'!E35/'A7-CFlow'!E40))</f>
        <v>-11.156584137133679</v>
      </c>
      <c r="F23" s="247">
        <f>IF(ISERROR('SA3'!F35/'A7-CFlow'!F40),0,('SA3'!F35/'A7-CFlow'!F40))</f>
        <v>49.236164033251839</v>
      </c>
      <c r="G23" s="284">
        <f>IF(ISERROR('SA3'!G35/'A7-CFlow'!G40),0,('SA3'!G35/'A7-CFlow'!G40))</f>
        <v>38.726197547261137</v>
      </c>
      <c r="H23" s="285">
        <f>IF(ISERROR('SA3'!H35/'A7-CFlow'!H40),0,('SA3'!H35/'A7-CFlow'!H40))</f>
        <v>38.726197547261137</v>
      </c>
      <c r="I23" s="286">
        <f>IF(ISERROR('SA3'!I35/'A7-CFlow'!I40),0,('SA3'!I35/'A7-CFlow'!I40))</f>
        <v>38.726197547261137</v>
      </c>
      <c r="J23" s="283">
        <f>IF(ISERROR('SA3'!J35/'A7-CFlow'!J40),0,('SA3'!J35/'A7-CFlow'!J40))</f>
        <v>382.61762189369153</v>
      </c>
      <c r="K23" s="284">
        <f>IF(ISERROR('SA3'!K35/'A7-CFlow'!K40),0,('SA3'!K35/'A7-CFlow'!K40))</f>
        <v>16.135792750005283</v>
      </c>
      <c r="L23" s="285">
        <f>IF(ISERROR('SA3'!L35/'A7-CFlow'!L40),0,('SA3'!L35/'A7-CFlow'!L40))</f>
        <v>50.28547040417908</v>
      </c>
    </row>
    <row r="24" spans="1:12" ht="8.25" customHeight="1" x14ac:dyDescent="0.25">
      <c r="A24" s="266"/>
      <c r="B24" s="260"/>
      <c r="C24" s="1464"/>
      <c r="D24" s="1465"/>
      <c r="E24" s="1466"/>
      <c r="F24" s="1467"/>
      <c r="G24" s="1465"/>
      <c r="H24" s="1466"/>
      <c r="I24" s="1468"/>
      <c r="J24" s="1464"/>
      <c r="K24" s="1465"/>
      <c r="L24" s="1466"/>
    </row>
    <row r="25" spans="1:12" x14ac:dyDescent="0.25">
      <c r="A25" s="270" t="s">
        <v>687</v>
      </c>
      <c r="B25" s="260"/>
      <c r="C25" s="271"/>
      <c r="D25" s="235"/>
      <c r="E25" s="242"/>
      <c r="F25" s="243"/>
      <c r="G25" s="235"/>
      <c r="H25" s="242"/>
      <c r="I25" s="272"/>
      <c r="J25" s="271"/>
      <c r="K25" s="235"/>
      <c r="L25" s="242"/>
    </row>
    <row r="26" spans="1:12" ht="21" customHeight="1" x14ac:dyDescent="0.25">
      <c r="A26" s="1943" t="s">
        <v>291</v>
      </c>
      <c r="B26" s="260" t="s">
        <v>2024</v>
      </c>
      <c r="C26" s="1469"/>
      <c r="D26" s="1470"/>
      <c r="E26" s="1471"/>
      <c r="F26" s="1472"/>
      <c r="G26" s="1470"/>
      <c r="H26" s="1471"/>
      <c r="I26" s="1471"/>
      <c r="J26" s="1473"/>
      <c r="K26" s="1470"/>
      <c r="L26" s="1471"/>
    </row>
    <row r="27" spans="1:12" ht="21" customHeight="1" x14ac:dyDescent="0.25">
      <c r="A27" s="1943"/>
      <c r="B27" s="260" t="s">
        <v>2023</v>
      </c>
      <c r="C27" s="920"/>
      <c r="D27" s="920"/>
      <c r="E27" s="922"/>
      <c r="F27" s="1474"/>
      <c r="G27" s="920"/>
      <c r="H27" s="922"/>
      <c r="I27" s="1322"/>
      <c r="J27" s="1474"/>
      <c r="K27" s="920"/>
      <c r="L27" s="922"/>
    </row>
    <row r="28" spans="1:12" ht="41.25" customHeight="1" x14ac:dyDescent="0.25">
      <c r="A28" s="1944"/>
      <c r="B28" s="295" t="s">
        <v>2033</v>
      </c>
      <c r="C28" s="1474"/>
      <c r="D28" s="920"/>
      <c r="E28" s="1322"/>
      <c r="F28" s="921"/>
      <c r="G28" s="920"/>
      <c r="H28" s="1322"/>
      <c r="I28" s="1322"/>
      <c r="J28" s="1474"/>
      <c r="K28" s="920"/>
      <c r="L28" s="1322"/>
    </row>
    <row r="29" spans="1:12" ht="21" customHeight="1" x14ac:dyDescent="0.25">
      <c r="A29" s="1942" t="s">
        <v>1137</v>
      </c>
      <c r="B29" s="1284" t="s">
        <v>2025</v>
      </c>
      <c r="C29" s="1474"/>
      <c r="D29" s="920"/>
      <c r="E29" s="1322"/>
      <c r="F29" s="921"/>
      <c r="G29" s="920"/>
      <c r="H29" s="1322"/>
      <c r="I29" s="1322"/>
      <c r="J29" s="1474"/>
      <c r="K29" s="920"/>
      <c r="L29" s="1322"/>
    </row>
    <row r="30" spans="1:12" ht="21" customHeight="1" x14ac:dyDescent="0.25">
      <c r="A30" s="1943"/>
      <c r="B30" s="260" t="s">
        <v>2023</v>
      </c>
      <c r="C30" s="1469"/>
      <c r="D30" s="1470"/>
      <c r="E30" s="1471"/>
      <c r="F30" s="1472"/>
      <c r="G30" s="1470"/>
      <c r="H30" s="1471"/>
      <c r="I30" s="1471"/>
      <c r="J30" s="1473"/>
      <c r="K30" s="1470"/>
      <c r="L30" s="1471"/>
    </row>
    <row r="31" spans="1:12" ht="41.25" customHeight="1" x14ac:dyDescent="0.25">
      <c r="A31" s="1944"/>
      <c r="B31" s="295" t="s">
        <v>2033</v>
      </c>
      <c r="C31" s="920"/>
      <c r="D31" s="920"/>
      <c r="E31" s="922"/>
      <c r="F31" s="1474"/>
      <c r="G31" s="920"/>
      <c r="H31" s="922"/>
      <c r="I31" s="1322"/>
      <c r="J31" s="1474"/>
      <c r="K31" s="920"/>
      <c r="L31" s="922"/>
    </row>
    <row r="32" spans="1:12" ht="25.5" x14ac:dyDescent="0.25">
      <c r="A32" s="266" t="s">
        <v>426</v>
      </c>
      <c r="B32" s="260" t="s">
        <v>1473</v>
      </c>
      <c r="C32" s="283">
        <f>IF(ISERROR('A4-FinPerf RE'!C24/'A4-FinPerf RE'!C21),0,('A4-FinPerf RE'!C24/'A4-FinPerf RE'!C21))</f>
        <v>0</v>
      </c>
      <c r="D32" s="284">
        <f>IF(ISERROR('A4-FinPerf RE'!D24/'A4-FinPerf RE'!D21),0,('A4-FinPerf RE'!D24/'A4-FinPerf RE'!D21))</f>
        <v>0.40985944396580654</v>
      </c>
      <c r="E32" s="285">
        <f>IF(ISERROR('A4-FinPerf RE'!E24/'A4-FinPerf RE'!E21),0,('A4-FinPerf RE'!E24/'A4-FinPerf RE'!E21))</f>
        <v>0.43008178954286674</v>
      </c>
      <c r="F32" s="247">
        <f>IF(ISERROR('A4-FinPerf RE'!F24/'A4-FinPerf RE'!F21),0,('A4-FinPerf RE'!F24/'A4-FinPerf RE'!F21))</f>
        <v>0.45875294801765615</v>
      </c>
      <c r="G32" s="284">
        <f>IF(ISERROR('A4-FinPerf RE'!G24/'A4-FinPerf RE'!G21),0,('A4-FinPerf RE'!G24/'A4-FinPerf RE'!G21))</f>
        <v>0.49758895911012813</v>
      </c>
      <c r="H32" s="285">
        <f>IF(ISERROR('A4-FinPerf RE'!H24/'A4-FinPerf RE'!H21),0,('A4-FinPerf RE'!H24/'A4-FinPerf RE'!H21))</f>
        <v>0.49758895911012813</v>
      </c>
      <c r="I32" s="286">
        <f>IF(ISERROR('A4-FinPerf RE'!I24/'A4-FinPerf RE'!I21),0,('A4-FinPerf RE'!I24/'A4-FinPerf RE'!I21))</f>
        <v>0.49758895911012813</v>
      </c>
      <c r="J32" s="283">
        <f>IF(ISERROR('A4-FinPerf RE'!J24/'A4-FinPerf RE'!J21),0,('A4-FinPerf RE'!J24/'A4-FinPerf RE'!J21))</f>
        <v>0.43609988356848123</v>
      </c>
      <c r="K32" s="284">
        <f>IF(ISERROR('A4-FinPerf RE'!K24/'A4-FinPerf RE'!K21),0,('A4-FinPerf RE'!K24/'A4-FinPerf RE'!K21))</f>
        <v>0.43609988356848117</v>
      </c>
      <c r="L32" s="285">
        <f>IF(ISERROR('A4-FinPerf RE'!L24/'A4-FinPerf RE'!L21),0,('A4-FinPerf RE'!L24/'A4-FinPerf RE'!L21))</f>
        <v>0.43609988356848117</v>
      </c>
    </row>
    <row r="33" spans="1:12" ht="25.5" x14ac:dyDescent="0.25">
      <c r="A33" s="266" t="s">
        <v>630</v>
      </c>
      <c r="B33" s="260" t="s">
        <v>631</v>
      </c>
      <c r="C33" s="283">
        <f>IF(ISERROR('SA22'!C102/'A4-FinPerf RE'!C21),0,('SA22'!C102/'A4-FinPerf RE'!C21))</f>
        <v>0</v>
      </c>
      <c r="D33" s="284">
        <f>IF(ISERROR('SA22'!D102/'A4-FinPerf RE'!D21),0,('SA22'!D102/'A4-FinPerf RE'!D21))</f>
        <v>0</v>
      </c>
      <c r="E33" s="285">
        <f>IF(ISERROR('SA22'!E102/'A4-FinPerf RE'!E21),0,('SA22'!E102/'A4-FinPerf RE'!E21))</f>
        <v>0</v>
      </c>
      <c r="F33" s="247">
        <f>IF(ISERROR('SA22'!F102/'A4-FinPerf RE'!F21),0,('SA22'!F102/'A4-FinPerf RE'!F21))</f>
        <v>0</v>
      </c>
      <c r="G33" s="284">
        <f>IF(ISERROR('SA22'!G102/'A4-FinPerf RE'!G21),0,('SA22'!G102/'A4-FinPerf RE'!G21))</f>
        <v>0</v>
      </c>
      <c r="H33" s="285">
        <f>IF(ISERROR('SA22'!H102/'A4-FinPerf RE'!H21),0,('SA22'!H102/'A4-FinPerf RE'!H21))</f>
        <v>0</v>
      </c>
      <c r="I33" s="286"/>
      <c r="J33" s="283">
        <f>IF(ISERROR('SA22'!I102/'A4-FinPerf RE'!J21),0,('SA22'!I102/'A4-FinPerf RE'!J21))</f>
        <v>0</v>
      </c>
      <c r="K33" s="284">
        <f>IF(ISERROR('SA22'!J102/'A4-FinPerf RE'!K21),0,('SA22'!J102/'A4-FinPerf RE'!K21))</f>
        <v>0</v>
      </c>
      <c r="L33" s="285">
        <f>IF(ISERROR('SA22'!K102/'A4-FinPerf RE'!L21),0,('SA22'!K102/'A4-FinPerf RE'!L21))</f>
        <v>0</v>
      </c>
    </row>
    <row r="34" spans="1:12" ht="25.5" x14ac:dyDescent="0.25">
      <c r="A34" s="266" t="s">
        <v>525</v>
      </c>
      <c r="B34" s="260" t="s">
        <v>526</v>
      </c>
      <c r="C34" s="284">
        <f>IF(ISERROR('A9-Asset'!C169/'A4-FinPerf RE'!C21),0,('A9-Asset'!C169/'A4-FinPerf RE'!C21))</f>
        <v>0</v>
      </c>
      <c r="D34" s="284">
        <f>IF(ISERROR('A9-Asset'!D169/'A4-FinPerf RE'!D21),0,('A9-Asset'!D169/'A4-FinPerf RE'!D21))</f>
        <v>2.1921881386752762E-2</v>
      </c>
      <c r="E34" s="285">
        <f>IF(ISERROR('A9-Asset'!E169/'A4-FinPerf RE'!E21),0,('A9-Asset'!E169/'A4-FinPerf RE'!E21))</f>
        <v>2.3038942790461616E-2</v>
      </c>
      <c r="F34" s="247">
        <f>IF(ISERROR('A9-Asset'!F169/'A4-FinPerf RE'!F21),0,('A9-Asset'!F169/'A4-FinPerf RE'!F21))</f>
        <v>3.8902972604466679E-2</v>
      </c>
      <c r="G34" s="284">
        <f>IF(ISERROR('A9-Asset'!G169/'A4-FinPerf RE'!G21),0,('A9-Asset'!G169/'A4-FinPerf RE'!G21))</f>
        <v>2.1841943164237567E-2</v>
      </c>
      <c r="H34" s="285">
        <f>IF(ISERROR('A9-Asset'!H169/'A4-FinPerf RE'!H21),0,('A9-Asset'!H169/'A4-FinPerf RE'!H21))</f>
        <v>2.1841943164237567E-2</v>
      </c>
      <c r="I34" s="286"/>
      <c r="J34" s="283">
        <f>IF(ISERROR('A9-Asset'!I169/'A4-FinPerf RE'!J21),0,('A9-Asset'!I169/'A4-FinPerf RE'!J21))</f>
        <v>2.7970231265444491E-2</v>
      </c>
      <c r="K34" s="284">
        <f>IF(ISERROR('A9-Asset'!J169/'A4-FinPerf RE'!K21),0,('A9-Asset'!J169/'A4-FinPerf RE'!K21))</f>
        <v>2.7970231265444487E-2</v>
      </c>
      <c r="L34" s="1066">
        <f>IF(ISERROR('A9-Asset'!K169/'A4-FinPerf RE'!L21),0,('A9-Asset'!K169/'A4-FinPerf RE'!L21))</f>
        <v>2.7970231265444484E-2</v>
      </c>
    </row>
    <row r="35" spans="1:12" ht="25.5" x14ac:dyDescent="0.25">
      <c r="A35" s="266" t="s">
        <v>1283</v>
      </c>
      <c r="B35" s="260" t="s">
        <v>527</v>
      </c>
      <c r="C35" s="283">
        <f>IF(ISERROR(('A4-FinPerf RE'!C28+'A4-FinPerf RE'!C27)/'A4-FinPerf RE'!C21),0,(('A4-FinPerf RE'!C28+'A4-FinPerf RE'!C27)/'A4-FinPerf RE'!C21))</f>
        <v>0</v>
      </c>
      <c r="D35" s="284">
        <f>IF(ISERROR(('A4-FinPerf RE'!D28+'A4-FinPerf RE'!D27)/'A4-FinPerf RE'!D21),0,(('A4-FinPerf RE'!D28+'A4-FinPerf RE'!D27)/'A4-FinPerf RE'!D21))</f>
        <v>0.27018338064391523</v>
      </c>
      <c r="E35" s="285">
        <f>IF(ISERROR(('A4-FinPerf RE'!E28+'A4-FinPerf RE'!E27)/'A4-FinPerf RE'!E21),0,(('A4-FinPerf RE'!E28+'A4-FinPerf RE'!E27)/'A4-FinPerf RE'!E21))</f>
        <v>0.21769899608511881</v>
      </c>
      <c r="F35" s="247">
        <f>IF(ISERROR(('A4-FinPerf RE'!F28+'A4-FinPerf RE'!F27)/'A4-FinPerf RE'!F21),0,(('A4-FinPerf RE'!F28+'A4-FinPerf RE'!F27)/'A4-FinPerf RE'!F21))</f>
        <v>0.13777058385559354</v>
      </c>
      <c r="G35" s="284">
        <f>IF(ISERROR(('A4-FinPerf RE'!G28+'A4-FinPerf RE'!G27)/'A4-FinPerf RE'!G21),0,(('A4-FinPerf RE'!G28+'A4-FinPerf RE'!G27)/'A4-FinPerf RE'!G21))</f>
        <v>0.22182279936258884</v>
      </c>
      <c r="H35" s="285">
        <f>IF(ISERROR(('A4-FinPerf RE'!H28+'A4-FinPerf RE'!H27)/'A4-FinPerf RE'!H21),0,(('A4-FinPerf RE'!H28+'A4-FinPerf RE'!H27)/'A4-FinPerf RE'!H21))</f>
        <v>0.22182279936258884</v>
      </c>
      <c r="I35" s="286">
        <f>IF(ISERROR(('A4-FinPerf RE'!I28+'A4-FinPerf RE'!I27)/'A4-FinPerf RE'!I21),0,(('A4-FinPerf RE'!I28+'A4-FinPerf RE'!I27)/'A4-FinPerf RE'!I21))</f>
        <v>0.22182279936258884</v>
      </c>
      <c r="J35" s="283">
        <f>IF(ISERROR(('A4-FinPerf RE'!J28+'A4-FinPerf RE'!J27)/'A4-FinPerf RE'!J21),0,(('A4-FinPerf RE'!J28+'A4-FinPerf RE'!J27)/'A4-FinPerf RE'!J21))</f>
        <v>0.19376033000001086</v>
      </c>
      <c r="K35" s="284">
        <f>IF(ISERROR(('A4-FinPerf RE'!K28+'A4-FinPerf RE'!K27)/'A4-FinPerf RE'!K21),0,(('A4-FinPerf RE'!K28+'A4-FinPerf RE'!K27)/'A4-FinPerf RE'!K21))</f>
        <v>0.19376033000001089</v>
      </c>
      <c r="L35" s="285">
        <f>IF(ISERROR(('A4-FinPerf RE'!L28+'A4-FinPerf RE'!L27)/'A4-FinPerf RE'!L21),0,(('A4-FinPerf RE'!L28+'A4-FinPerf RE'!L27)/'A4-FinPerf RE'!L21))</f>
        <v>0.19376033000001086</v>
      </c>
    </row>
    <row r="36" spans="1:12" ht="25.5" x14ac:dyDescent="0.25">
      <c r="A36" s="287" t="s">
        <v>1460</v>
      </c>
      <c r="B36" s="288"/>
      <c r="C36" s="289"/>
      <c r="D36" s="290"/>
      <c r="E36" s="291"/>
      <c r="F36" s="292"/>
      <c r="G36" s="290"/>
      <c r="H36" s="291"/>
      <c r="I36" s="293"/>
      <c r="J36" s="289"/>
      <c r="K36" s="290"/>
      <c r="L36" s="291"/>
    </row>
    <row r="37" spans="1:12" ht="38.25" x14ac:dyDescent="0.25">
      <c r="A37" s="266" t="s">
        <v>1461</v>
      </c>
      <c r="B37" s="260" t="s">
        <v>1516</v>
      </c>
      <c r="C37" s="273">
        <f>IF(ISERROR(('A4-FinPerf RE'!C21-'A4-FinPerf RE'!C18)/('A7-CFlow'!D11-'A7-CFlow'!D35)),0,(('A4-FinPerf RE'!C21-'A4-FinPerf RE'!C18)/('A7-CFlow'!D11-'A7-CFlow'!D35)))</f>
        <v>0</v>
      </c>
      <c r="D37" s="274">
        <f>IF(ISERROR(('A4-FinPerf RE'!D21-'A4-FinPerf RE'!D18)/('A7-CFlow'!E11-'A7-CFlow'!E35)),0,(('A4-FinPerf RE'!D21-'A4-FinPerf RE'!D18)/('A7-CFlow'!E11-'A7-CFlow'!E35)))</f>
        <v>13.493616328597497</v>
      </c>
      <c r="E37" s="275">
        <f>IF(ISERROR(('A4-FinPerf RE'!E21-'A4-FinPerf RE'!E18)/('A7-CFlow'!F11-'A7-CFlow'!F35)),0,(('A4-FinPerf RE'!E21-'A4-FinPerf RE'!E18)/('A7-CFlow'!F11-'A7-CFlow'!F35)))</f>
        <v>18.651504361247593</v>
      </c>
      <c r="F37" s="276">
        <f>IF(ISERROR(('A4-FinPerf RE'!F21-'A4-FinPerf RE'!F18)/('A7-CFlow'!G11-'A7-CFlow'!G35)),0,(('A4-FinPerf RE'!F21-'A4-FinPerf RE'!F18)/('A7-CFlow'!G11-'A7-CFlow'!G35)))</f>
        <v>32.814116096589991</v>
      </c>
      <c r="G37" s="274">
        <f>F37</f>
        <v>32.814116096589991</v>
      </c>
      <c r="H37" s="275">
        <f>G37</f>
        <v>32.814116096589991</v>
      </c>
      <c r="I37" s="277">
        <f>IF(ISERROR(('A4-FinPerf RE'!I21-'A4-FinPerf RE'!I18)/('A7-CFlow'!J11-'A7-CFlow'!J35)),0,(('A4-FinPerf RE'!I21-'A4-FinPerf RE'!I18)/('A7-CFlow'!J11-'A7-CFlow'!J35)))</f>
        <v>29.059998000408569</v>
      </c>
      <c r="J37" s="273">
        <f>IF(ISERROR(('A4-FinPerf RE'!J21-'A4-FinPerf RE'!J18)/('A7-CFlow'!K11-'A7-CFlow'!K35)),0,(('A4-FinPerf RE'!J21-'A4-FinPerf RE'!J18)/('A7-CFlow'!K11-'A7-CFlow'!K35)))</f>
        <v>33.839781907180495</v>
      </c>
      <c r="K37" s="274">
        <f>IF(ISERROR(('A4-FinPerf RE'!K21-'A4-FinPerf RE'!K18)/('A7-CFlow'!L11-'A7-CFlow'!L35)),0,(('A4-FinPerf RE'!K21-'A4-FinPerf RE'!K18)/('A7-CFlow'!L11-'A7-CFlow'!L35)))</f>
        <v>33.839781907180502</v>
      </c>
      <c r="L37" s="275">
        <f>IF(ISERROR(('A4-FinPerf RE'!L21-'A4-FinPerf RE'!L18)/('A7-CFlow'!L11-'A7-CFlow'!L35)),0,(('A4-FinPerf RE'!L21-'A4-FinPerf RE'!L18)/('A7-CFlow'!L11-'A7-CFlow'!L35)))</f>
        <v>35.87016882161133</v>
      </c>
    </row>
    <row r="38" spans="1:12" ht="25.5" x14ac:dyDescent="0.25">
      <c r="A38" s="266" t="s">
        <v>1462</v>
      </c>
      <c r="B38" s="260" t="s">
        <v>643</v>
      </c>
      <c r="C38" s="283">
        <f>IF(ISERROR(('A6-FinPos'!C8+'A6-FinPos'!C9+'A6-FinPos'!C10)/SUM('A4-FinPerf RE'!C5:C11)),0,(('A6-FinPos'!C8+'A6-FinPos'!C9+'A6-FinPos'!C10)/SUM('A4-FinPerf RE'!C5:C11)))</f>
        <v>0</v>
      </c>
      <c r="D38" s="284">
        <f>IF(ISERROR(('A6-FinPos'!D8+'A6-FinPos'!D9+'A6-FinPos'!D10)/SUM('A4-FinPerf RE'!D5:D11)),0,(('A6-FinPos'!D8+'A6-FinPos'!D9+'A6-FinPos'!D10)/SUM('A4-FinPerf RE'!D5:D11)))</f>
        <v>0.13757168535154399</v>
      </c>
      <c r="E38" s="285">
        <f>IF(ISERROR(('A6-FinPos'!E8+'A6-FinPos'!E9+'A6-FinPos'!E10)/SUM('A4-FinPerf RE'!E5:E11)),0,(('A6-FinPos'!E8+'A6-FinPos'!E9+'A6-FinPos'!E10)/SUM('A4-FinPerf RE'!E5:E11)))</f>
        <v>0.22024333808957636</v>
      </c>
      <c r="F38" s="247">
        <f>IF(ISERROR(('A6-FinPos'!F8+'A6-FinPos'!F9+'A6-FinPos'!F10)/SUM('A4-FinPerf RE'!F5:F11)),0,(('A6-FinPos'!F8+'A6-FinPos'!F9+'A6-FinPos'!F10)/SUM('A4-FinPerf RE'!F5:F11)))</f>
        <v>0.29195240420870722</v>
      </c>
      <c r="G38" s="284">
        <f>IF(ISERROR(('A6-FinPos'!G8+'A6-FinPos'!G9+'A6-FinPos'!G10)/SUM('A4-FinPerf RE'!G5:G11)),0,(('A6-FinPos'!G8+'A6-FinPos'!G9+'A6-FinPos'!G10)/SUM('A4-FinPerf RE'!G5:G11)))</f>
        <v>0.38272393243227715</v>
      </c>
      <c r="H38" s="285">
        <f>IF(ISERROR(('A6-FinPos'!H8+'A6-FinPos'!H9+'A6-FinPos'!H10)/SUM('A4-FinPerf RE'!H5:H11)),0,(('A6-FinPos'!H8+'A6-FinPos'!H9+'A6-FinPos'!H10)/SUM('A4-FinPerf RE'!H5:H11)))</f>
        <v>0.38272393243227715</v>
      </c>
      <c r="I38" s="286">
        <f>IF(ISERROR(('A6-FinPos'!I8+'A6-FinPos'!I9+'A6-FinPos'!I10)/SUM('A4-FinPerf RE'!I5:I11)),0,(('A6-FinPos'!I8+'A6-FinPos'!I9+'A6-FinPos'!I10)/SUM('A4-FinPerf RE'!I5:I11)))</f>
        <v>0.38272393243227715</v>
      </c>
      <c r="J38" s="283">
        <f>IF(ISERROR(('A6-FinPos'!J8+'A6-FinPos'!J9+'A6-FinPos'!J10)/SUM('A4-FinPerf RE'!J5:J11)),0,(('A6-FinPos'!J8+'A6-FinPos'!J9+'A6-FinPos'!J10)/SUM('A4-FinPerf RE'!J5:J11)))</f>
        <v>0.44817676388002398</v>
      </c>
      <c r="K38" s="284">
        <f>IF(ISERROR(('A6-FinPos'!K8+'A6-FinPos'!K9+'A6-FinPos'!K10)/SUM('A4-FinPerf RE'!K5:K11)),0,(('A6-FinPos'!K8+'A6-FinPos'!K9+'A6-FinPos'!K10)/SUM('A4-FinPerf RE'!K5:K11)))</f>
        <v>0.40957972679669952</v>
      </c>
      <c r="L38" s="285">
        <f>IF(ISERROR(('A6-FinPos'!L8+'A6-FinPos'!L9+'A6-FinPos'!L10)/SUM('A4-FinPerf RE'!L5:L11)),0,(('A6-FinPos'!L8+'A6-FinPos'!L9+'A6-FinPos'!L10)/SUM('A4-FinPerf RE'!L5:L11)))</f>
        <v>0.62907724517561237</v>
      </c>
    </row>
    <row r="39" spans="1:12" ht="25.5" x14ac:dyDescent="0.25">
      <c r="A39" s="294" t="s">
        <v>1463</v>
      </c>
      <c r="B39" s="295" t="s">
        <v>1380</v>
      </c>
      <c r="C39" s="296">
        <f>IF(ISERROR('A7-CFlow'!C40/'SA8'!C46),0,('A7-CFlow'!C40/'SA8'!C46))</f>
        <v>0</v>
      </c>
      <c r="D39" s="297">
        <f>IF(ISERROR('A7-CFlow'!D40/'SA8'!D46),0,('A7-CFlow'!D40/'SA8'!D46))</f>
        <v>1.2671440098271645</v>
      </c>
      <c r="E39" s="298">
        <f>IF(ISERROR('A7-CFlow'!E40/'SA8'!E46),0,('A7-CFlow'!E40/'SA8'!E46))</f>
        <v>-0.45094124302429633</v>
      </c>
      <c r="F39" s="299">
        <f>IF(ISERROR('A7-CFlow'!F40/'SA8'!F46),0,('A7-CFlow'!F40/'SA8'!F46))</f>
        <v>7.6775248664179271E-2</v>
      </c>
      <c r="G39" s="297">
        <f>IF(ISERROR('A7-CFlow'!G40/'SA8'!G46),0,('A7-CFlow'!G40/'SA8'!G46))</f>
        <v>0.12046424046171701</v>
      </c>
      <c r="H39" s="298">
        <f>IF(ISERROR('A7-CFlow'!H40/'SA8'!H46),0,('A7-CFlow'!H40/'SA8'!H46))</f>
        <v>0.12046424046171701</v>
      </c>
      <c r="I39" s="300">
        <f>IF(ISERROR('A7-CFlow'!I40/'SA8'!I46),0,('A7-CFlow'!I40/'SA8'!I46))</f>
        <v>0.12046424046171701</v>
      </c>
      <c r="J39" s="296">
        <f>IF(ISERROR('A7-CFlow'!J40/'SA8'!J46),0,('A7-CFlow'!J40/'SA8'!J46))</f>
        <v>5.3943301850698502E-3</v>
      </c>
      <c r="K39" s="297">
        <f>IF(ISERROR('A7-CFlow'!K40/'SA8'!K46),0,('A7-CFlow'!K40/'SA8'!K46))</f>
        <v>0.10626335672208317</v>
      </c>
      <c r="L39" s="298">
        <f>IF(ISERROR('A7-CFlow'!L40/'SA8'!L46),0,('A7-CFlow'!L40/'SA8'!L46))</f>
        <v>3.4098189540748836E-2</v>
      </c>
    </row>
    <row r="40" spans="1:12" x14ac:dyDescent="0.25">
      <c r="A40" s="101" t="str">
        <f>head27a</f>
        <v>References</v>
      </c>
    </row>
    <row r="41" spans="1:12" x14ac:dyDescent="0.25">
      <c r="A41" s="132" t="s">
        <v>1136</v>
      </c>
    </row>
    <row r="42" spans="1:12" x14ac:dyDescent="0.25">
      <c r="A42" s="132" t="s">
        <v>1135</v>
      </c>
    </row>
    <row r="44" spans="1:12" x14ac:dyDescent="0.25">
      <c r="A44" s="183" t="s">
        <v>681</v>
      </c>
    </row>
    <row r="45" spans="1:12" x14ac:dyDescent="0.25">
      <c r="A45" s="25" t="s">
        <v>1281</v>
      </c>
      <c r="C45" s="75"/>
      <c r="D45" s="75"/>
      <c r="E45" s="1327"/>
      <c r="F45" s="1327"/>
      <c r="G45" s="1327"/>
      <c r="H45" s="1327"/>
      <c r="I45" s="1327"/>
      <c r="J45" s="1327"/>
      <c r="K45" s="1327"/>
      <c r="L45" s="1327"/>
    </row>
    <row r="46" spans="1:12" x14ac:dyDescent="0.25">
      <c r="A46" s="25" t="s">
        <v>1286</v>
      </c>
      <c r="C46" s="75">
        <f>(('A4-FinPerf RE'!C24+'A4-FinPerf RE'!C25+'A4-FinPerf RE'!C26+'A4-FinPerf RE'!C28+'A4-FinPerf RE'!C29+'A4-FinPerf RE'!C31+'SA1'!C91+'A7-CFlow'!C35)+(('A4-FinPerf RE'!C30+'A4-FinPerf RE'!C33)*'SA8'!C47))/12</f>
        <v>0</v>
      </c>
      <c r="D46" s="75">
        <f>(('A4-FinPerf RE'!D24+'A4-FinPerf RE'!D25+'A4-FinPerf RE'!D26+'A4-FinPerf RE'!D28+'A4-FinPerf RE'!D29+'A4-FinPerf RE'!D31+'SA1'!D91+'A7-CFlow'!D35)+(('A4-FinPerf RE'!D30+'A4-FinPerf RE'!D33)*'SA8'!D47))/12</f>
        <v>21666527.866666667</v>
      </c>
      <c r="E46" s="75">
        <f>(('A4-FinPerf RE'!E24+'A4-FinPerf RE'!E25+'A4-FinPerf RE'!E26+'A4-FinPerf RE'!E28+'A4-FinPerf RE'!E29+'A4-FinPerf RE'!E31+'SA1'!E91+'A7-CFlow'!E35)+(('A4-FinPerf RE'!E30+'A4-FinPerf RE'!E33)*'SA8'!E47))/12</f>
        <v>24146354.25</v>
      </c>
      <c r="F46" s="75">
        <f>(('A4-FinPerf RE'!F24+'A4-FinPerf RE'!F25+'A4-FinPerf RE'!F26+'A4-FinPerf RE'!F28+'A4-FinPerf RE'!F29+'A4-FinPerf RE'!F31+'SA1'!F91+'A7-CFlow'!F35)+(('A4-FinPerf RE'!F30+'A4-FinPerf RE'!F33)*'SA8'!F47))/12</f>
        <v>23726216.090503052</v>
      </c>
      <c r="G46" s="75">
        <f>(('A4-FinPerf RE'!G24+'A4-FinPerf RE'!G25+'A4-FinPerf RE'!G26+'A4-FinPerf RE'!G28+'A4-FinPerf RE'!G29+'A4-FinPerf RE'!G31+'SA1'!G91+'A7-CFlow'!G35)+(('A4-FinPerf RE'!G30+'A4-FinPerf RE'!G33)*'SA8'!G47))/12</f>
        <v>23881243.541503053</v>
      </c>
      <c r="H46" s="75">
        <f>(('A4-FinPerf RE'!H24+'A4-FinPerf RE'!H25+'A4-FinPerf RE'!H26+'A4-FinPerf RE'!H28+'A4-FinPerf RE'!H29+'A4-FinPerf RE'!H31+'SA1'!H91+'A7-CFlow'!H35)+(('A4-FinPerf RE'!H30+'A4-FinPerf RE'!H33)*'SA8'!H47))/12</f>
        <v>23881243.541503053</v>
      </c>
      <c r="I46" s="75">
        <f>(('A4-FinPerf RE'!I24+'A4-FinPerf RE'!I25+'A4-FinPerf RE'!I26+'A4-FinPerf RE'!I28+'A4-FinPerf RE'!I29+'A4-FinPerf RE'!I31+'SA1'!I91+'A7-CFlow'!I35)+(('A4-FinPerf RE'!I30+'A4-FinPerf RE'!I33)*'SA8'!I47))/12</f>
        <v>23881243.541503053</v>
      </c>
      <c r="J46" s="75">
        <f>(('A4-FinPerf RE'!J24+'A4-FinPerf RE'!J25+'A4-FinPerf RE'!J26+'A4-FinPerf RE'!J28+'A4-FinPerf RE'!J29+'A4-FinPerf RE'!J31+'SA1'!J91+'A7-CFlow'!J35)+(('A4-FinPerf RE'!J30+'A4-FinPerf RE'!J33)*'SA8'!J47))/12</f>
        <v>24346333.797566663</v>
      </c>
      <c r="K46" s="75">
        <f>(('A4-FinPerf RE'!K24+'A4-FinPerf RE'!K25+'A4-FinPerf RE'!K26+'A4-FinPerf RE'!K28+'A4-FinPerf RE'!K29+'A4-FinPerf RE'!K31+'SA1'!K91+'A7-CFlow'!K35)+(('A4-FinPerf RE'!K30+'A4-FinPerf RE'!K33)*'SA8'!K47))/12</f>
        <v>25807113.825420663</v>
      </c>
      <c r="L46" s="75">
        <f>(('A4-FinPerf RE'!L24+'A4-FinPerf RE'!L25+'A4-FinPerf RE'!L26+'A4-FinPerf RE'!L28+'A4-FinPerf RE'!L29+'A4-FinPerf RE'!L31+'SA1'!L91+'A7-CFlow'!L35)+(('A4-FinPerf RE'!L30+'A4-FinPerf RE'!L33)*'SA8'!L47))/12</f>
        <v>27355540.65494591</v>
      </c>
    </row>
    <row r="47" spans="1:12" x14ac:dyDescent="0.25">
      <c r="A47" s="25" t="s">
        <v>1287</v>
      </c>
      <c r="C47" s="1475">
        <v>0.4</v>
      </c>
      <c r="D47" s="126">
        <f>$C$47</f>
        <v>0.4</v>
      </c>
      <c r="E47" s="126">
        <f t="shared" ref="E47:L47" si="1">$C$47</f>
        <v>0.4</v>
      </c>
      <c r="F47" s="126">
        <f t="shared" si="1"/>
        <v>0.4</v>
      </c>
      <c r="G47" s="126">
        <f t="shared" si="1"/>
        <v>0.4</v>
      </c>
      <c r="H47" s="126">
        <f t="shared" si="1"/>
        <v>0.4</v>
      </c>
      <c r="I47" s="126">
        <f t="shared" si="1"/>
        <v>0.4</v>
      </c>
      <c r="J47" s="126">
        <f t="shared" si="1"/>
        <v>0.4</v>
      </c>
      <c r="K47" s="126">
        <f t="shared" si="1"/>
        <v>0.4</v>
      </c>
      <c r="L47" s="126">
        <f t="shared" si="1"/>
        <v>0.4</v>
      </c>
    </row>
    <row r="48" spans="1:12" x14ac:dyDescent="0.25">
      <c r="A48" s="25" t="s">
        <v>792</v>
      </c>
      <c r="C48" s="113">
        <f>'A5-Capex'!C40-'A5-Capex'!C70-'A5-Capex'!C71</f>
        <v>0</v>
      </c>
      <c r="D48" s="113">
        <f>'A5-Capex'!D40-'A5-Capex'!D70-'A5-Capex'!D71</f>
        <v>0</v>
      </c>
      <c r="E48" s="113">
        <f>'A5-Capex'!E40-'A5-Capex'!E70-'A5-Capex'!E71</f>
        <v>0</v>
      </c>
      <c r="F48" s="113">
        <f>'A5-Capex'!F40-'A5-Capex'!F70-'A5-Capex'!F71</f>
        <v>1321350</v>
      </c>
      <c r="G48" s="113">
        <f>'A5-Capex'!G40-'A5-Capex'!G70-'A5-Capex'!G71</f>
        <v>661750</v>
      </c>
      <c r="H48" s="113">
        <f>'A5-Capex'!H40-'A5-Capex'!H70-'A5-Capex'!H71</f>
        <v>661750</v>
      </c>
      <c r="I48" s="113">
        <f>'A5-Capex'!I40-'A5-Capex'!I70-'A5-Capex'!I71</f>
        <v>661750</v>
      </c>
      <c r="J48" s="113">
        <f>'A5-Capex'!J40-'A5-Capex'!J70-'A5-Capex'!J71</f>
        <v>0</v>
      </c>
      <c r="K48" s="113">
        <f>'A5-Capex'!K40-'A5-Capex'!K70-'A5-Capex'!K71</f>
        <v>0</v>
      </c>
      <c r="L48" s="113">
        <f>'A5-Capex'!L40-'A5-Capex'!L70-'A5-Capex'!L71</f>
        <v>0</v>
      </c>
    </row>
    <row r="49" spans="1:12" x14ac:dyDescent="0.25">
      <c r="A49" s="25" t="s">
        <v>1132</v>
      </c>
      <c r="C49" s="113">
        <f>'A7-CFlow'!C31+'A7-CFlow'!C32</f>
        <v>0</v>
      </c>
      <c r="D49" s="113">
        <f>'A7-CFlow'!D31+'A7-CFlow'!D32</f>
        <v>0</v>
      </c>
      <c r="E49" s="113">
        <f>'A7-CFlow'!E31+'A7-CFlow'!E32</f>
        <v>0</v>
      </c>
      <c r="F49" s="113">
        <f>'A7-CFlow'!F31+'A7-CFlow'!F32</f>
        <v>0</v>
      </c>
      <c r="G49" s="113">
        <f>'A7-CFlow'!G31+'A7-CFlow'!G32</f>
        <v>0</v>
      </c>
      <c r="H49" s="113">
        <f>'A7-CFlow'!H31+'A7-CFlow'!H32</f>
        <v>0</v>
      </c>
      <c r="I49" s="113">
        <f>'A7-CFlow'!I31+'A7-CFlow'!I32</f>
        <v>0</v>
      </c>
      <c r="J49" s="113">
        <f>'A7-CFlow'!J31+'A7-CFlow'!J32</f>
        <v>0</v>
      </c>
      <c r="K49" s="113">
        <f>'A7-CFlow'!K31+'A7-CFlow'!K32</f>
        <v>0</v>
      </c>
      <c r="L49" s="113">
        <f>'A7-CFlow'!L31+'A7-CFlow'!L32</f>
        <v>0</v>
      </c>
    </row>
  </sheetData>
  <dataConsolidate/>
  <mergeCells count="6">
    <mergeCell ref="A29:A31"/>
    <mergeCell ref="A2:A3"/>
    <mergeCell ref="J2:L2"/>
    <mergeCell ref="B2:B3"/>
    <mergeCell ref="F2:I2"/>
    <mergeCell ref="A26:A28"/>
  </mergeCells>
  <phoneticPr fontId="3" type="noConversion"/>
  <dataValidations count="1">
    <dataValidation type="decimal" allowBlank="1" showInputMessage="1" showErrorMessage="1" sqref="C20:L20 C22:L22 C24:L24 C26:L31 E45:L45 C47" xr:uid="{00000000-0002-0000-1B00-000000000000}">
      <formula1>-9999999999999990000</formula1>
      <formula2>99999999999999900000</formula2>
    </dataValidation>
  </dataValidations>
  <printOptions horizontalCentered="1"/>
  <pageMargins left="0.37" right="0.14000000000000001" top="0.78740157480314965" bottom="0.39370078740157483" header="0.51181102362204722" footer="0.59055118110236227"/>
  <pageSetup paperSize="9" scale="71"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2"/>
  <dimension ref="A1:M320"/>
  <sheetViews>
    <sheetView showGridLines="0" topLeftCell="A61" zoomScale="110" zoomScaleNormal="110" workbookViewId="0">
      <selection activeCell="G135" sqref="G135"/>
    </sheetView>
  </sheetViews>
  <sheetFormatPr defaultRowHeight="11.25" customHeight="1" x14ac:dyDescent="0.25"/>
  <cols>
    <col min="1" max="1" width="35.28515625" style="25" customWidth="1"/>
    <col min="2" max="2" width="3.7109375" style="25" customWidth="1"/>
    <col min="3" max="3" width="32.42578125" style="25" customWidth="1"/>
    <col min="4" max="12" width="9.28515625" style="25" customWidth="1"/>
    <col min="13" max="16384" width="9.140625" style="25"/>
  </cols>
  <sheetData>
    <row r="1" spans="1:13" s="52" customFormat="1" ht="12.75" x14ac:dyDescent="0.2">
      <c r="A1" s="23" t="str">
        <f>muni&amp;" - "&amp;TableA9</f>
        <v>EC101 Dr Beyers Naude - Supporting Table SA9 Social, economic and demographic statistics and assumptions</v>
      </c>
      <c r="B1" s="1128"/>
      <c r="C1" s="23"/>
      <c r="D1" s="23"/>
      <c r="E1" s="23"/>
      <c r="F1" s="23"/>
      <c r="G1" s="23"/>
      <c r="H1" s="23"/>
      <c r="I1" s="23"/>
      <c r="J1" s="23"/>
      <c r="K1" s="23"/>
      <c r="L1" s="23"/>
      <c r="M1" s="23"/>
    </row>
    <row r="2" spans="1:13" ht="33.75" customHeight="1" x14ac:dyDescent="0.25">
      <c r="A2" s="1946" t="s">
        <v>554</v>
      </c>
      <c r="B2" s="1948" t="s">
        <v>1764</v>
      </c>
      <c r="C2" s="1946" t="s">
        <v>957</v>
      </c>
      <c r="D2" s="1946" t="str">
        <f>Head44</f>
        <v>2001 Census</v>
      </c>
      <c r="E2" s="1946" t="s">
        <v>174</v>
      </c>
      <c r="F2" s="1946" t="str">
        <f>Head45</f>
        <v>2011 Census</v>
      </c>
      <c r="G2" s="1171" t="str">
        <f>head1b</f>
        <v>2015/16</v>
      </c>
      <c r="H2" s="1172" t="str">
        <f>head1A</f>
        <v>2016/17</v>
      </c>
      <c r="I2" s="1173" t="str">
        <f>Head1</f>
        <v>2017/18</v>
      </c>
      <c r="J2" s="1174" t="str">
        <f>Head2</f>
        <v>Current Year 2018/19</v>
      </c>
      <c r="K2" s="1950" t="str">
        <f>Head3</f>
        <v>2019/20 Medium Term Revenue &amp; Expenditure Framework</v>
      </c>
      <c r="L2" s="1950"/>
      <c r="M2" s="1951"/>
    </row>
    <row r="3" spans="1:13" ht="25.15" customHeight="1" x14ac:dyDescent="0.25">
      <c r="A3" s="1947"/>
      <c r="B3" s="1949"/>
      <c r="C3" s="1947"/>
      <c r="D3" s="1947"/>
      <c r="E3" s="1947"/>
      <c r="F3" s="1947"/>
      <c r="G3" s="632" t="str">
        <f t="shared" ref="G3:M3" si="0">Head5A</f>
        <v>Outcome</v>
      </c>
      <c r="H3" s="633" t="str">
        <f t="shared" si="0"/>
        <v>Outcome</v>
      </c>
      <c r="I3" s="1175" t="str">
        <f t="shared" si="0"/>
        <v>Outcome</v>
      </c>
      <c r="J3" s="1176" t="str">
        <f>Head6</f>
        <v>Original Budget</v>
      </c>
      <c r="K3" s="1177" t="str">
        <f t="shared" si="0"/>
        <v>Outcome</v>
      </c>
      <c r="L3" s="633" t="str">
        <f t="shared" si="0"/>
        <v>Outcome</v>
      </c>
      <c r="M3" s="1178" t="str">
        <f t="shared" si="0"/>
        <v>Outcome</v>
      </c>
    </row>
    <row r="4" spans="1:13" ht="11.25" customHeight="1" x14ac:dyDescent="0.25">
      <c r="A4" s="254" t="s">
        <v>558</v>
      </c>
      <c r="B4" s="1183"/>
      <c r="C4" s="1129"/>
      <c r="D4" s="302"/>
      <c r="E4" s="302"/>
      <c r="F4" s="302"/>
      <c r="G4" s="258"/>
      <c r="H4" s="233"/>
      <c r="I4" s="303"/>
      <c r="J4" s="304"/>
      <c r="K4" s="259"/>
      <c r="L4" s="233"/>
      <c r="M4" s="257"/>
    </row>
    <row r="5" spans="1:13" ht="11.25" customHeight="1" x14ac:dyDescent="0.25">
      <c r="A5" s="146" t="s">
        <v>988</v>
      </c>
      <c r="B5" s="1184"/>
      <c r="C5" s="1401"/>
      <c r="D5" s="1476"/>
      <c r="E5" s="1476"/>
      <c r="F5" s="1476"/>
      <c r="G5" s="1477"/>
      <c r="H5" s="1478"/>
      <c r="I5" s="1479"/>
      <c r="J5" s="1480"/>
      <c r="K5" s="1481"/>
      <c r="L5" s="1478"/>
      <c r="M5" s="1482"/>
    </row>
    <row r="6" spans="1:13" ht="11.25" customHeight="1" x14ac:dyDescent="0.25">
      <c r="A6" s="266" t="s">
        <v>986</v>
      </c>
      <c r="B6" s="237"/>
      <c r="C6" s="1401"/>
      <c r="D6" s="1476"/>
      <c r="E6" s="1476"/>
      <c r="F6" s="1476"/>
      <c r="G6" s="1483"/>
      <c r="H6" s="1484"/>
      <c r="I6" s="1485"/>
      <c r="J6" s="1486"/>
      <c r="K6" s="1487"/>
      <c r="L6" s="1484"/>
      <c r="M6" s="1488"/>
    </row>
    <row r="7" spans="1:13" ht="11.25" customHeight="1" x14ac:dyDescent="0.25">
      <c r="A7" s="266" t="s">
        <v>110</v>
      </c>
      <c r="B7" s="237"/>
      <c r="C7" s="1401"/>
      <c r="D7" s="1476"/>
      <c r="E7" s="1476"/>
      <c r="F7" s="1476"/>
      <c r="G7" s="1483"/>
      <c r="H7" s="1484"/>
      <c r="I7" s="1485"/>
      <c r="J7" s="1486"/>
      <c r="K7" s="1487"/>
      <c r="L7" s="1484"/>
      <c r="M7" s="1488"/>
    </row>
    <row r="8" spans="1:13" ht="11.25" customHeight="1" x14ac:dyDescent="0.25">
      <c r="A8" s="266" t="s">
        <v>987</v>
      </c>
      <c r="B8" s="237"/>
      <c r="C8" s="1401"/>
      <c r="D8" s="1476"/>
      <c r="E8" s="1476"/>
      <c r="F8" s="1476"/>
      <c r="G8" s="1483"/>
      <c r="H8" s="1484"/>
      <c r="I8" s="1485"/>
      <c r="J8" s="1486"/>
      <c r="K8" s="1487"/>
      <c r="L8" s="1484"/>
      <c r="M8" s="1488"/>
    </row>
    <row r="9" spans="1:13" ht="11.25" customHeight="1" x14ac:dyDescent="0.25">
      <c r="A9" s="266" t="s">
        <v>111</v>
      </c>
      <c r="B9" s="237"/>
      <c r="C9" s="1401"/>
      <c r="D9" s="1476"/>
      <c r="E9" s="1476"/>
      <c r="F9" s="1476"/>
      <c r="G9" s="1483"/>
      <c r="H9" s="1484"/>
      <c r="I9" s="1485"/>
      <c r="J9" s="1486"/>
      <c r="K9" s="1487"/>
      <c r="L9" s="1484"/>
      <c r="M9" s="1488"/>
    </row>
    <row r="10" spans="1:13" ht="12.75" customHeight="1" x14ac:dyDescent="0.25">
      <c r="A10" s="294" t="s">
        <v>989</v>
      </c>
      <c r="B10" s="1132"/>
      <c r="C10" s="1489"/>
      <c r="D10" s="1490"/>
      <c r="E10" s="1490"/>
      <c r="F10" s="1490"/>
      <c r="G10" s="1491"/>
      <c r="H10" s="1492"/>
      <c r="I10" s="1493"/>
      <c r="J10" s="1494"/>
      <c r="K10" s="1495"/>
      <c r="L10" s="1492"/>
      <c r="M10" s="1496"/>
    </row>
    <row r="11" spans="1:13" ht="11.25" customHeight="1" x14ac:dyDescent="0.25">
      <c r="A11" s="266"/>
      <c r="B11" s="237"/>
      <c r="C11" s="1130"/>
      <c r="D11" s="306"/>
      <c r="E11" s="306"/>
      <c r="F11" s="306"/>
      <c r="G11" s="243"/>
      <c r="H11" s="235"/>
      <c r="I11" s="307"/>
      <c r="J11" s="237"/>
      <c r="K11" s="272"/>
      <c r="L11" s="235"/>
      <c r="M11" s="242"/>
    </row>
    <row r="12" spans="1:13" ht="11.25" customHeight="1" x14ac:dyDescent="0.25">
      <c r="A12" s="270" t="s">
        <v>1966</v>
      </c>
      <c r="B12" s="1184" t="s">
        <v>1927</v>
      </c>
      <c r="C12" s="1130"/>
      <c r="D12" s="306"/>
      <c r="E12" s="306"/>
      <c r="F12" s="306"/>
      <c r="G12" s="243"/>
      <c r="H12" s="235"/>
      <c r="I12" s="307"/>
      <c r="J12" s="237"/>
      <c r="K12" s="272"/>
      <c r="L12" s="235"/>
      <c r="M12" s="242"/>
    </row>
    <row r="13" spans="1:13" ht="11.25" customHeight="1" x14ac:dyDescent="0.25">
      <c r="A13" s="1181" t="s">
        <v>1926</v>
      </c>
      <c r="B13" s="1135"/>
      <c r="C13" s="1401"/>
      <c r="D13" s="1497"/>
      <c r="E13" s="1497"/>
      <c r="F13" s="1497"/>
      <c r="G13" s="1416"/>
      <c r="H13" s="1414"/>
      <c r="I13" s="1498"/>
      <c r="J13" s="1499"/>
      <c r="K13" s="1417"/>
      <c r="L13" s="1414"/>
      <c r="M13" s="1415"/>
    </row>
    <row r="14" spans="1:13" ht="11.25" customHeight="1" x14ac:dyDescent="0.25">
      <c r="A14" s="1181" t="s">
        <v>1942</v>
      </c>
      <c r="B14" s="1135"/>
      <c r="C14" s="1401"/>
      <c r="D14" s="1497"/>
      <c r="E14" s="1497"/>
      <c r="F14" s="1497"/>
      <c r="G14" s="1416"/>
      <c r="H14" s="1414"/>
      <c r="I14" s="1498"/>
      <c r="J14" s="1499"/>
      <c r="K14" s="1417"/>
      <c r="L14" s="1414"/>
      <c r="M14" s="1415"/>
    </row>
    <row r="15" spans="1:13" ht="11.25" customHeight="1" x14ac:dyDescent="0.25">
      <c r="A15" s="1181" t="s">
        <v>1943</v>
      </c>
      <c r="B15" s="1135"/>
      <c r="C15" s="1401"/>
      <c r="D15" s="1497"/>
      <c r="E15" s="1497"/>
      <c r="F15" s="1497"/>
      <c r="G15" s="1416"/>
      <c r="H15" s="1414"/>
      <c r="I15" s="1498"/>
      <c r="J15" s="1499"/>
      <c r="K15" s="1417"/>
      <c r="L15" s="1414"/>
      <c r="M15" s="1415"/>
    </row>
    <row r="16" spans="1:13" ht="11.25" customHeight="1" x14ac:dyDescent="0.25">
      <c r="A16" s="1181" t="s">
        <v>1944</v>
      </c>
      <c r="B16" s="1135"/>
      <c r="C16" s="1401"/>
      <c r="D16" s="1497"/>
      <c r="E16" s="1497"/>
      <c r="F16" s="1497"/>
      <c r="G16" s="1416"/>
      <c r="H16" s="1414"/>
      <c r="I16" s="1498"/>
      <c r="J16" s="1499"/>
      <c r="K16" s="1417"/>
      <c r="L16" s="1414"/>
      <c r="M16" s="1415"/>
    </row>
    <row r="17" spans="1:13" ht="11.25" customHeight="1" x14ac:dyDescent="0.25">
      <c r="A17" s="1181" t="s">
        <v>1945</v>
      </c>
      <c r="B17" s="1135"/>
      <c r="C17" s="1401"/>
      <c r="D17" s="1497"/>
      <c r="E17" s="1497"/>
      <c r="F17" s="1497"/>
      <c r="G17" s="1416"/>
      <c r="H17" s="1414"/>
      <c r="I17" s="1498"/>
      <c r="J17" s="1499"/>
      <c r="K17" s="1417"/>
      <c r="L17" s="1414"/>
      <c r="M17" s="1415"/>
    </row>
    <row r="18" spans="1:13" ht="11.25" customHeight="1" x14ac:dyDescent="0.25">
      <c r="A18" s="1181" t="s">
        <v>1946</v>
      </c>
      <c r="B18" s="1135"/>
      <c r="C18" s="1401"/>
      <c r="D18" s="1497"/>
      <c r="E18" s="1497"/>
      <c r="F18" s="1497"/>
      <c r="G18" s="1416"/>
      <c r="H18" s="1414"/>
      <c r="I18" s="1498"/>
      <c r="J18" s="1499"/>
      <c r="K18" s="1417"/>
      <c r="L18" s="1414"/>
      <c r="M18" s="1415"/>
    </row>
    <row r="19" spans="1:13" ht="11.25" customHeight="1" x14ac:dyDescent="0.25">
      <c r="A19" s="1181" t="s">
        <v>1947</v>
      </c>
      <c r="B19" s="1135"/>
      <c r="C19" s="1401"/>
      <c r="D19" s="1497"/>
      <c r="E19" s="1497"/>
      <c r="F19" s="1497"/>
      <c r="G19" s="1416"/>
      <c r="H19" s="1414"/>
      <c r="I19" s="1498"/>
      <c r="J19" s="1499"/>
      <c r="K19" s="1417"/>
      <c r="L19" s="1414"/>
      <c r="M19" s="1415"/>
    </row>
    <row r="20" spans="1:13" ht="11.25" customHeight="1" x14ac:dyDescent="0.25">
      <c r="A20" s="1181" t="s">
        <v>1948</v>
      </c>
      <c r="B20" s="1135"/>
      <c r="C20" s="1401"/>
      <c r="D20" s="1497"/>
      <c r="E20" s="1497"/>
      <c r="F20" s="1497"/>
      <c r="G20" s="1416"/>
      <c r="H20" s="1414"/>
      <c r="I20" s="1498"/>
      <c r="J20" s="1499"/>
      <c r="K20" s="1417"/>
      <c r="L20" s="1414"/>
      <c r="M20" s="1415"/>
    </row>
    <row r="21" spans="1:13" ht="11.25" customHeight="1" x14ac:dyDescent="0.25">
      <c r="A21" s="1181" t="s">
        <v>1949</v>
      </c>
      <c r="B21" s="1135"/>
      <c r="C21" s="1401"/>
      <c r="D21" s="1497"/>
      <c r="E21" s="1497"/>
      <c r="F21" s="1497"/>
      <c r="G21" s="1416"/>
      <c r="H21" s="1414"/>
      <c r="I21" s="1498"/>
      <c r="J21" s="1499"/>
      <c r="K21" s="1417"/>
      <c r="L21" s="1414"/>
      <c r="M21" s="1415"/>
    </row>
    <row r="22" spans="1:13" ht="11.25" customHeight="1" x14ac:dyDescent="0.25">
      <c r="A22" s="1181" t="s">
        <v>1950</v>
      </c>
      <c r="B22" s="1135"/>
      <c r="C22" s="1401"/>
      <c r="D22" s="1497"/>
      <c r="E22" s="1497"/>
      <c r="F22" s="1497"/>
      <c r="G22" s="1416"/>
      <c r="H22" s="1414"/>
      <c r="I22" s="1498"/>
      <c r="J22" s="1499"/>
      <c r="K22" s="1417"/>
      <c r="L22" s="1414"/>
      <c r="M22" s="1415"/>
    </row>
    <row r="23" spans="1:13" ht="11.25" customHeight="1" x14ac:dyDescent="0.25">
      <c r="A23" s="1181" t="s">
        <v>1951</v>
      </c>
      <c r="B23" s="1135"/>
      <c r="C23" s="1401"/>
      <c r="D23" s="1497"/>
      <c r="E23" s="1497"/>
      <c r="F23" s="1497"/>
      <c r="G23" s="1416"/>
      <c r="H23" s="1414"/>
      <c r="I23" s="1498"/>
      <c r="J23" s="1499"/>
      <c r="K23" s="1417"/>
      <c r="L23" s="1414"/>
      <c r="M23" s="1415"/>
    </row>
    <row r="24" spans="1:13" ht="11.25" customHeight="1" x14ac:dyDescent="0.25">
      <c r="A24" s="1181" t="s">
        <v>1952</v>
      </c>
      <c r="B24" s="1135"/>
      <c r="C24" s="1401"/>
      <c r="D24" s="1497"/>
      <c r="E24" s="1497"/>
      <c r="F24" s="1497"/>
      <c r="G24" s="1416"/>
      <c r="H24" s="1414"/>
      <c r="I24" s="1498"/>
      <c r="J24" s="1499"/>
      <c r="K24" s="1417"/>
      <c r="L24" s="1414"/>
      <c r="M24" s="1415"/>
    </row>
    <row r="25" spans="1:13" ht="3.75" customHeight="1" x14ac:dyDescent="0.25">
      <c r="A25" s="1182"/>
      <c r="B25" s="1144"/>
      <c r="C25" s="1489"/>
      <c r="D25" s="1500"/>
      <c r="E25" s="1500"/>
      <c r="F25" s="1500"/>
      <c r="G25" s="1501"/>
      <c r="H25" s="1502"/>
      <c r="I25" s="1503"/>
      <c r="J25" s="1504"/>
      <c r="K25" s="1505"/>
      <c r="L25" s="1502"/>
      <c r="M25" s="1506"/>
    </row>
    <row r="26" spans="1:13" ht="11.25" customHeight="1" x14ac:dyDescent="0.25">
      <c r="A26" s="266"/>
      <c r="B26" s="237"/>
      <c r="C26" s="1131"/>
      <c r="D26" s="308"/>
      <c r="E26" s="308"/>
      <c r="F26" s="308"/>
      <c r="G26" s="251"/>
      <c r="H26" s="249"/>
      <c r="I26" s="309"/>
      <c r="J26" s="310"/>
      <c r="K26" s="252"/>
      <c r="L26" s="249"/>
      <c r="M26" s="250"/>
    </row>
    <row r="27" spans="1:13" ht="11.25" customHeight="1" x14ac:dyDescent="0.25">
      <c r="A27" s="270" t="s">
        <v>1967</v>
      </c>
      <c r="B27" s="1184"/>
      <c r="C27" s="1131"/>
      <c r="D27" s="308"/>
      <c r="E27" s="308"/>
      <c r="F27" s="308"/>
      <c r="G27" s="251"/>
      <c r="H27" s="249"/>
      <c r="I27" s="309"/>
      <c r="J27" s="310"/>
      <c r="K27" s="252"/>
      <c r="L27" s="249"/>
      <c r="M27" s="250"/>
    </row>
    <row r="28" spans="1:13" ht="12.75" customHeight="1" x14ac:dyDescent="0.25">
      <c r="A28" s="1181" t="s">
        <v>1969</v>
      </c>
      <c r="B28" s="1135">
        <v>13</v>
      </c>
      <c r="C28" s="1401"/>
      <c r="D28" s="1508"/>
      <c r="E28" s="1508"/>
      <c r="F28" s="1508"/>
      <c r="G28" s="1509"/>
      <c r="H28" s="1510"/>
      <c r="I28" s="1511"/>
      <c r="J28" s="1512"/>
      <c r="K28" s="1513"/>
      <c r="L28" s="1510"/>
      <c r="M28" s="1514"/>
    </row>
    <row r="29" spans="1:13" ht="12.75" customHeight="1" x14ac:dyDescent="0.25">
      <c r="A29" s="1507" t="s">
        <v>964</v>
      </c>
      <c r="B29" s="1135">
        <v>2</v>
      </c>
      <c r="C29" s="1401"/>
      <c r="D29" s="1508"/>
      <c r="E29" s="1508"/>
      <c r="F29" s="1508"/>
      <c r="G29" s="1509"/>
      <c r="H29" s="1510"/>
      <c r="I29" s="1511"/>
      <c r="J29" s="1512"/>
      <c r="K29" s="1513"/>
      <c r="L29" s="1510"/>
      <c r="M29" s="1514"/>
    </row>
    <row r="30" spans="1:13" ht="4.5" customHeight="1" x14ac:dyDescent="0.25">
      <c r="A30" s="294"/>
      <c r="B30" s="1132"/>
      <c r="C30" s="1133"/>
      <c r="D30" s="685"/>
      <c r="E30" s="685"/>
      <c r="F30" s="685"/>
      <c r="G30" s="686"/>
      <c r="H30" s="687"/>
      <c r="I30" s="688"/>
      <c r="J30" s="689"/>
      <c r="K30" s="690"/>
      <c r="L30" s="687"/>
      <c r="M30" s="691"/>
    </row>
    <row r="31" spans="1:13" ht="11.25" customHeight="1" x14ac:dyDescent="0.25">
      <c r="A31" s="270" t="s">
        <v>1594</v>
      </c>
      <c r="B31" s="1184"/>
      <c r="C31" s="1131"/>
      <c r="D31" s="308"/>
      <c r="E31" s="308"/>
      <c r="F31" s="308"/>
      <c r="G31" s="251"/>
      <c r="H31" s="249"/>
      <c r="I31" s="309"/>
      <c r="J31" s="310"/>
      <c r="K31" s="252"/>
      <c r="L31" s="249"/>
      <c r="M31" s="250"/>
    </row>
    <row r="32" spans="1:13" ht="11.25" customHeight="1" x14ac:dyDescent="0.25">
      <c r="A32" s="1507" t="s">
        <v>1595</v>
      </c>
      <c r="B32" s="1135"/>
      <c r="C32" s="1401"/>
      <c r="D32" s="1508"/>
      <c r="E32" s="1508"/>
      <c r="F32" s="1508"/>
      <c r="G32" s="1316"/>
      <c r="H32" s="1316"/>
      <c r="I32" s="1317"/>
      <c r="J32" s="1328"/>
      <c r="K32" s="1320"/>
      <c r="L32" s="1316"/>
      <c r="M32" s="1319"/>
    </row>
    <row r="33" spans="1:13" ht="11.25" customHeight="1" x14ac:dyDescent="0.25">
      <c r="A33" s="1507" t="s">
        <v>1596</v>
      </c>
      <c r="B33" s="1135"/>
      <c r="C33" s="1401"/>
      <c r="D33" s="1508"/>
      <c r="E33" s="1508"/>
      <c r="F33" s="1508"/>
      <c r="G33" s="1316"/>
      <c r="H33" s="1316"/>
      <c r="I33" s="1317"/>
      <c r="J33" s="1328"/>
      <c r="K33" s="1320"/>
      <c r="L33" s="1316"/>
      <c r="M33" s="1319"/>
    </row>
    <row r="34" spans="1:13" ht="11.25" customHeight="1" x14ac:dyDescent="0.25">
      <c r="A34" s="1507" t="s">
        <v>1597</v>
      </c>
      <c r="B34" s="1135"/>
      <c r="C34" s="1401"/>
      <c r="D34" s="1508"/>
      <c r="E34" s="1508"/>
      <c r="F34" s="1508"/>
      <c r="G34" s="1316"/>
      <c r="H34" s="1316"/>
      <c r="I34" s="1317"/>
      <c r="J34" s="1328"/>
      <c r="K34" s="1320"/>
      <c r="L34" s="1316"/>
      <c r="M34" s="1319"/>
    </row>
    <row r="35" spans="1:13" ht="11.25" customHeight="1" x14ac:dyDescent="0.25">
      <c r="A35" s="1507" t="s">
        <v>1598</v>
      </c>
      <c r="B35" s="1135"/>
      <c r="C35" s="1401"/>
      <c r="D35" s="1508"/>
      <c r="E35" s="1508"/>
      <c r="F35" s="1508"/>
      <c r="G35" s="1316"/>
      <c r="H35" s="1316"/>
      <c r="I35" s="1317"/>
      <c r="J35" s="1328"/>
      <c r="K35" s="1320"/>
      <c r="L35" s="1316"/>
      <c r="M35" s="1319"/>
    </row>
    <row r="36" spans="1:13" ht="12.75" customHeight="1" x14ac:dyDescent="0.25">
      <c r="A36" s="1515" t="s">
        <v>255</v>
      </c>
      <c r="B36" s="1144"/>
      <c r="C36" s="1489"/>
      <c r="D36" s="1516"/>
      <c r="E36" s="1516"/>
      <c r="F36" s="1516"/>
      <c r="G36" s="1517"/>
      <c r="H36" s="1517"/>
      <c r="I36" s="1518"/>
      <c r="J36" s="1519"/>
      <c r="K36" s="1520"/>
      <c r="L36" s="1517"/>
      <c r="M36" s="1521"/>
    </row>
    <row r="37" spans="1:13" ht="11.25" customHeight="1" x14ac:dyDescent="0.25">
      <c r="A37" s="270"/>
      <c r="B37" s="1184"/>
      <c r="C37" s="1131"/>
      <c r="D37" s="308"/>
      <c r="E37" s="308"/>
      <c r="F37" s="308"/>
      <c r="G37" s="251"/>
      <c r="H37" s="249"/>
      <c r="I37" s="309"/>
      <c r="J37" s="310"/>
      <c r="K37" s="252"/>
      <c r="L37" s="249"/>
      <c r="M37" s="250"/>
    </row>
    <row r="38" spans="1:13" ht="11.25" customHeight="1" x14ac:dyDescent="0.25">
      <c r="A38" s="270" t="s">
        <v>1842</v>
      </c>
      <c r="B38" s="1184">
        <v>3</v>
      </c>
      <c r="C38" s="1131"/>
      <c r="D38" s="308"/>
      <c r="E38" s="308"/>
      <c r="F38" s="308"/>
      <c r="G38" s="251"/>
      <c r="H38" s="249"/>
      <c r="I38" s="309"/>
      <c r="J38" s="310"/>
      <c r="K38" s="252"/>
      <c r="L38" s="249"/>
      <c r="M38" s="250"/>
    </row>
    <row r="39" spans="1:13" ht="11.25" customHeight="1" x14ac:dyDescent="0.25">
      <c r="A39" s="1507" t="s">
        <v>801</v>
      </c>
      <c r="B39" s="1135"/>
      <c r="C39" s="1401"/>
      <c r="D39" s="1508"/>
      <c r="E39" s="1508"/>
      <c r="F39" s="1508"/>
      <c r="G39" s="1522"/>
      <c r="H39" s="1523"/>
      <c r="I39" s="1524"/>
      <c r="J39" s="1525"/>
      <c r="K39" s="1526"/>
      <c r="L39" s="1523"/>
      <c r="M39" s="1527"/>
    </row>
    <row r="40" spans="1:13" ht="11.25" customHeight="1" x14ac:dyDescent="0.25">
      <c r="A40" s="1507" t="s">
        <v>802</v>
      </c>
      <c r="B40" s="1135"/>
      <c r="C40" s="1401"/>
      <c r="D40" s="1528"/>
      <c r="E40" s="1516"/>
      <c r="F40" s="1516"/>
      <c r="G40" s="1529"/>
      <c r="H40" s="1530"/>
      <c r="I40" s="1531"/>
      <c r="J40" s="1532"/>
      <c r="K40" s="1533"/>
      <c r="L40" s="1530"/>
      <c r="M40" s="1534"/>
    </row>
    <row r="41" spans="1:13" ht="11.25" customHeight="1" x14ac:dyDescent="0.25">
      <c r="A41" s="1134" t="s">
        <v>1177</v>
      </c>
      <c r="B41" s="1135"/>
      <c r="C41" s="1136"/>
      <c r="D41" s="306">
        <f>SUM(D39:D40)</f>
        <v>0</v>
      </c>
      <c r="E41" s="306">
        <f t="shared" ref="E41:M41" si="1">SUM(E39:E40)</f>
        <v>0</v>
      </c>
      <c r="F41" s="306">
        <f t="shared" si="1"/>
        <v>0</v>
      </c>
      <c r="G41" s="1137">
        <f t="shared" si="1"/>
        <v>0</v>
      </c>
      <c r="H41" s="1138">
        <f t="shared" si="1"/>
        <v>0</v>
      </c>
      <c r="I41" s="1139">
        <f t="shared" si="1"/>
        <v>0</v>
      </c>
      <c r="J41" s="1140">
        <f t="shared" si="1"/>
        <v>0</v>
      </c>
      <c r="K41" s="1141">
        <f t="shared" si="1"/>
        <v>0</v>
      </c>
      <c r="L41" s="1138">
        <f t="shared" si="1"/>
        <v>0</v>
      </c>
      <c r="M41" s="1142">
        <f t="shared" si="1"/>
        <v>0</v>
      </c>
    </row>
    <row r="42" spans="1:13" ht="11.25" customHeight="1" x14ac:dyDescent="0.25">
      <c r="A42" s="1507" t="s">
        <v>1843</v>
      </c>
      <c r="B42" s="1135">
        <v>4</v>
      </c>
      <c r="C42" s="1401"/>
      <c r="D42" s="1508"/>
      <c r="E42" s="1508"/>
      <c r="F42" s="1508"/>
      <c r="G42" s="1522"/>
      <c r="H42" s="1523"/>
      <c r="I42" s="1524"/>
      <c r="J42" s="1525"/>
      <c r="K42" s="1526"/>
      <c r="L42" s="1523"/>
      <c r="M42" s="1527"/>
    </row>
    <row r="43" spans="1:13" ht="11.25" customHeight="1" x14ac:dyDescent="0.25">
      <c r="A43" s="1507" t="s">
        <v>448</v>
      </c>
      <c r="B43" s="1135"/>
      <c r="C43" s="1401"/>
      <c r="D43" s="1508"/>
      <c r="E43" s="1508"/>
      <c r="F43" s="1508"/>
      <c r="G43" s="1522"/>
      <c r="H43" s="1523"/>
      <c r="I43" s="1524"/>
      <c r="J43" s="1525"/>
      <c r="K43" s="1526"/>
      <c r="L43" s="1523"/>
      <c r="M43" s="1527"/>
    </row>
    <row r="44" spans="1:13" ht="11.25" customHeight="1" x14ac:dyDescent="0.25">
      <c r="A44" s="1507" t="s">
        <v>1844</v>
      </c>
      <c r="B44" s="1135">
        <v>5</v>
      </c>
      <c r="C44" s="1401"/>
      <c r="D44" s="1535"/>
      <c r="E44" s="1508"/>
      <c r="F44" s="1508"/>
      <c r="G44" s="1522"/>
      <c r="H44" s="1523"/>
      <c r="I44" s="1524"/>
      <c r="J44" s="1525"/>
      <c r="K44" s="1526"/>
      <c r="L44" s="1523"/>
      <c r="M44" s="1527"/>
    </row>
    <row r="45" spans="1:13" ht="12.75" customHeight="1" x14ac:dyDescent="0.25">
      <c r="A45" s="1143" t="s">
        <v>256</v>
      </c>
      <c r="B45" s="1144"/>
      <c r="C45" s="1145"/>
      <c r="D45" s="1146">
        <f>SUM(D42:D44)</f>
        <v>0</v>
      </c>
      <c r="E45" s="1147">
        <f t="shared" ref="E45:M45" si="2">SUM(E42:E44)</f>
        <v>0</v>
      </c>
      <c r="F45" s="1147">
        <f t="shared" si="2"/>
        <v>0</v>
      </c>
      <c r="G45" s="1148">
        <f t="shared" si="2"/>
        <v>0</v>
      </c>
      <c r="H45" s="1149">
        <f t="shared" si="2"/>
        <v>0</v>
      </c>
      <c r="I45" s="1150">
        <f t="shared" si="2"/>
        <v>0</v>
      </c>
      <c r="J45" s="1151">
        <f t="shared" si="2"/>
        <v>0</v>
      </c>
      <c r="K45" s="1152">
        <f t="shared" si="2"/>
        <v>0</v>
      </c>
      <c r="L45" s="1149">
        <f t="shared" si="2"/>
        <v>0</v>
      </c>
      <c r="M45" s="1153">
        <f t="shared" si="2"/>
        <v>0</v>
      </c>
    </row>
    <row r="46" spans="1:13" ht="11.25" customHeight="1" x14ac:dyDescent="0.25">
      <c r="A46" s="266"/>
      <c r="B46" s="237"/>
      <c r="C46" s="1131"/>
      <c r="D46" s="306"/>
      <c r="E46" s="306"/>
      <c r="F46" s="306"/>
      <c r="G46" s="246"/>
      <c r="H46" s="311"/>
      <c r="I46" s="312"/>
      <c r="J46" s="245"/>
      <c r="K46" s="313"/>
      <c r="L46" s="311"/>
      <c r="M46" s="244"/>
    </row>
    <row r="47" spans="1:13" ht="11.25" customHeight="1" x14ac:dyDescent="0.25">
      <c r="A47" s="287" t="s">
        <v>1845</v>
      </c>
      <c r="B47" s="237">
        <v>6</v>
      </c>
      <c r="C47" s="1131"/>
      <c r="D47" s="306"/>
      <c r="E47" s="306"/>
      <c r="F47" s="306"/>
      <c r="G47" s="247"/>
      <c r="H47" s="284"/>
      <c r="I47" s="314"/>
      <c r="J47" s="315"/>
      <c r="K47" s="293"/>
      <c r="L47" s="290"/>
      <c r="M47" s="291"/>
    </row>
    <row r="48" spans="1:13" ht="11.25" customHeight="1" x14ac:dyDescent="0.25">
      <c r="A48" s="266" t="s">
        <v>921</v>
      </c>
      <c r="B48" s="237"/>
      <c r="C48" s="1131"/>
      <c r="D48" s="316"/>
      <c r="E48" s="974"/>
      <c r="F48" s="974"/>
      <c r="G48" s="1467"/>
      <c r="H48" s="1465"/>
      <c r="I48" s="1536"/>
      <c r="J48" s="1537"/>
      <c r="K48" s="1468"/>
      <c r="L48" s="1465"/>
      <c r="M48" s="1466"/>
    </row>
    <row r="49" spans="1:13" ht="11.25" customHeight="1" x14ac:dyDescent="0.25">
      <c r="A49" s="266" t="s">
        <v>990</v>
      </c>
      <c r="B49" s="237"/>
      <c r="C49" s="1131"/>
      <c r="D49" s="316"/>
      <c r="E49" s="974"/>
      <c r="F49" s="974"/>
      <c r="G49" s="1467"/>
      <c r="H49" s="1465"/>
      <c r="I49" s="1536"/>
      <c r="J49" s="1537"/>
      <c r="K49" s="1468"/>
      <c r="L49" s="1465"/>
      <c r="M49" s="1466"/>
    </row>
    <row r="50" spans="1:13" ht="11.25" customHeight="1" x14ac:dyDescent="0.25">
      <c r="A50" s="266" t="s">
        <v>991</v>
      </c>
      <c r="B50" s="237"/>
      <c r="C50" s="1131"/>
      <c r="D50" s="317"/>
      <c r="E50" s="975"/>
      <c r="F50" s="975"/>
      <c r="G50" s="1467"/>
      <c r="H50" s="1465"/>
      <c r="I50" s="1536"/>
      <c r="J50" s="1537"/>
      <c r="K50" s="1468"/>
      <c r="L50" s="1465"/>
      <c r="M50" s="1466"/>
    </row>
    <row r="51" spans="1:13" ht="11.25" customHeight="1" x14ac:dyDescent="0.25">
      <c r="A51" s="266" t="s">
        <v>992</v>
      </c>
      <c r="B51" s="237"/>
      <c r="C51" s="1131"/>
      <c r="D51" s="316"/>
      <c r="E51" s="974"/>
      <c r="F51" s="974"/>
      <c r="G51" s="1538"/>
      <c r="H51" s="1539"/>
      <c r="I51" s="1540"/>
      <c r="J51" s="1537"/>
      <c r="K51" s="1541"/>
      <c r="L51" s="1539"/>
      <c r="M51" s="1542"/>
    </row>
    <row r="52" spans="1:13" ht="11.25" customHeight="1" x14ac:dyDescent="0.25">
      <c r="A52" s="266" t="s">
        <v>632</v>
      </c>
      <c r="B52" s="237"/>
      <c r="C52" s="1131"/>
      <c r="D52" s="316"/>
      <c r="E52" s="974"/>
      <c r="F52" s="974"/>
      <c r="G52" s="1538"/>
      <c r="H52" s="1539"/>
      <c r="I52" s="1540"/>
      <c r="J52" s="1537"/>
      <c r="K52" s="1541"/>
      <c r="L52" s="1539"/>
      <c r="M52" s="1542"/>
    </row>
    <row r="53" spans="1:13" ht="12.75" customHeight="1" x14ac:dyDescent="0.25">
      <c r="A53" s="266" t="s">
        <v>633</v>
      </c>
      <c r="B53" s="237"/>
      <c r="C53" s="1131"/>
      <c r="D53" s="316"/>
      <c r="E53" s="974"/>
      <c r="F53" s="974"/>
      <c r="G53" s="1538"/>
      <c r="H53" s="1539"/>
      <c r="I53" s="1540"/>
      <c r="J53" s="1537"/>
      <c r="K53" s="1541"/>
      <c r="L53" s="1539"/>
      <c r="M53" s="1542"/>
    </row>
    <row r="54" spans="1:13" ht="11.25" customHeight="1" x14ac:dyDescent="0.25">
      <c r="A54" s="305"/>
      <c r="B54" s="237"/>
      <c r="C54" s="1131"/>
      <c r="D54" s="306"/>
      <c r="E54" s="306"/>
      <c r="F54" s="306"/>
      <c r="G54" s="247"/>
      <c r="H54" s="284"/>
      <c r="I54" s="314"/>
      <c r="J54" s="248"/>
      <c r="K54" s="286"/>
      <c r="L54" s="284"/>
      <c r="M54" s="285"/>
    </row>
    <row r="55" spans="1:13" ht="11.25" customHeight="1" x14ac:dyDescent="0.25">
      <c r="A55" s="287" t="s">
        <v>1846</v>
      </c>
      <c r="B55" s="237">
        <v>7</v>
      </c>
      <c r="C55" s="1131"/>
      <c r="D55" s="306"/>
      <c r="E55" s="306"/>
      <c r="F55" s="306"/>
      <c r="G55" s="247"/>
      <c r="H55" s="284"/>
      <c r="I55" s="314"/>
      <c r="J55" s="248"/>
      <c r="K55" s="286"/>
      <c r="L55" s="284"/>
      <c r="M55" s="285"/>
    </row>
    <row r="56" spans="1:13" ht="11.25" customHeight="1" x14ac:dyDescent="0.25">
      <c r="A56" s="266" t="s">
        <v>993</v>
      </c>
      <c r="B56" s="237"/>
      <c r="C56" s="1131"/>
      <c r="D56" s="316"/>
      <c r="E56" s="974"/>
      <c r="F56" s="974"/>
      <c r="G56" s="1467"/>
      <c r="H56" s="1465"/>
      <c r="I56" s="1536"/>
      <c r="J56" s="1537"/>
      <c r="K56" s="1468"/>
      <c r="L56" s="1465"/>
      <c r="M56" s="1466"/>
    </row>
    <row r="57" spans="1:13" ht="11.25" customHeight="1" x14ac:dyDescent="0.25">
      <c r="A57" s="266" t="s">
        <v>994</v>
      </c>
      <c r="B57" s="237"/>
      <c r="C57" s="1131"/>
      <c r="D57" s="316"/>
      <c r="E57" s="974"/>
      <c r="F57" s="974"/>
      <c r="G57" s="1467"/>
      <c r="H57" s="1465"/>
      <c r="I57" s="1536"/>
      <c r="J57" s="1537"/>
      <c r="K57" s="1468"/>
      <c r="L57" s="1465"/>
      <c r="M57" s="1466"/>
    </row>
    <row r="58" spans="1:13" ht="11.25" customHeight="1" x14ac:dyDescent="0.25">
      <c r="A58" s="266" t="s">
        <v>509</v>
      </c>
      <c r="B58" s="237"/>
      <c r="C58" s="1131"/>
      <c r="D58" s="316"/>
      <c r="E58" s="974"/>
      <c r="F58" s="974"/>
      <c r="G58" s="1467"/>
      <c r="H58" s="1465"/>
      <c r="I58" s="1536"/>
      <c r="J58" s="1537"/>
      <c r="K58" s="1468"/>
      <c r="L58" s="1465"/>
      <c r="M58" s="1466"/>
    </row>
    <row r="59" spans="1:13" ht="11.25" customHeight="1" x14ac:dyDescent="0.25">
      <c r="A59" s="266" t="s">
        <v>510</v>
      </c>
      <c r="B59" s="237"/>
      <c r="C59" s="1131"/>
      <c r="D59" s="316"/>
      <c r="E59" s="974"/>
      <c r="F59" s="974"/>
      <c r="G59" s="1467"/>
      <c r="H59" s="1465"/>
      <c r="I59" s="1536"/>
      <c r="J59" s="1537"/>
      <c r="K59" s="1468"/>
      <c r="L59" s="1465"/>
      <c r="M59" s="1466"/>
    </row>
    <row r="60" spans="1:13" ht="13.5" customHeight="1" x14ac:dyDescent="0.25">
      <c r="A60" s="266" t="s">
        <v>511</v>
      </c>
      <c r="B60" s="237"/>
      <c r="C60" s="1131"/>
      <c r="D60" s="316"/>
      <c r="E60" s="974"/>
      <c r="F60" s="974"/>
      <c r="G60" s="1467"/>
      <c r="H60" s="1465"/>
      <c r="I60" s="1536"/>
      <c r="J60" s="1537"/>
      <c r="K60" s="1468"/>
      <c r="L60" s="1465"/>
      <c r="M60" s="1466"/>
    </row>
    <row r="61" spans="1:13" s="464" customFormat="1" ht="3.75" customHeight="1" x14ac:dyDescent="0.25">
      <c r="A61" s="318"/>
      <c r="B61" s="1154"/>
      <c r="C61" s="1155"/>
      <c r="D61" s="319"/>
      <c r="E61" s="319"/>
      <c r="F61" s="319"/>
      <c r="G61" s="320"/>
      <c r="H61" s="321"/>
      <c r="I61" s="322"/>
      <c r="J61" s="323"/>
      <c r="K61" s="324"/>
      <c r="L61" s="321"/>
      <c r="M61" s="325"/>
    </row>
    <row r="62" spans="1:13" s="464" customFormat="1" ht="18.75" customHeight="1" x14ac:dyDescent="0.3">
      <c r="A62" s="1156" t="s">
        <v>1847</v>
      </c>
      <c r="B62" s="102"/>
      <c r="C62" s="25"/>
      <c r="D62" s="25"/>
      <c r="E62" s="25"/>
      <c r="F62" s="25"/>
      <c r="G62" s="148"/>
      <c r="H62" s="148"/>
      <c r="I62" s="148"/>
      <c r="J62" s="148"/>
      <c r="K62" s="148"/>
      <c r="L62" s="148"/>
      <c r="M62" s="148"/>
    </row>
    <row r="63" spans="1:13" s="464" customFormat="1" ht="25.15" customHeight="1" x14ac:dyDescent="0.25">
      <c r="A63" s="1945" t="s">
        <v>1848</v>
      </c>
      <c r="B63" s="1157"/>
      <c r="C63" s="1158"/>
      <c r="D63" s="1159"/>
      <c r="E63" s="565" t="str">
        <f>head1b</f>
        <v>2015/16</v>
      </c>
      <c r="F63" s="26" t="str">
        <f>head1A</f>
        <v>2016/17</v>
      </c>
      <c r="G63" s="22" t="str">
        <f>Head1</f>
        <v>2017/18</v>
      </c>
      <c r="H63" s="1904" t="str">
        <f>Head2</f>
        <v>Current Year 2018/19</v>
      </c>
      <c r="I63" s="1905"/>
      <c r="J63" s="1906"/>
      <c r="K63" s="1904" t="str">
        <f>Head3</f>
        <v>2019/20 Medium Term Revenue &amp; Expenditure Framework</v>
      </c>
      <c r="L63" s="1905"/>
      <c r="M63" s="1906"/>
    </row>
    <row r="64" spans="1:13" s="464" customFormat="1" ht="25.15" customHeight="1" x14ac:dyDescent="0.25">
      <c r="A64" s="1945"/>
      <c r="B64" s="1160" t="s">
        <v>1764</v>
      </c>
      <c r="C64" s="904"/>
      <c r="D64" s="905"/>
      <c r="E64" s="1161" t="str">
        <f>Head5A</f>
        <v>Outcome</v>
      </c>
      <c r="F64" s="28" t="str">
        <f>Head5A</f>
        <v>Outcome</v>
      </c>
      <c r="G64" s="29" t="str">
        <f>Head5A</f>
        <v>Outcome</v>
      </c>
      <c r="H64" s="27" t="str">
        <f>Head6</f>
        <v>Original Budget</v>
      </c>
      <c r="I64" s="28" t="str">
        <f>Head7</f>
        <v>Adjusted Budget</v>
      </c>
      <c r="J64" s="29" t="str">
        <f>Head8</f>
        <v>Full Year Forecast</v>
      </c>
      <c r="K64" s="27" t="str">
        <f>Head9</f>
        <v>Budget Year 2019/20</v>
      </c>
      <c r="L64" s="28" t="str">
        <f>Head10</f>
        <v>Budget Year +1 2020/21</v>
      </c>
      <c r="M64" s="29" t="str">
        <f>Head11</f>
        <v>Budget Year +2 2021/22</v>
      </c>
    </row>
    <row r="65" spans="1:13" s="464" customFormat="1" ht="11.25" customHeight="1" x14ac:dyDescent="0.25">
      <c r="A65" s="25"/>
      <c r="B65" s="1162"/>
      <c r="C65" s="364" t="s">
        <v>173</v>
      </c>
      <c r="D65" s="901"/>
      <c r="E65" s="330"/>
      <c r="F65" s="1163"/>
      <c r="G65" s="1164"/>
      <c r="H65" s="478"/>
      <c r="I65" s="476"/>
      <c r="J65" s="479"/>
      <c r="K65" s="480"/>
      <c r="L65" s="476"/>
      <c r="M65" s="477"/>
    </row>
    <row r="66" spans="1:13" s="464" customFormat="1" ht="11.25" customHeight="1" x14ac:dyDescent="0.25">
      <c r="A66" s="25"/>
      <c r="B66" s="1162"/>
      <c r="C66" s="1165" t="s">
        <v>1635</v>
      </c>
      <c r="D66" s="356"/>
      <c r="E66" s="89"/>
      <c r="F66" s="86"/>
      <c r="G66" s="85"/>
      <c r="H66" s="78"/>
      <c r="I66" s="76"/>
      <c r="J66" s="75"/>
      <c r="K66" s="79"/>
      <c r="L66" s="76"/>
      <c r="M66" s="77"/>
    </row>
    <row r="67" spans="1:13" ht="11.25" customHeight="1" x14ac:dyDescent="0.25">
      <c r="B67" s="1162"/>
      <c r="C67" s="1101" t="s">
        <v>1466</v>
      </c>
      <c r="D67" s="356"/>
      <c r="E67" s="1232">
        <f>E113+E159+E205</f>
        <v>0</v>
      </c>
      <c r="F67" s="1228">
        <f t="shared" ref="F67:M67" si="3">F113+F159+F205</f>
        <v>17324</v>
      </c>
      <c r="G67" s="1229">
        <f t="shared" si="3"/>
        <v>17324</v>
      </c>
      <c r="H67" s="1230">
        <f t="shared" si="3"/>
        <v>18928</v>
      </c>
      <c r="I67" s="1228">
        <f t="shared" si="3"/>
        <v>18928</v>
      </c>
      <c r="J67" s="1231">
        <f t="shared" si="3"/>
        <v>18928</v>
      </c>
      <c r="K67" s="1232">
        <f t="shared" si="3"/>
        <v>18928</v>
      </c>
      <c r="L67" s="1228">
        <f t="shared" si="3"/>
        <v>18928</v>
      </c>
      <c r="M67" s="1229">
        <f t="shared" si="3"/>
        <v>18928</v>
      </c>
    </row>
    <row r="68" spans="1:13" ht="11.25" customHeight="1" x14ac:dyDescent="0.25">
      <c r="B68" s="1162"/>
      <c r="C68" s="1101" t="s">
        <v>1634</v>
      </c>
      <c r="D68" s="356"/>
      <c r="E68" s="1232">
        <f t="shared" ref="E68:M70" si="4">E114+E160+E206</f>
        <v>0</v>
      </c>
      <c r="F68" s="1228">
        <f t="shared" si="4"/>
        <v>1053</v>
      </c>
      <c r="G68" s="1229">
        <f t="shared" si="4"/>
        <v>1053</v>
      </c>
      <c r="H68" s="1230">
        <f t="shared" si="4"/>
        <v>0</v>
      </c>
      <c r="I68" s="1228">
        <f t="shared" si="4"/>
        <v>0</v>
      </c>
      <c r="J68" s="1231">
        <f t="shared" si="4"/>
        <v>0</v>
      </c>
      <c r="K68" s="1232">
        <f t="shared" si="4"/>
        <v>0</v>
      </c>
      <c r="L68" s="1228">
        <f t="shared" si="4"/>
        <v>0</v>
      </c>
      <c r="M68" s="1229">
        <f t="shared" si="4"/>
        <v>0</v>
      </c>
    </row>
    <row r="69" spans="1:13" ht="11.25" customHeight="1" x14ac:dyDescent="0.25">
      <c r="B69" s="1162">
        <v>8</v>
      </c>
      <c r="C69" s="1101" t="s">
        <v>112</v>
      </c>
      <c r="D69" s="356"/>
      <c r="E69" s="1232">
        <f t="shared" si="4"/>
        <v>0</v>
      </c>
      <c r="F69" s="1228">
        <f t="shared" si="4"/>
        <v>411</v>
      </c>
      <c r="G69" s="1229">
        <f t="shared" si="4"/>
        <v>411</v>
      </c>
      <c r="H69" s="1230">
        <f t="shared" si="4"/>
        <v>0</v>
      </c>
      <c r="I69" s="1228">
        <f t="shared" si="4"/>
        <v>0</v>
      </c>
      <c r="J69" s="1231">
        <f t="shared" si="4"/>
        <v>0</v>
      </c>
      <c r="K69" s="1232">
        <f t="shared" si="4"/>
        <v>0</v>
      </c>
      <c r="L69" s="1228">
        <f t="shared" si="4"/>
        <v>0</v>
      </c>
      <c r="M69" s="1229">
        <f t="shared" si="4"/>
        <v>0</v>
      </c>
    </row>
    <row r="70" spans="1:13" ht="11.25" customHeight="1" x14ac:dyDescent="0.25">
      <c r="B70" s="1162">
        <v>10</v>
      </c>
      <c r="C70" s="1101" t="s">
        <v>113</v>
      </c>
      <c r="D70" s="356"/>
      <c r="E70" s="1232">
        <f t="shared" si="4"/>
        <v>0</v>
      </c>
      <c r="F70" s="1228">
        <f t="shared" si="4"/>
        <v>0</v>
      </c>
      <c r="G70" s="1229">
        <f t="shared" si="4"/>
        <v>0</v>
      </c>
      <c r="H70" s="1230">
        <f t="shared" si="4"/>
        <v>0</v>
      </c>
      <c r="I70" s="1228">
        <f t="shared" si="4"/>
        <v>0</v>
      </c>
      <c r="J70" s="1231">
        <f t="shared" si="4"/>
        <v>0</v>
      </c>
      <c r="K70" s="1232">
        <f t="shared" si="4"/>
        <v>0</v>
      </c>
      <c r="L70" s="1228">
        <f t="shared" si="4"/>
        <v>0</v>
      </c>
      <c r="M70" s="1229">
        <f t="shared" si="4"/>
        <v>0</v>
      </c>
    </row>
    <row r="71" spans="1:13" ht="11.25" customHeight="1" x14ac:dyDescent="0.25">
      <c r="B71" s="1162"/>
      <c r="C71" s="1166" t="s">
        <v>324</v>
      </c>
      <c r="D71" s="356"/>
      <c r="E71" s="1217">
        <f>SUM(E67:E70)</f>
        <v>0</v>
      </c>
      <c r="F71" s="1213">
        <f t="shared" ref="F71:M71" si="5">SUM(F67:F70)</f>
        <v>18788</v>
      </c>
      <c r="G71" s="1214">
        <f t="shared" si="5"/>
        <v>18788</v>
      </c>
      <c r="H71" s="1215">
        <f t="shared" si="5"/>
        <v>18928</v>
      </c>
      <c r="I71" s="1213">
        <f t="shared" si="5"/>
        <v>18928</v>
      </c>
      <c r="J71" s="1216">
        <f t="shared" si="5"/>
        <v>18928</v>
      </c>
      <c r="K71" s="1217">
        <f t="shared" si="5"/>
        <v>18928</v>
      </c>
      <c r="L71" s="1213">
        <f t="shared" si="5"/>
        <v>18928</v>
      </c>
      <c r="M71" s="1214">
        <f t="shared" si="5"/>
        <v>18928</v>
      </c>
    </row>
    <row r="72" spans="1:13" ht="11.25" customHeight="1" x14ac:dyDescent="0.25">
      <c r="B72" s="1162">
        <v>9</v>
      </c>
      <c r="C72" s="1101" t="s">
        <v>437</v>
      </c>
      <c r="D72" s="356"/>
      <c r="E72" s="1232">
        <f t="shared" ref="E72:M74" si="6">E118+E164+E210</f>
        <v>0</v>
      </c>
      <c r="F72" s="1228">
        <f t="shared" si="6"/>
        <v>0</v>
      </c>
      <c r="G72" s="1229">
        <f t="shared" si="6"/>
        <v>0</v>
      </c>
      <c r="H72" s="1230">
        <f t="shared" si="6"/>
        <v>0</v>
      </c>
      <c r="I72" s="1228">
        <f t="shared" si="6"/>
        <v>0</v>
      </c>
      <c r="J72" s="1231">
        <f t="shared" si="6"/>
        <v>0</v>
      </c>
      <c r="K72" s="1232">
        <f t="shared" si="6"/>
        <v>0</v>
      </c>
      <c r="L72" s="1228">
        <f t="shared" si="6"/>
        <v>0</v>
      </c>
      <c r="M72" s="1229">
        <f t="shared" si="6"/>
        <v>0</v>
      </c>
    </row>
    <row r="73" spans="1:13" ht="11.25" customHeight="1" x14ac:dyDescent="0.25">
      <c r="B73" s="1162">
        <v>10</v>
      </c>
      <c r="C73" s="1101" t="s">
        <v>438</v>
      </c>
      <c r="D73" s="356"/>
      <c r="E73" s="1232">
        <f t="shared" si="6"/>
        <v>0</v>
      </c>
      <c r="F73" s="1228">
        <f t="shared" si="6"/>
        <v>0</v>
      </c>
      <c r="G73" s="1229">
        <f t="shared" si="6"/>
        <v>0</v>
      </c>
      <c r="H73" s="1230">
        <f t="shared" si="6"/>
        <v>0</v>
      </c>
      <c r="I73" s="1228">
        <f t="shared" si="6"/>
        <v>0</v>
      </c>
      <c r="J73" s="1231">
        <f t="shared" si="6"/>
        <v>0</v>
      </c>
      <c r="K73" s="1232">
        <f t="shared" si="6"/>
        <v>0</v>
      </c>
      <c r="L73" s="1228">
        <f t="shared" si="6"/>
        <v>0</v>
      </c>
      <c r="M73" s="1229">
        <f t="shared" si="6"/>
        <v>0</v>
      </c>
    </row>
    <row r="74" spans="1:13" ht="11.25" customHeight="1" x14ac:dyDescent="0.25">
      <c r="B74" s="1162"/>
      <c r="C74" s="1101" t="s">
        <v>850</v>
      </c>
      <c r="D74" s="356"/>
      <c r="E74" s="1232">
        <f t="shared" si="6"/>
        <v>0</v>
      </c>
      <c r="F74" s="1228">
        <f t="shared" si="6"/>
        <v>0</v>
      </c>
      <c r="G74" s="1229">
        <f t="shared" si="6"/>
        <v>0</v>
      </c>
      <c r="H74" s="1230">
        <f t="shared" si="6"/>
        <v>0</v>
      </c>
      <c r="I74" s="1228">
        <f t="shared" si="6"/>
        <v>0</v>
      </c>
      <c r="J74" s="1231">
        <f t="shared" si="6"/>
        <v>0</v>
      </c>
      <c r="K74" s="1232">
        <f t="shared" si="6"/>
        <v>0</v>
      </c>
      <c r="L74" s="1228">
        <f t="shared" si="6"/>
        <v>0</v>
      </c>
      <c r="M74" s="1229">
        <f t="shared" si="6"/>
        <v>0</v>
      </c>
    </row>
    <row r="75" spans="1:13" ht="11.25" customHeight="1" x14ac:dyDescent="0.25">
      <c r="B75" s="1162"/>
      <c r="C75" s="1166" t="s">
        <v>1141</v>
      </c>
      <c r="D75" s="356"/>
      <c r="E75" s="1222">
        <f>SUM(E72:E74)</f>
        <v>0</v>
      </c>
      <c r="F75" s="1218">
        <f t="shared" ref="F75:M75" si="7">SUM(F72:F74)</f>
        <v>0</v>
      </c>
      <c r="G75" s="1219">
        <f t="shared" si="7"/>
        <v>0</v>
      </c>
      <c r="H75" s="1220">
        <f t="shared" si="7"/>
        <v>0</v>
      </c>
      <c r="I75" s="1218">
        <f t="shared" si="7"/>
        <v>0</v>
      </c>
      <c r="J75" s="1221">
        <f t="shared" si="7"/>
        <v>0</v>
      </c>
      <c r="K75" s="1222">
        <f t="shared" si="7"/>
        <v>0</v>
      </c>
      <c r="L75" s="1218">
        <f t="shared" si="7"/>
        <v>0</v>
      </c>
      <c r="M75" s="1219">
        <f t="shared" si="7"/>
        <v>0</v>
      </c>
    </row>
    <row r="76" spans="1:13" ht="11.25" customHeight="1" x14ac:dyDescent="0.25">
      <c r="B76" s="1162"/>
      <c r="C76" s="1167" t="s">
        <v>1177</v>
      </c>
      <c r="D76" s="356"/>
      <c r="E76" s="1227">
        <f>E71+E75</f>
        <v>0</v>
      </c>
      <c r="F76" s="1223">
        <f t="shared" ref="F76:M76" si="8">F71+F75</f>
        <v>18788</v>
      </c>
      <c r="G76" s="1224">
        <f t="shared" si="8"/>
        <v>18788</v>
      </c>
      <c r="H76" s="1225">
        <f t="shared" si="8"/>
        <v>18928</v>
      </c>
      <c r="I76" s="1223">
        <f t="shared" si="8"/>
        <v>18928</v>
      </c>
      <c r="J76" s="1226">
        <f t="shared" si="8"/>
        <v>18928</v>
      </c>
      <c r="K76" s="1227">
        <f t="shared" si="8"/>
        <v>18928</v>
      </c>
      <c r="L76" s="1223">
        <f t="shared" si="8"/>
        <v>18928</v>
      </c>
      <c r="M76" s="1224">
        <f t="shared" si="8"/>
        <v>18928</v>
      </c>
    </row>
    <row r="77" spans="1:13" ht="11.25" customHeight="1" x14ac:dyDescent="0.25">
      <c r="B77" s="1162"/>
      <c r="C77" s="1165" t="s">
        <v>1178</v>
      </c>
      <c r="D77" s="356"/>
      <c r="E77" s="1232"/>
      <c r="F77" s="1228"/>
      <c r="G77" s="1231"/>
      <c r="H77" s="1230"/>
      <c r="I77" s="1228"/>
      <c r="J77" s="1231"/>
      <c r="K77" s="1232"/>
      <c r="L77" s="1228"/>
      <c r="M77" s="1229"/>
    </row>
    <row r="78" spans="1:13" ht="11.25" customHeight="1" x14ac:dyDescent="0.25">
      <c r="B78" s="1162"/>
      <c r="C78" s="1101" t="s">
        <v>1179</v>
      </c>
      <c r="D78" s="356"/>
      <c r="E78" s="1232">
        <f t="shared" ref="E78:M78" si="9">E124+E170+E216</f>
        <v>0</v>
      </c>
      <c r="F78" s="1228">
        <f t="shared" si="9"/>
        <v>14044</v>
      </c>
      <c r="G78" s="1229">
        <f t="shared" si="9"/>
        <v>14044</v>
      </c>
      <c r="H78" s="1230">
        <f t="shared" si="9"/>
        <v>19717</v>
      </c>
      <c r="I78" s="1228">
        <f t="shared" si="9"/>
        <v>19717</v>
      </c>
      <c r="J78" s="1231">
        <f t="shared" si="9"/>
        <v>19717</v>
      </c>
      <c r="K78" s="1232">
        <f t="shared" si="9"/>
        <v>19717</v>
      </c>
      <c r="L78" s="1228">
        <f t="shared" si="9"/>
        <v>19717</v>
      </c>
      <c r="M78" s="1229">
        <f t="shared" si="9"/>
        <v>19717</v>
      </c>
    </row>
    <row r="79" spans="1:13" ht="11.25" customHeight="1" x14ac:dyDescent="0.25">
      <c r="B79" s="1162"/>
      <c r="C79" s="1101" t="s">
        <v>1180</v>
      </c>
      <c r="D79" s="356"/>
      <c r="E79" s="1232">
        <f t="shared" ref="E79:M79" si="10">E125+E171+E217</f>
        <v>0</v>
      </c>
      <c r="F79" s="1228">
        <f t="shared" si="10"/>
        <v>746</v>
      </c>
      <c r="G79" s="1229">
        <f t="shared" si="10"/>
        <v>746</v>
      </c>
      <c r="H79" s="1230">
        <f t="shared" si="10"/>
        <v>0</v>
      </c>
      <c r="I79" s="1228">
        <f t="shared" si="10"/>
        <v>0</v>
      </c>
      <c r="J79" s="1231">
        <f t="shared" si="10"/>
        <v>0</v>
      </c>
      <c r="K79" s="1232">
        <f t="shared" si="10"/>
        <v>0</v>
      </c>
      <c r="L79" s="1228">
        <f t="shared" si="10"/>
        <v>0</v>
      </c>
      <c r="M79" s="1229">
        <f t="shared" si="10"/>
        <v>0</v>
      </c>
    </row>
    <row r="80" spans="1:13" ht="11.25" customHeight="1" x14ac:dyDescent="0.25">
      <c r="B80" s="1162"/>
      <c r="C80" s="1101" t="s">
        <v>1247</v>
      </c>
      <c r="D80" s="356"/>
      <c r="E80" s="1232">
        <f t="shared" ref="E80:M80" si="11">E126+E172+E218</f>
        <v>0</v>
      </c>
      <c r="F80" s="1228">
        <f t="shared" si="11"/>
        <v>3</v>
      </c>
      <c r="G80" s="1229">
        <f t="shared" si="11"/>
        <v>3</v>
      </c>
      <c r="H80" s="1230">
        <f t="shared" si="11"/>
        <v>11</v>
      </c>
      <c r="I80" s="1228">
        <f t="shared" si="11"/>
        <v>11</v>
      </c>
      <c r="J80" s="1231">
        <f t="shared" si="11"/>
        <v>11</v>
      </c>
      <c r="K80" s="1232">
        <f t="shared" si="11"/>
        <v>11</v>
      </c>
      <c r="L80" s="1228">
        <f t="shared" si="11"/>
        <v>11</v>
      </c>
      <c r="M80" s="1229">
        <f t="shared" si="11"/>
        <v>11</v>
      </c>
    </row>
    <row r="81" spans="2:13" ht="11.25" customHeight="1" x14ac:dyDescent="0.25">
      <c r="B81" s="1162"/>
      <c r="C81" s="1101" t="s">
        <v>212</v>
      </c>
      <c r="D81" s="356"/>
      <c r="E81" s="1232">
        <f t="shared" ref="E81:M81" si="12">E127+E173+E219</f>
        <v>0</v>
      </c>
      <c r="F81" s="1228">
        <f t="shared" si="12"/>
        <v>282</v>
      </c>
      <c r="G81" s="1229">
        <f t="shared" si="12"/>
        <v>282</v>
      </c>
      <c r="H81" s="1230">
        <f t="shared" si="12"/>
        <v>274</v>
      </c>
      <c r="I81" s="1228">
        <f t="shared" si="12"/>
        <v>274</v>
      </c>
      <c r="J81" s="1231">
        <f t="shared" si="12"/>
        <v>274</v>
      </c>
      <c r="K81" s="1232">
        <f t="shared" si="12"/>
        <v>274</v>
      </c>
      <c r="L81" s="1228">
        <f t="shared" si="12"/>
        <v>274</v>
      </c>
      <c r="M81" s="1229">
        <f t="shared" si="12"/>
        <v>274</v>
      </c>
    </row>
    <row r="82" spans="2:13" ht="11.25" customHeight="1" x14ac:dyDescent="0.25">
      <c r="B82" s="1162"/>
      <c r="C82" s="1101" t="s">
        <v>214</v>
      </c>
      <c r="D82" s="356"/>
      <c r="E82" s="1232">
        <f t="shared" ref="E82:M82" si="13">E128+E174+E220</f>
        <v>0</v>
      </c>
      <c r="F82" s="1228">
        <f t="shared" si="13"/>
        <v>287</v>
      </c>
      <c r="G82" s="1229">
        <f t="shared" si="13"/>
        <v>287</v>
      </c>
      <c r="H82" s="1230">
        <f t="shared" si="13"/>
        <v>0</v>
      </c>
      <c r="I82" s="1228">
        <f t="shared" si="13"/>
        <v>0</v>
      </c>
      <c r="J82" s="1231">
        <f t="shared" si="13"/>
        <v>0</v>
      </c>
      <c r="K82" s="1232">
        <f t="shared" si="13"/>
        <v>0</v>
      </c>
      <c r="L82" s="1228">
        <f t="shared" si="13"/>
        <v>0</v>
      </c>
      <c r="M82" s="1229">
        <f t="shared" si="13"/>
        <v>0</v>
      </c>
    </row>
    <row r="83" spans="2:13" ht="11.25" customHeight="1" x14ac:dyDescent="0.25">
      <c r="B83" s="1162"/>
      <c r="C83" s="1166" t="s">
        <v>324</v>
      </c>
      <c r="D83" s="356"/>
      <c r="E83" s="1217">
        <f>SUM(E78:E82)</f>
        <v>0</v>
      </c>
      <c r="F83" s="1213">
        <f t="shared" ref="F83:M83" si="14">SUM(F78:F82)</f>
        <v>15362</v>
      </c>
      <c r="G83" s="1214">
        <f t="shared" si="14"/>
        <v>15362</v>
      </c>
      <c r="H83" s="1215">
        <f t="shared" si="14"/>
        <v>20002</v>
      </c>
      <c r="I83" s="1213">
        <f t="shared" si="14"/>
        <v>20002</v>
      </c>
      <c r="J83" s="1216">
        <f t="shared" si="14"/>
        <v>20002</v>
      </c>
      <c r="K83" s="1217">
        <f t="shared" si="14"/>
        <v>20002</v>
      </c>
      <c r="L83" s="1213">
        <f t="shared" si="14"/>
        <v>20002</v>
      </c>
      <c r="M83" s="1214">
        <f t="shared" si="14"/>
        <v>20002</v>
      </c>
    </row>
    <row r="84" spans="2:13" ht="11.25" customHeight="1" x14ac:dyDescent="0.25">
      <c r="B84" s="1162"/>
      <c r="C84" s="1101" t="s">
        <v>213</v>
      </c>
      <c r="D84" s="356"/>
      <c r="E84" s="1232">
        <f t="shared" ref="E84:M84" si="15">E130+E176+E222</f>
        <v>0</v>
      </c>
      <c r="F84" s="1228">
        <f t="shared" si="15"/>
        <v>0</v>
      </c>
      <c r="G84" s="1229">
        <f t="shared" si="15"/>
        <v>0</v>
      </c>
      <c r="H84" s="1230">
        <f t="shared" si="15"/>
        <v>410</v>
      </c>
      <c r="I84" s="1228">
        <f t="shared" si="15"/>
        <v>410</v>
      </c>
      <c r="J84" s="1231">
        <f t="shared" si="15"/>
        <v>410</v>
      </c>
      <c r="K84" s="1232">
        <f t="shared" si="15"/>
        <v>410</v>
      </c>
      <c r="L84" s="1228">
        <f t="shared" si="15"/>
        <v>410</v>
      </c>
      <c r="M84" s="1229">
        <f t="shared" si="15"/>
        <v>410</v>
      </c>
    </row>
    <row r="85" spans="2:13" ht="11.25" customHeight="1" x14ac:dyDescent="0.25">
      <c r="B85" s="1162"/>
      <c r="C85" s="1101" t="s">
        <v>1087</v>
      </c>
      <c r="D85" s="356"/>
      <c r="E85" s="1232">
        <f t="shared" ref="E85:M85" si="16">E131+E177+E223</f>
        <v>0</v>
      </c>
      <c r="F85" s="1228">
        <f t="shared" si="16"/>
        <v>0</v>
      </c>
      <c r="G85" s="1229">
        <f t="shared" si="16"/>
        <v>0</v>
      </c>
      <c r="H85" s="1230">
        <f t="shared" si="16"/>
        <v>0</v>
      </c>
      <c r="I85" s="1228">
        <f t="shared" si="16"/>
        <v>0</v>
      </c>
      <c r="J85" s="1231">
        <f t="shared" si="16"/>
        <v>0</v>
      </c>
      <c r="K85" s="1232">
        <f t="shared" si="16"/>
        <v>0</v>
      </c>
      <c r="L85" s="1228">
        <f t="shared" si="16"/>
        <v>0</v>
      </c>
      <c r="M85" s="1229">
        <f t="shared" si="16"/>
        <v>0</v>
      </c>
    </row>
    <row r="86" spans="2:13" ht="11.25" customHeight="1" x14ac:dyDescent="0.25">
      <c r="B86" s="1162"/>
      <c r="C86" s="1101" t="s">
        <v>1249</v>
      </c>
      <c r="D86" s="356"/>
      <c r="E86" s="1232">
        <f t="shared" ref="E86:M86" si="17">E132+E178+E224</f>
        <v>0</v>
      </c>
      <c r="F86" s="1228">
        <f t="shared" si="17"/>
        <v>0</v>
      </c>
      <c r="G86" s="1229">
        <f t="shared" si="17"/>
        <v>0</v>
      </c>
      <c r="H86" s="1230">
        <f t="shared" si="17"/>
        <v>0</v>
      </c>
      <c r="I86" s="1228">
        <f t="shared" si="17"/>
        <v>0</v>
      </c>
      <c r="J86" s="1231">
        <f t="shared" si="17"/>
        <v>0</v>
      </c>
      <c r="K86" s="1232">
        <f t="shared" si="17"/>
        <v>0</v>
      </c>
      <c r="L86" s="1228">
        <f t="shared" si="17"/>
        <v>0</v>
      </c>
      <c r="M86" s="1229">
        <f t="shared" si="17"/>
        <v>0</v>
      </c>
    </row>
    <row r="87" spans="2:13" ht="11.25" customHeight="1" x14ac:dyDescent="0.25">
      <c r="B87" s="1162"/>
      <c r="C87" s="1166" t="s">
        <v>1141</v>
      </c>
      <c r="D87" s="356"/>
      <c r="E87" s="1222">
        <f>SUM(E84:E86)</f>
        <v>0</v>
      </c>
      <c r="F87" s="1218">
        <f t="shared" ref="F87:M87" si="18">SUM(F84:F86)</f>
        <v>0</v>
      </c>
      <c r="G87" s="1219">
        <f t="shared" si="18"/>
        <v>0</v>
      </c>
      <c r="H87" s="1220">
        <f t="shared" si="18"/>
        <v>410</v>
      </c>
      <c r="I87" s="1218">
        <f t="shared" si="18"/>
        <v>410</v>
      </c>
      <c r="J87" s="1221">
        <f t="shared" si="18"/>
        <v>410</v>
      </c>
      <c r="K87" s="1222">
        <f t="shared" si="18"/>
        <v>410</v>
      </c>
      <c r="L87" s="1218">
        <f t="shared" si="18"/>
        <v>410</v>
      </c>
      <c r="M87" s="1219">
        <f t="shared" si="18"/>
        <v>410</v>
      </c>
    </row>
    <row r="88" spans="2:13" ht="11.25" customHeight="1" x14ac:dyDescent="0.25">
      <c r="B88" s="1162"/>
      <c r="C88" s="1167" t="s">
        <v>1177</v>
      </c>
      <c r="D88" s="356"/>
      <c r="E88" s="1227">
        <f>E83+E87</f>
        <v>0</v>
      </c>
      <c r="F88" s="1223">
        <f t="shared" ref="F88:M88" si="19">F83+F87</f>
        <v>15362</v>
      </c>
      <c r="G88" s="1224">
        <f t="shared" si="19"/>
        <v>15362</v>
      </c>
      <c r="H88" s="1225">
        <f t="shared" si="19"/>
        <v>20412</v>
      </c>
      <c r="I88" s="1223">
        <f t="shared" si="19"/>
        <v>20412</v>
      </c>
      <c r="J88" s="1226">
        <f t="shared" si="19"/>
        <v>20412</v>
      </c>
      <c r="K88" s="1227">
        <f t="shared" si="19"/>
        <v>20412</v>
      </c>
      <c r="L88" s="1223">
        <f t="shared" si="19"/>
        <v>20412</v>
      </c>
      <c r="M88" s="1224">
        <f t="shared" si="19"/>
        <v>20412</v>
      </c>
    </row>
    <row r="89" spans="2:13" ht="11.25" customHeight="1" x14ac:dyDescent="0.25">
      <c r="B89" s="1162"/>
      <c r="C89" s="1165" t="s">
        <v>594</v>
      </c>
      <c r="D89" s="356"/>
      <c r="E89" s="1232"/>
      <c r="F89" s="1228"/>
      <c r="G89" s="1231"/>
      <c r="H89" s="1230"/>
      <c r="I89" s="1228"/>
      <c r="J89" s="1231"/>
      <c r="K89" s="1232"/>
      <c r="L89" s="1228"/>
      <c r="M89" s="1229"/>
    </row>
    <row r="90" spans="2:13" ht="11.25" customHeight="1" x14ac:dyDescent="0.25">
      <c r="B90" s="1162"/>
      <c r="C90" s="1101" t="s">
        <v>1088</v>
      </c>
      <c r="D90" s="356"/>
      <c r="E90" s="1232">
        <f t="shared" ref="E90:M90" si="20">E136+E182+E228</f>
        <v>0</v>
      </c>
      <c r="F90" s="1228">
        <f t="shared" si="20"/>
        <v>1243</v>
      </c>
      <c r="G90" s="1229">
        <f t="shared" si="20"/>
        <v>1243</v>
      </c>
      <c r="H90" s="1230">
        <f t="shared" si="20"/>
        <v>1204</v>
      </c>
      <c r="I90" s="1228">
        <f t="shared" si="20"/>
        <v>1204</v>
      </c>
      <c r="J90" s="1231">
        <f t="shared" si="20"/>
        <v>1204</v>
      </c>
      <c r="K90" s="1232">
        <f t="shared" si="20"/>
        <v>1204</v>
      </c>
      <c r="L90" s="1228">
        <f t="shared" si="20"/>
        <v>1204</v>
      </c>
      <c r="M90" s="1229">
        <f t="shared" si="20"/>
        <v>1204</v>
      </c>
    </row>
    <row r="91" spans="2:13" ht="11.25" customHeight="1" x14ac:dyDescent="0.25">
      <c r="B91" s="1162"/>
      <c r="C91" s="1101" t="s">
        <v>439</v>
      </c>
      <c r="D91" s="356"/>
      <c r="E91" s="1232">
        <f t="shared" ref="E91:M91" si="21">E137+E183+E229</f>
        <v>0</v>
      </c>
      <c r="F91" s="1228">
        <f t="shared" si="21"/>
        <v>6143</v>
      </c>
      <c r="G91" s="1229">
        <f t="shared" si="21"/>
        <v>6143</v>
      </c>
      <c r="H91" s="1230">
        <f t="shared" si="21"/>
        <v>6143</v>
      </c>
      <c r="I91" s="1228">
        <f t="shared" si="21"/>
        <v>6143</v>
      </c>
      <c r="J91" s="1231">
        <f t="shared" si="21"/>
        <v>6143</v>
      </c>
      <c r="K91" s="1232">
        <f t="shared" si="21"/>
        <v>6143</v>
      </c>
      <c r="L91" s="1228">
        <f t="shared" si="21"/>
        <v>6143</v>
      </c>
      <c r="M91" s="1229">
        <f t="shared" si="21"/>
        <v>6143</v>
      </c>
    </row>
    <row r="92" spans="2:13" ht="11.25" customHeight="1" x14ac:dyDescent="0.25">
      <c r="B92" s="1162"/>
      <c r="C92" s="1166" t="s">
        <v>324</v>
      </c>
      <c r="D92" s="356"/>
      <c r="E92" s="1217">
        <f>SUM(E90:E91)</f>
        <v>0</v>
      </c>
      <c r="F92" s="1213">
        <f t="shared" ref="F92:M92" si="22">SUM(F90:F91)</f>
        <v>7386</v>
      </c>
      <c r="G92" s="1214">
        <f t="shared" si="22"/>
        <v>7386</v>
      </c>
      <c r="H92" s="1215">
        <f t="shared" si="22"/>
        <v>7347</v>
      </c>
      <c r="I92" s="1213">
        <f t="shared" si="22"/>
        <v>7347</v>
      </c>
      <c r="J92" s="1216">
        <f t="shared" si="22"/>
        <v>7347</v>
      </c>
      <c r="K92" s="1217">
        <f t="shared" si="22"/>
        <v>7347</v>
      </c>
      <c r="L92" s="1213">
        <f t="shared" si="22"/>
        <v>7347</v>
      </c>
      <c r="M92" s="1214">
        <f t="shared" si="22"/>
        <v>7347</v>
      </c>
    </row>
    <row r="93" spans="2:13" ht="11.25" customHeight="1" x14ac:dyDescent="0.25">
      <c r="B93" s="1162"/>
      <c r="C93" s="1101" t="s">
        <v>440</v>
      </c>
      <c r="D93" s="356"/>
      <c r="E93" s="1232">
        <f t="shared" ref="E93:M93" si="23">E139+E185+E231</f>
        <v>0</v>
      </c>
      <c r="F93" s="1228">
        <f t="shared" si="23"/>
        <v>77</v>
      </c>
      <c r="G93" s="1229">
        <f t="shared" si="23"/>
        <v>0</v>
      </c>
      <c r="H93" s="1230">
        <f t="shared" si="23"/>
        <v>0</v>
      </c>
      <c r="I93" s="1228">
        <f t="shared" si="23"/>
        <v>0</v>
      </c>
      <c r="J93" s="1231">
        <f t="shared" si="23"/>
        <v>0</v>
      </c>
      <c r="K93" s="1232">
        <f t="shared" si="23"/>
        <v>0</v>
      </c>
      <c r="L93" s="1228">
        <f t="shared" si="23"/>
        <v>0</v>
      </c>
      <c r="M93" s="1229">
        <f t="shared" si="23"/>
        <v>0</v>
      </c>
    </row>
    <row r="94" spans="2:13" ht="11.25" customHeight="1" x14ac:dyDescent="0.25">
      <c r="B94" s="1162"/>
      <c r="C94" s="1101" t="s">
        <v>441</v>
      </c>
      <c r="D94" s="356"/>
      <c r="E94" s="1232">
        <f t="shared" ref="E94:M94" si="24">E140+E186+E232</f>
        <v>0</v>
      </c>
      <c r="F94" s="1228">
        <f t="shared" si="24"/>
        <v>0</v>
      </c>
      <c r="G94" s="1229">
        <f t="shared" si="24"/>
        <v>0</v>
      </c>
      <c r="H94" s="1230">
        <f t="shared" si="24"/>
        <v>0</v>
      </c>
      <c r="I94" s="1228">
        <f t="shared" si="24"/>
        <v>0</v>
      </c>
      <c r="J94" s="1231">
        <f t="shared" si="24"/>
        <v>0</v>
      </c>
      <c r="K94" s="1232">
        <f t="shared" si="24"/>
        <v>0</v>
      </c>
      <c r="L94" s="1228">
        <f t="shared" si="24"/>
        <v>0</v>
      </c>
      <c r="M94" s="1229">
        <f t="shared" si="24"/>
        <v>0</v>
      </c>
    </row>
    <row r="95" spans="2:13" ht="11.25" customHeight="1" x14ac:dyDescent="0.25">
      <c r="B95" s="1162"/>
      <c r="C95" s="1101" t="s">
        <v>595</v>
      </c>
      <c r="D95" s="356"/>
      <c r="E95" s="1232">
        <f t="shared" ref="E95:M95" si="25">E141+E187+E233</f>
        <v>0</v>
      </c>
      <c r="F95" s="1228">
        <f t="shared" si="25"/>
        <v>0</v>
      </c>
      <c r="G95" s="1229">
        <f t="shared" si="25"/>
        <v>0</v>
      </c>
      <c r="H95" s="1230">
        <f t="shared" si="25"/>
        <v>0</v>
      </c>
      <c r="I95" s="1228">
        <f t="shared" si="25"/>
        <v>0</v>
      </c>
      <c r="J95" s="1231">
        <f t="shared" si="25"/>
        <v>0</v>
      </c>
      <c r="K95" s="1232">
        <f t="shared" si="25"/>
        <v>0</v>
      </c>
      <c r="L95" s="1228">
        <f t="shared" si="25"/>
        <v>0</v>
      </c>
      <c r="M95" s="1229">
        <f t="shared" si="25"/>
        <v>0</v>
      </c>
    </row>
    <row r="96" spans="2:13" ht="11.25" customHeight="1" x14ac:dyDescent="0.25">
      <c r="B96" s="1162"/>
      <c r="C96" s="1166" t="s">
        <v>1141</v>
      </c>
      <c r="D96" s="356"/>
      <c r="E96" s="1222">
        <f>SUM(E93:E95)</f>
        <v>0</v>
      </c>
      <c r="F96" s="1218">
        <f t="shared" ref="F96:M96" si="26">SUM(F93:F95)</f>
        <v>77</v>
      </c>
      <c r="G96" s="1219">
        <f t="shared" si="26"/>
        <v>0</v>
      </c>
      <c r="H96" s="1220">
        <f t="shared" si="26"/>
        <v>0</v>
      </c>
      <c r="I96" s="1218">
        <f t="shared" si="26"/>
        <v>0</v>
      </c>
      <c r="J96" s="1221">
        <f t="shared" si="26"/>
        <v>0</v>
      </c>
      <c r="K96" s="1222">
        <f t="shared" si="26"/>
        <v>0</v>
      </c>
      <c r="L96" s="1218">
        <f t="shared" si="26"/>
        <v>0</v>
      </c>
      <c r="M96" s="1219">
        <f t="shared" si="26"/>
        <v>0</v>
      </c>
    </row>
    <row r="97" spans="1:13" ht="11.25" customHeight="1" x14ac:dyDescent="0.25">
      <c r="B97" s="1162"/>
      <c r="C97" s="1167" t="s">
        <v>1177</v>
      </c>
      <c r="D97" s="356"/>
      <c r="E97" s="1227">
        <f>E92+E96</f>
        <v>0</v>
      </c>
      <c r="F97" s="1223">
        <f t="shared" ref="F97:M97" si="27">F92+F96</f>
        <v>7463</v>
      </c>
      <c r="G97" s="1224">
        <f t="shared" si="27"/>
        <v>7386</v>
      </c>
      <c r="H97" s="1225">
        <f t="shared" si="27"/>
        <v>7347</v>
      </c>
      <c r="I97" s="1223">
        <f t="shared" si="27"/>
        <v>7347</v>
      </c>
      <c r="J97" s="1226">
        <f t="shared" si="27"/>
        <v>7347</v>
      </c>
      <c r="K97" s="1227">
        <f t="shared" si="27"/>
        <v>7347</v>
      </c>
      <c r="L97" s="1223">
        <f t="shared" si="27"/>
        <v>7347</v>
      </c>
      <c r="M97" s="1224">
        <f t="shared" si="27"/>
        <v>7347</v>
      </c>
    </row>
    <row r="98" spans="1:13" ht="11.25" customHeight="1" x14ac:dyDescent="0.25">
      <c r="B98" s="1162"/>
      <c r="C98" s="1165" t="s">
        <v>597</v>
      </c>
      <c r="D98" s="356"/>
      <c r="E98" s="1232"/>
      <c r="F98" s="1228"/>
      <c r="G98" s="1231"/>
      <c r="H98" s="1230"/>
      <c r="I98" s="1228"/>
      <c r="J98" s="1231"/>
      <c r="K98" s="1232"/>
      <c r="L98" s="1228"/>
      <c r="M98" s="1229"/>
    </row>
    <row r="99" spans="1:13" ht="11.25" customHeight="1" x14ac:dyDescent="0.25">
      <c r="B99" s="1162"/>
      <c r="C99" s="1101" t="s">
        <v>642</v>
      </c>
      <c r="D99" s="356"/>
      <c r="E99" s="1739">
        <f t="shared" ref="E99:M99" si="28">E145+E191+E237</f>
        <v>0</v>
      </c>
      <c r="F99" s="1737">
        <f t="shared" si="28"/>
        <v>2235</v>
      </c>
      <c r="G99" s="1740">
        <f t="shared" si="28"/>
        <v>2235</v>
      </c>
      <c r="H99" s="1741">
        <f t="shared" si="28"/>
        <v>2235</v>
      </c>
      <c r="I99" s="1737">
        <f t="shared" si="28"/>
        <v>2235</v>
      </c>
      <c r="J99" s="1742">
        <f t="shared" si="28"/>
        <v>2235</v>
      </c>
      <c r="K99" s="1739">
        <f t="shared" si="28"/>
        <v>2235</v>
      </c>
      <c r="L99" s="1737">
        <f t="shared" si="28"/>
        <v>2235</v>
      </c>
      <c r="M99" s="1740">
        <f t="shared" si="28"/>
        <v>2235</v>
      </c>
    </row>
    <row r="100" spans="1:13" ht="11.25" customHeight="1" x14ac:dyDescent="0.25">
      <c r="B100" s="1162"/>
      <c r="C100" s="1166" t="s">
        <v>324</v>
      </c>
      <c r="D100" s="356"/>
      <c r="E100" s="1232">
        <f>SUM(E99)</f>
        <v>0</v>
      </c>
      <c r="F100" s="1228">
        <f t="shared" ref="F100:M100" si="29">SUM(F99)</f>
        <v>2235</v>
      </c>
      <c r="G100" s="1229">
        <f t="shared" si="29"/>
        <v>2235</v>
      </c>
      <c r="H100" s="1230">
        <f t="shared" si="29"/>
        <v>2235</v>
      </c>
      <c r="I100" s="1228">
        <f t="shared" si="29"/>
        <v>2235</v>
      </c>
      <c r="J100" s="1231">
        <f t="shared" si="29"/>
        <v>2235</v>
      </c>
      <c r="K100" s="1232">
        <f t="shared" si="29"/>
        <v>2235</v>
      </c>
      <c r="L100" s="1228">
        <f t="shared" si="29"/>
        <v>2235</v>
      </c>
      <c r="M100" s="1229">
        <f t="shared" si="29"/>
        <v>2235</v>
      </c>
    </row>
    <row r="101" spans="1:13" ht="11.25" customHeight="1" x14ac:dyDescent="0.25">
      <c r="B101" s="1162"/>
      <c r="C101" s="1101" t="s">
        <v>598</v>
      </c>
      <c r="D101" s="356"/>
      <c r="E101" s="1232">
        <f t="shared" ref="E101:M101" si="30">E147+E193+E239</f>
        <v>0</v>
      </c>
      <c r="F101" s="1228">
        <f t="shared" si="30"/>
        <v>523</v>
      </c>
      <c r="G101" s="1229">
        <f t="shared" si="30"/>
        <v>523</v>
      </c>
      <c r="H101" s="1230">
        <f t="shared" si="30"/>
        <v>523</v>
      </c>
      <c r="I101" s="1228">
        <f t="shared" si="30"/>
        <v>523</v>
      </c>
      <c r="J101" s="1231">
        <f t="shared" si="30"/>
        <v>523</v>
      </c>
      <c r="K101" s="1232">
        <f t="shared" si="30"/>
        <v>523</v>
      </c>
      <c r="L101" s="1228">
        <f t="shared" si="30"/>
        <v>523</v>
      </c>
      <c r="M101" s="1229">
        <f t="shared" si="30"/>
        <v>523</v>
      </c>
    </row>
    <row r="102" spans="1:13" ht="11.25" customHeight="1" x14ac:dyDescent="0.25">
      <c r="B102" s="1162"/>
      <c r="C102" s="1101" t="s">
        <v>599</v>
      </c>
      <c r="D102" s="356"/>
      <c r="E102" s="1232">
        <f t="shared" ref="E102:M102" si="31">E148+E194+E240</f>
        <v>0</v>
      </c>
      <c r="F102" s="1228">
        <f t="shared" si="31"/>
        <v>865</v>
      </c>
      <c r="G102" s="1229">
        <f t="shared" si="31"/>
        <v>865</v>
      </c>
      <c r="H102" s="1230">
        <f t="shared" si="31"/>
        <v>865</v>
      </c>
      <c r="I102" s="1228">
        <f t="shared" si="31"/>
        <v>865</v>
      </c>
      <c r="J102" s="1231">
        <f t="shared" si="31"/>
        <v>865</v>
      </c>
      <c r="K102" s="1232">
        <f t="shared" si="31"/>
        <v>865</v>
      </c>
      <c r="L102" s="1228">
        <f t="shared" si="31"/>
        <v>865</v>
      </c>
      <c r="M102" s="1229">
        <f t="shared" si="31"/>
        <v>865</v>
      </c>
    </row>
    <row r="103" spans="1:13" ht="11.25" customHeight="1" x14ac:dyDescent="0.25">
      <c r="B103" s="1162"/>
      <c r="C103" s="1101" t="s">
        <v>766</v>
      </c>
      <c r="D103" s="356"/>
      <c r="E103" s="1232">
        <f t="shared" ref="E103:M103" si="32">E149+E195+E241</f>
        <v>0</v>
      </c>
      <c r="F103" s="1228">
        <f t="shared" si="32"/>
        <v>523</v>
      </c>
      <c r="G103" s="1229">
        <f t="shared" si="32"/>
        <v>523</v>
      </c>
      <c r="H103" s="1230">
        <f t="shared" si="32"/>
        <v>523</v>
      </c>
      <c r="I103" s="1228">
        <f t="shared" si="32"/>
        <v>523</v>
      </c>
      <c r="J103" s="1231">
        <f t="shared" si="32"/>
        <v>523</v>
      </c>
      <c r="K103" s="1232">
        <f t="shared" si="32"/>
        <v>523</v>
      </c>
      <c r="L103" s="1228">
        <f t="shared" si="32"/>
        <v>523</v>
      </c>
      <c r="M103" s="1229">
        <f t="shared" si="32"/>
        <v>523</v>
      </c>
    </row>
    <row r="104" spans="1:13" ht="11.25" customHeight="1" x14ac:dyDescent="0.25">
      <c r="B104" s="1162"/>
      <c r="C104" s="1101" t="s">
        <v>767</v>
      </c>
      <c r="D104" s="356"/>
      <c r="E104" s="1232">
        <f t="shared" ref="E104:M104" si="33">E150+E196+E242</f>
        <v>0</v>
      </c>
      <c r="F104" s="1228">
        <f t="shared" si="33"/>
        <v>720</v>
      </c>
      <c r="G104" s="1229">
        <f t="shared" si="33"/>
        <v>720</v>
      </c>
      <c r="H104" s="1230">
        <f t="shared" si="33"/>
        <v>720</v>
      </c>
      <c r="I104" s="1228">
        <f t="shared" si="33"/>
        <v>720</v>
      </c>
      <c r="J104" s="1231">
        <f t="shared" si="33"/>
        <v>720</v>
      </c>
      <c r="K104" s="1232">
        <f t="shared" si="33"/>
        <v>720</v>
      </c>
      <c r="L104" s="1228">
        <f t="shared" si="33"/>
        <v>720</v>
      </c>
      <c r="M104" s="1229">
        <f t="shared" si="33"/>
        <v>720</v>
      </c>
    </row>
    <row r="105" spans="1:13" ht="11.25" customHeight="1" x14ac:dyDescent="0.25">
      <c r="B105" s="1162"/>
      <c r="C105" s="1101" t="s">
        <v>171</v>
      </c>
      <c r="D105" s="356"/>
      <c r="E105" s="1232">
        <f t="shared" ref="E105:M105" si="34">E151+E197+E243</f>
        <v>0</v>
      </c>
      <c r="F105" s="1228">
        <f t="shared" si="34"/>
        <v>124</v>
      </c>
      <c r="G105" s="1229">
        <f t="shared" si="34"/>
        <v>124</v>
      </c>
      <c r="H105" s="1230">
        <f t="shared" si="34"/>
        <v>124</v>
      </c>
      <c r="I105" s="1228">
        <f t="shared" si="34"/>
        <v>124</v>
      </c>
      <c r="J105" s="1231">
        <f t="shared" si="34"/>
        <v>124</v>
      </c>
      <c r="K105" s="1232">
        <f t="shared" si="34"/>
        <v>124</v>
      </c>
      <c r="L105" s="1228">
        <f t="shared" si="34"/>
        <v>124</v>
      </c>
      <c r="M105" s="1229">
        <f t="shared" si="34"/>
        <v>124</v>
      </c>
    </row>
    <row r="106" spans="1:13" ht="11.25" customHeight="1" x14ac:dyDescent="0.25">
      <c r="B106" s="1162"/>
      <c r="C106" s="1166" t="s">
        <v>1141</v>
      </c>
      <c r="D106" s="356"/>
      <c r="E106" s="1222">
        <f t="shared" ref="E106:M106" si="35">SUM(E101:E105)</f>
        <v>0</v>
      </c>
      <c r="F106" s="1218">
        <f t="shared" si="35"/>
        <v>2755</v>
      </c>
      <c r="G106" s="1219">
        <f t="shared" si="35"/>
        <v>2755</v>
      </c>
      <c r="H106" s="1220">
        <f t="shared" si="35"/>
        <v>2755</v>
      </c>
      <c r="I106" s="1218">
        <f t="shared" si="35"/>
        <v>2755</v>
      </c>
      <c r="J106" s="1221">
        <f t="shared" si="35"/>
        <v>2755</v>
      </c>
      <c r="K106" s="1222">
        <f t="shared" si="35"/>
        <v>2755</v>
      </c>
      <c r="L106" s="1218">
        <f t="shared" si="35"/>
        <v>2755</v>
      </c>
      <c r="M106" s="1219">
        <f t="shared" si="35"/>
        <v>2755</v>
      </c>
    </row>
    <row r="107" spans="1:13" ht="11.25" customHeight="1" x14ac:dyDescent="0.25">
      <c r="B107" s="1162"/>
      <c r="C107" s="1167" t="s">
        <v>1177</v>
      </c>
      <c r="D107" s="356"/>
      <c r="E107" s="1227">
        <f>E100+E106</f>
        <v>0</v>
      </c>
      <c r="F107" s="1223">
        <f t="shared" ref="F107:M107" si="36">F100+F106</f>
        <v>4990</v>
      </c>
      <c r="G107" s="1224">
        <f t="shared" si="36"/>
        <v>4990</v>
      </c>
      <c r="H107" s="1225">
        <f t="shared" si="36"/>
        <v>4990</v>
      </c>
      <c r="I107" s="1223">
        <f t="shared" si="36"/>
        <v>4990</v>
      </c>
      <c r="J107" s="1226">
        <f t="shared" si="36"/>
        <v>4990</v>
      </c>
      <c r="K107" s="1227">
        <f t="shared" si="36"/>
        <v>4990</v>
      </c>
      <c r="L107" s="1223">
        <f t="shared" si="36"/>
        <v>4990</v>
      </c>
      <c r="M107" s="1224">
        <f t="shared" si="36"/>
        <v>4990</v>
      </c>
    </row>
    <row r="108" spans="1:13" ht="4.9000000000000004" customHeight="1" x14ac:dyDescent="0.25">
      <c r="B108" s="1162"/>
      <c r="C108" s="1168"/>
      <c r="D108" s="1179"/>
      <c r="E108" s="698"/>
      <c r="F108" s="694"/>
      <c r="G108" s="695"/>
      <c r="H108" s="696"/>
      <c r="I108" s="694"/>
      <c r="J108" s="697"/>
      <c r="K108" s="698"/>
      <c r="L108" s="694"/>
      <c r="M108" s="695"/>
    </row>
    <row r="109" spans="1:13" ht="25.15" customHeight="1" x14ac:dyDescent="0.25">
      <c r="A109" s="1945" t="s">
        <v>1849</v>
      </c>
      <c r="B109" s="1157"/>
      <c r="C109" s="1158"/>
      <c r="D109" s="1159"/>
      <c r="E109" s="565" t="str">
        <f>head1b</f>
        <v>2015/16</v>
      </c>
      <c r="F109" s="26" t="str">
        <f>head1A</f>
        <v>2016/17</v>
      </c>
      <c r="G109" s="22" t="str">
        <f>Head1</f>
        <v>2017/18</v>
      </c>
      <c r="H109" s="1904" t="str">
        <f>Head2</f>
        <v>Current Year 2018/19</v>
      </c>
      <c r="I109" s="1905"/>
      <c r="J109" s="1906"/>
      <c r="K109" s="1904" t="str">
        <f>Head3</f>
        <v>2019/20 Medium Term Revenue &amp; Expenditure Framework</v>
      </c>
      <c r="L109" s="1905"/>
      <c r="M109" s="1906"/>
    </row>
    <row r="110" spans="1:13" ht="25.15" customHeight="1" x14ac:dyDescent="0.25">
      <c r="A110" s="1945"/>
      <c r="B110" s="1160" t="s">
        <v>1764</v>
      </c>
      <c r="C110" s="904"/>
      <c r="D110" s="905"/>
      <c r="E110" s="1161" t="str">
        <f>Head5A</f>
        <v>Outcome</v>
      </c>
      <c r="F110" s="28" t="str">
        <f>Head5A</f>
        <v>Outcome</v>
      </c>
      <c r="G110" s="29" t="str">
        <f>Head5A</f>
        <v>Outcome</v>
      </c>
      <c r="H110" s="27" t="str">
        <f>Head6</f>
        <v>Original Budget</v>
      </c>
      <c r="I110" s="28" t="str">
        <f>Head7</f>
        <v>Adjusted Budget</v>
      </c>
      <c r="J110" s="29" t="str">
        <f>Head8</f>
        <v>Full Year Forecast</v>
      </c>
      <c r="K110" s="27" t="str">
        <f>Head9</f>
        <v>Budget Year 2019/20</v>
      </c>
      <c r="L110" s="28" t="str">
        <f>Head10</f>
        <v>Budget Year +1 2020/21</v>
      </c>
      <c r="M110" s="29" t="str">
        <f>Head11</f>
        <v>Budget Year +2 2021/22</v>
      </c>
    </row>
    <row r="111" spans="1:13" ht="11.25" customHeight="1" x14ac:dyDescent="0.25">
      <c r="B111" s="1162"/>
      <c r="C111" s="364" t="s">
        <v>173</v>
      </c>
      <c r="D111" s="356"/>
      <c r="E111" s="330"/>
      <c r="F111" s="1163"/>
      <c r="G111" s="1164"/>
      <c r="H111" s="478"/>
      <c r="I111" s="476"/>
      <c r="J111" s="479"/>
      <c r="K111" s="480"/>
      <c r="L111" s="476"/>
      <c r="M111" s="477"/>
    </row>
    <row r="112" spans="1:13" ht="11.25" customHeight="1" x14ac:dyDescent="0.25">
      <c r="B112" s="1162"/>
      <c r="C112" s="1165" t="s">
        <v>1635</v>
      </c>
      <c r="D112" s="356"/>
      <c r="E112" s="89"/>
      <c r="F112" s="86"/>
      <c r="G112" s="85"/>
      <c r="H112" s="78"/>
      <c r="I112" s="76"/>
      <c r="J112" s="75"/>
      <c r="K112" s="79"/>
      <c r="L112" s="76"/>
      <c r="M112" s="77"/>
    </row>
    <row r="113" spans="2:13" ht="11.25" customHeight="1" x14ac:dyDescent="0.25">
      <c r="B113" s="1162"/>
      <c r="C113" s="1101" t="s">
        <v>1466</v>
      </c>
      <c r="D113" s="356"/>
      <c r="E113" s="927"/>
      <c r="F113" s="924">
        <v>17324</v>
      </c>
      <c r="G113" s="925">
        <v>17324</v>
      </c>
      <c r="H113" s="1212">
        <v>18928</v>
      </c>
      <c r="I113" s="924">
        <v>18928</v>
      </c>
      <c r="J113" s="926">
        <v>18928</v>
      </c>
      <c r="K113" s="927">
        <v>18928</v>
      </c>
      <c r="L113" s="924">
        <v>18928</v>
      </c>
      <c r="M113" s="925">
        <v>18928</v>
      </c>
    </row>
    <row r="114" spans="2:13" ht="11.25" customHeight="1" x14ac:dyDescent="0.25">
      <c r="B114" s="1162"/>
      <c r="C114" s="1101" t="s">
        <v>1634</v>
      </c>
      <c r="D114" s="356"/>
      <c r="E114" s="927"/>
      <c r="F114" s="924">
        <v>1053</v>
      </c>
      <c r="G114" s="925">
        <v>1053</v>
      </c>
      <c r="H114" s="1212"/>
      <c r="I114" s="924"/>
      <c r="J114" s="926"/>
      <c r="K114" s="927"/>
      <c r="L114" s="924"/>
      <c r="M114" s="925"/>
    </row>
    <row r="115" spans="2:13" ht="11.25" customHeight="1" x14ac:dyDescent="0.25">
      <c r="B115" s="1162">
        <v>8</v>
      </c>
      <c r="C115" s="1101" t="s">
        <v>112</v>
      </c>
      <c r="D115" s="356"/>
      <c r="E115" s="927"/>
      <c r="F115" s="924">
        <v>411</v>
      </c>
      <c r="G115" s="925">
        <v>411</v>
      </c>
      <c r="H115" s="1212"/>
      <c r="I115" s="924"/>
      <c r="J115" s="926"/>
      <c r="K115" s="927"/>
      <c r="L115" s="924"/>
      <c r="M115" s="925"/>
    </row>
    <row r="116" spans="2:13" ht="11.25" customHeight="1" x14ac:dyDescent="0.25">
      <c r="B116" s="1162">
        <v>10</v>
      </c>
      <c r="C116" s="1101" t="s">
        <v>113</v>
      </c>
      <c r="D116" s="356"/>
      <c r="E116" s="927"/>
      <c r="F116" s="924"/>
      <c r="G116" s="925"/>
      <c r="H116" s="1212"/>
      <c r="I116" s="924"/>
      <c r="J116" s="926"/>
      <c r="K116" s="927"/>
      <c r="L116" s="924"/>
      <c r="M116" s="925"/>
    </row>
    <row r="117" spans="2:13" ht="11.25" customHeight="1" x14ac:dyDescent="0.25">
      <c r="B117" s="1162"/>
      <c r="C117" s="1166" t="s">
        <v>324</v>
      </c>
      <c r="D117" s="356"/>
      <c r="E117" s="1217">
        <f>SUM(E113:E116)</f>
        <v>0</v>
      </c>
      <c r="F117" s="1213">
        <f t="shared" ref="F117:M117" si="37">SUM(F113:F116)</f>
        <v>18788</v>
      </c>
      <c r="G117" s="1214">
        <f t="shared" si="37"/>
        <v>18788</v>
      </c>
      <c r="H117" s="1215">
        <f t="shared" si="37"/>
        <v>18928</v>
      </c>
      <c r="I117" s="1213">
        <f t="shared" si="37"/>
        <v>18928</v>
      </c>
      <c r="J117" s="1216">
        <f t="shared" si="37"/>
        <v>18928</v>
      </c>
      <c r="K117" s="1217">
        <f t="shared" si="37"/>
        <v>18928</v>
      </c>
      <c r="L117" s="1213">
        <f t="shared" si="37"/>
        <v>18928</v>
      </c>
      <c r="M117" s="1214">
        <f t="shared" si="37"/>
        <v>18928</v>
      </c>
    </row>
    <row r="118" spans="2:13" ht="11.25" customHeight="1" x14ac:dyDescent="0.25">
      <c r="B118" s="1162">
        <v>9</v>
      </c>
      <c r="C118" s="1101" t="s">
        <v>437</v>
      </c>
      <c r="D118" s="356"/>
      <c r="E118" s="927"/>
      <c r="F118" s="924"/>
      <c r="G118" s="925"/>
      <c r="H118" s="1212"/>
      <c r="I118" s="924"/>
      <c r="J118" s="926"/>
      <c r="K118" s="927"/>
      <c r="L118" s="924"/>
      <c r="M118" s="925"/>
    </row>
    <row r="119" spans="2:13" ht="11.25" customHeight="1" x14ac:dyDescent="0.25">
      <c r="B119" s="1162">
        <v>10</v>
      </c>
      <c r="C119" s="1101" t="s">
        <v>438</v>
      </c>
      <c r="D119" s="356"/>
      <c r="E119" s="927"/>
      <c r="F119" s="924"/>
      <c r="G119" s="925"/>
      <c r="H119" s="1212"/>
      <c r="I119" s="924"/>
      <c r="J119" s="926"/>
      <c r="K119" s="927"/>
      <c r="L119" s="924"/>
      <c r="M119" s="925"/>
    </row>
    <row r="120" spans="2:13" ht="11.25" customHeight="1" x14ac:dyDescent="0.25">
      <c r="B120" s="1162"/>
      <c r="C120" s="1101" t="s">
        <v>850</v>
      </c>
      <c r="D120" s="356"/>
      <c r="E120" s="927"/>
      <c r="F120" s="924"/>
      <c r="G120" s="925"/>
      <c r="H120" s="1212"/>
      <c r="I120" s="924"/>
      <c r="J120" s="926"/>
      <c r="K120" s="927"/>
      <c r="L120" s="924"/>
      <c r="M120" s="925"/>
    </row>
    <row r="121" spans="2:13" ht="11.25" customHeight="1" x14ac:dyDescent="0.25">
      <c r="B121" s="1162"/>
      <c r="C121" s="1166" t="s">
        <v>1141</v>
      </c>
      <c r="D121" s="356"/>
      <c r="E121" s="1222">
        <f>SUM(E118:E120)</f>
        <v>0</v>
      </c>
      <c r="F121" s="1218">
        <f t="shared" ref="F121:M121" si="38">SUM(F118:F120)</f>
        <v>0</v>
      </c>
      <c r="G121" s="1219">
        <f t="shared" si="38"/>
        <v>0</v>
      </c>
      <c r="H121" s="1220">
        <f t="shared" si="38"/>
        <v>0</v>
      </c>
      <c r="I121" s="1218">
        <f t="shared" si="38"/>
        <v>0</v>
      </c>
      <c r="J121" s="1221">
        <f t="shared" si="38"/>
        <v>0</v>
      </c>
      <c r="K121" s="1222">
        <f t="shared" si="38"/>
        <v>0</v>
      </c>
      <c r="L121" s="1218">
        <f t="shared" si="38"/>
        <v>0</v>
      </c>
      <c r="M121" s="1219">
        <f t="shared" si="38"/>
        <v>0</v>
      </c>
    </row>
    <row r="122" spans="2:13" ht="11.25" customHeight="1" x14ac:dyDescent="0.25">
      <c r="B122" s="1162"/>
      <c r="C122" s="1167" t="s">
        <v>1177</v>
      </c>
      <c r="D122" s="356"/>
      <c r="E122" s="1227">
        <f>E117+E121</f>
        <v>0</v>
      </c>
      <c r="F122" s="1223">
        <f t="shared" ref="F122:M122" si="39">F117+F121</f>
        <v>18788</v>
      </c>
      <c r="G122" s="1224">
        <f t="shared" si="39"/>
        <v>18788</v>
      </c>
      <c r="H122" s="1225">
        <f t="shared" si="39"/>
        <v>18928</v>
      </c>
      <c r="I122" s="1223">
        <f t="shared" si="39"/>
        <v>18928</v>
      </c>
      <c r="J122" s="1226">
        <f t="shared" si="39"/>
        <v>18928</v>
      </c>
      <c r="K122" s="1227">
        <f t="shared" si="39"/>
        <v>18928</v>
      </c>
      <c r="L122" s="1223">
        <f t="shared" si="39"/>
        <v>18928</v>
      </c>
      <c r="M122" s="1224">
        <f t="shared" si="39"/>
        <v>18928</v>
      </c>
    </row>
    <row r="123" spans="2:13" ht="11.25" customHeight="1" x14ac:dyDescent="0.25">
      <c r="B123" s="1162"/>
      <c r="C123" s="1165" t="s">
        <v>1178</v>
      </c>
      <c r="D123" s="356"/>
      <c r="E123" s="1232"/>
      <c r="F123" s="1228"/>
      <c r="G123" s="1231"/>
      <c r="H123" s="1230"/>
      <c r="I123" s="1228"/>
      <c r="J123" s="1231"/>
      <c r="K123" s="1232"/>
      <c r="L123" s="1228"/>
      <c r="M123" s="1229"/>
    </row>
    <row r="124" spans="2:13" ht="11.25" customHeight="1" x14ac:dyDescent="0.25">
      <c r="B124" s="1162"/>
      <c r="C124" s="1101" t="s">
        <v>1179</v>
      </c>
      <c r="D124" s="356"/>
      <c r="E124" s="927"/>
      <c r="F124" s="924">
        <v>14044</v>
      </c>
      <c r="G124" s="925">
        <v>14044</v>
      </c>
      <c r="H124" s="1212">
        <v>19717</v>
      </c>
      <c r="I124" s="924">
        <v>19717</v>
      </c>
      <c r="J124" s="926">
        <v>19717</v>
      </c>
      <c r="K124" s="927">
        <v>19717</v>
      </c>
      <c r="L124" s="924">
        <v>19717</v>
      </c>
      <c r="M124" s="925">
        <v>19717</v>
      </c>
    </row>
    <row r="125" spans="2:13" ht="11.25" customHeight="1" x14ac:dyDescent="0.25">
      <c r="B125" s="1162"/>
      <c r="C125" s="1101" t="s">
        <v>1180</v>
      </c>
      <c r="D125" s="356"/>
      <c r="E125" s="927"/>
      <c r="F125" s="924">
        <v>746</v>
      </c>
      <c r="G125" s="925">
        <v>746</v>
      </c>
      <c r="H125" s="1212"/>
      <c r="I125" s="924"/>
      <c r="J125" s="926"/>
      <c r="K125" s="927"/>
      <c r="L125" s="924"/>
      <c r="M125" s="925"/>
    </row>
    <row r="126" spans="2:13" ht="11.25" customHeight="1" x14ac:dyDescent="0.25">
      <c r="B126" s="1162"/>
      <c r="C126" s="1101" t="s">
        <v>1247</v>
      </c>
      <c r="D126" s="356"/>
      <c r="E126" s="927"/>
      <c r="F126" s="924">
        <v>3</v>
      </c>
      <c r="G126" s="925">
        <v>3</v>
      </c>
      <c r="H126" s="1212">
        <v>11</v>
      </c>
      <c r="I126" s="924">
        <v>11</v>
      </c>
      <c r="J126" s="926">
        <v>11</v>
      </c>
      <c r="K126" s="927">
        <v>11</v>
      </c>
      <c r="L126" s="924">
        <v>11</v>
      </c>
      <c r="M126" s="925">
        <v>11</v>
      </c>
    </row>
    <row r="127" spans="2:13" ht="11.25" customHeight="1" x14ac:dyDescent="0.25">
      <c r="B127" s="1162"/>
      <c r="C127" s="1101" t="s">
        <v>212</v>
      </c>
      <c r="D127" s="356"/>
      <c r="E127" s="927"/>
      <c r="F127" s="924">
        <v>282</v>
      </c>
      <c r="G127" s="925">
        <v>282</v>
      </c>
      <c r="H127" s="1212">
        <v>274</v>
      </c>
      <c r="I127" s="924">
        <v>274</v>
      </c>
      <c r="J127" s="926">
        <v>274</v>
      </c>
      <c r="K127" s="927">
        <v>274</v>
      </c>
      <c r="L127" s="924">
        <v>274</v>
      </c>
      <c r="M127" s="925">
        <v>274</v>
      </c>
    </row>
    <row r="128" spans="2:13" ht="11.25" customHeight="1" x14ac:dyDescent="0.25">
      <c r="B128" s="1162"/>
      <c r="C128" s="1101" t="s">
        <v>214</v>
      </c>
      <c r="D128" s="356"/>
      <c r="E128" s="927"/>
      <c r="F128" s="924">
        <v>287</v>
      </c>
      <c r="G128" s="925">
        <v>287</v>
      </c>
      <c r="H128" s="1212"/>
      <c r="I128" s="924"/>
      <c r="J128" s="926"/>
      <c r="K128" s="927"/>
      <c r="L128" s="924"/>
      <c r="M128" s="925"/>
    </row>
    <row r="129" spans="2:13" ht="11.25" customHeight="1" x14ac:dyDescent="0.25">
      <c r="B129" s="1162"/>
      <c r="C129" s="1166" t="s">
        <v>324</v>
      </c>
      <c r="D129" s="356"/>
      <c r="E129" s="1217">
        <f>SUM(E124:E128)</f>
        <v>0</v>
      </c>
      <c r="F129" s="1213">
        <f t="shared" ref="F129:M129" si="40">SUM(F124:F128)</f>
        <v>15362</v>
      </c>
      <c r="G129" s="1214">
        <f t="shared" si="40"/>
        <v>15362</v>
      </c>
      <c r="H129" s="1215">
        <f t="shared" si="40"/>
        <v>20002</v>
      </c>
      <c r="I129" s="1213">
        <f t="shared" si="40"/>
        <v>20002</v>
      </c>
      <c r="J129" s="1216">
        <f t="shared" si="40"/>
        <v>20002</v>
      </c>
      <c r="K129" s="1217">
        <f t="shared" si="40"/>
        <v>20002</v>
      </c>
      <c r="L129" s="1213">
        <f t="shared" si="40"/>
        <v>20002</v>
      </c>
      <c r="M129" s="1214">
        <f t="shared" si="40"/>
        <v>20002</v>
      </c>
    </row>
    <row r="130" spans="2:13" ht="11.25" customHeight="1" x14ac:dyDescent="0.25">
      <c r="B130" s="1162"/>
      <c r="C130" s="1101" t="s">
        <v>213</v>
      </c>
      <c r="D130" s="356"/>
      <c r="E130" s="927"/>
      <c r="F130" s="924"/>
      <c r="G130" s="925"/>
      <c r="H130" s="1212">
        <v>410</v>
      </c>
      <c r="I130" s="924">
        <v>410</v>
      </c>
      <c r="J130" s="926">
        <v>410</v>
      </c>
      <c r="K130" s="927">
        <v>410</v>
      </c>
      <c r="L130" s="924">
        <v>410</v>
      </c>
      <c r="M130" s="925">
        <v>410</v>
      </c>
    </row>
    <row r="131" spans="2:13" ht="11.25" customHeight="1" x14ac:dyDescent="0.25">
      <c r="B131" s="1162"/>
      <c r="C131" s="1101" t="s">
        <v>1087</v>
      </c>
      <c r="D131" s="356"/>
      <c r="E131" s="927"/>
      <c r="F131" s="924"/>
      <c r="G131" s="925"/>
      <c r="H131" s="1212"/>
      <c r="I131" s="924"/>
      <c r="J131" s="926"/>
      <c r="K131" s="927"/>
      <c r="L131" s="924"/>
      <c r="M131" s="925"/>
    </row>
    <row r="132" spans="2:13" ht="11.25" customHeight="1" x14ac:dyDescent="0.25">
      <c r="B132" s="1162"/>
      <c r="C132" s="1101" t="s">
        <v>1249</v>
      </c>
      <c r="D132" s="356"/>
      <c r="E132" s="927"/>
      <c r="F132" s="924"/>
      <c r="G132" s="925"/>
      <c r="H132" s="1212"/>
      <c r="I132" s="924"/>
      <c r="J132" s="926"/>
      <c r="K132" s="927"/>
      <c r="L132" s="924"/>
      <c r="M132" s="925"/>
    </row>
    <row r="133" spans="2:13" ht="11.25" customHeight="1" x14ac:dyDescent="0.25">
      <c r="B133" s="1162"/>
      <c r="C133" s="1166" t="s">
        <v>1141</v>
      </c>
      <c r="D133" s="356"/>
      <c r="E133" s="1222">
        <f>SUM(E130:E132)</f>
        <v>0</v>
      </c>
      <c r="F133" s="1218">
        <f t="shared" ref="F133:M133" si="41">SUM(F130:F132)</f>
        <v>0</v>
      </c>
      <c r="G133" s="1219">
        <f t="shared" si="41"/>
        <v>0</v>
      </c>
      <c r="H133" s="1220">
        <f t="shared" si="41"/>
        <v>410</v>
      </c>
      <c r="I133" s="1218">
        <f t="shared" si="41"/>
        <v>410</v>
      </c>
      <c r="J133" s="1221">
        <f t="shared" si="41"/>
        <v>410</v>
      </c>
      <c r="K133" s="1222">
        <f t="shared" si="41"/>
        <v>410</v>
      </c>
      <c r="L133" s="1218">
        <f t="shared" si="41"/>
        <v>410</v>
      </c>
      <c r="M133" s="1219">
        <f t="shared" si="41"/>
        <v>410</v>
      </c>
    </row>
    <row r="134" spans="2:13" ht="11.25" customHeight="1" x14ac:dyDescent="0.25">
      <c r="B134" s="1162"/>
      <c r="C134" s="1167" t="s">
        <v>1177</v>
      </c>
      <c r="D134" s="356"/>
      <c r="E134" s="1227">
        <f>E129+E133</f>
        <v>0</v>
      </c>
      <c r="F134" s="1223">
        <f t="shared" ref="F134:M134" si="42">F129+F133</f>
        <v>15362</v>
      </c>
      <c r="G134" s="1224">
        <f t="shared" si="42"/>
        <v>15362</v>
      </c>
      <c r="H134" s="1225">
        <f t="shared" si="42"/>
        <v>20412</v>
      </c>
      <c r="I134" s="1223">
        <f t="shared" si="42"/>
        <v>20412</v>
      </c>
      <c r="J134" s="1226">
        <f t="shared" si="42"/>
        <v>20412</v>
      </c>
      <c r="K134" s="1227">
        <f t="shared" si="42"/>
        <v>20412</v>
      </c>
      <c r="L134" s="1223">
        <f t="shared" si="42"/>
        <v>20412</v>
      </c>
      <c r="M134" s="1224">
        <f t="shared" si="42"/>
        <v>20412</v>
      </c>
    </row>
    <row r="135" spans="2:13" ht="11.25" customHeight="1" x14ac:dyDescent="0.25">
      <c r="B135" s="1162"/>
      <c r="C135" s="1165" t="s">
        <v>594</v>
      </c>
      <c r="D135" s="356"/>
      <c r="E135" s="1232"/>
      <c r="F135" s="1228"/>
      <c r="G135" s="1231"/>
      <c r="H135" s="1230"/>
      <c r="I135" s="1228"/>
      <c r="J135" s="1231"/>
      <c r="K135" s="1232"/>
      <c r="L135" s="1228"/>
      <c r="M135" s="1229"/>
    </row>
    <row r="136" spans="2:13" ht="11.25" customHeight="1" x14ac:dyDescent="0.25">
      <c r="B136" s="1162"/>
      <c r="C136" s="1101" t="s">
        <v>1088</v>
      </c>
      <c r="D136" s="356"/>
      <c r="E136" s="927"/>
      <c r="F136" s="924">
        <v>1243</v>
      </c>
      <c r="G136" s="924">
        <v>1243</v>
      </c>
      <c r="H136" s="1212">
        <v>1204</v>
      </c>
      <c r="I136" s="924">
        <v>1204</v>
      </c>
      <c r="J136" s="926">
        <v>1204</v>
      </c>
      <c r="K136" s="927">
        <v>1204</v>
      </c>
      <c r="L136" s="924">
        <v>1204</v>
      </c>
      <c r="M136" s="925">
        <v>1204</v>
      </c>
    </row>
    <row r="137" spans="2:13" ht="11.25" customHeight="1" x14ac:dyDescent="0.25">
      <c r="B137" s="1162"/>
      <c r="C137" s="1101" t="s">
        <v>439</v>
      </c>
      <c r="D137" s="356"/>
      <c r="E137" s="927"/>
      <c r="F137" s="924">
        <v>6143</v>
      </c>
      <c r="G137" s="924">
        <v>6143</v>
      </c>
      <c r="H137" s="1212">
        <v>6143</v>
      </c>
      <c r="I137" s="924">
        <v>6143</v>
      </c>
      <c r="J137" s="926">
        <v>6143</v>
      </c>
      <c r="K137" s="927">
        <v>6143</v>
      </c>
      <c r="L137" s="924">
        <v>6143</v>
      </c>
      <c r="M137" s="925">
        <v>6143</v>
      </c>
    </row>
    <row r="138" spans="2:13" ht="11.25" customHeight="1" x14ac:dyDescent="0.25">
      <c r="B138" s="1162"/>
      <c r="C138" s="1166" t="s">
        <v>324</v>
      </c>
      <c r="D138" s="356"/>
      <c r="E138" s="1217">
        <f>SUM(E136:E137)</f>
        <v>0</v>
      </c>
      <c r="F138" s="1213">
        <f t="shared" ref="F138:M138" si="43">SUM(F136:F137)</f>
        <v>7386</v>
      </c>
      <c r="G138" s="1214">
        <f t="shared" si="43"/>
        <v>7386</v>
      </c>
      <c r="H138" s="1215">
        <f t="shared" si="43"/>
        <v>7347</v>
      </c>
      <c r="I138" s="1213">
        <f t="shared" si="43"/>
        <v>7347</v>
      </c>
      <c r="J138" s="1216">
        <f t="shared" si="43"/>
        <v>7347</v>
      </c>
      <c r="K138" s="1217">
        <f t="shared" si="43"/>
        <v>7347</v>
      </c>
      <c r="L138" s="1213">
        <f t="shared" si="43"/>
        <v>7347</v>
      </c>
      <c r="M138" s="1214">
        <f t="shared" si="43"/>
        <v>7347</v>
      </c>
    </row>
    <row r="139" spans="2:13" ht="11.25" customHeight="1" x14ac:dyDescent="0.25">
      <c r="B139" s="1162"/>
      <c r="C139" s="1101" t="s">
        <v>440</v>
      </c>
      <c r="D139" s="356"/>
      <c r="E139" s="927"/>
      <c r="F139" s="924">
        <v>77</v>
      </c>
      <c r="G139" s="925"/>
      <c r="H139" s="1212"/>
      <c r="I139" s="924"/>
      <c r="J139" s="926"/>
      <c r="K139" s="927"/>
      <c r="L139" s="924"/>
      <c r="M139" s="925"/>
    </row>
    <row r="140" spans="2:13" ht="11.25" customHeight="1" x14ac:dyDescent="0.25">
      <c r="B140" s="1162"/>
      <c r="C140" s="1101" t="s">
        <v>441</v>
      </c>
      <c r="D140" s="356"/>
      <c r="E140" s="927"/>
      <c r="F140" s="924"/>
      <c r="G140" s="925"/>
      <c r="H140" s="1212"/>
      <c r="I140" s="924"/>
      <c r="J140" s="926"/>
      <c r="K140" s="927"/>
      <c r="L140" s="924"/>
      <c r="M140" s="925"/>
    </row>
    <row r="141" spans="2:13" ht="11.25" customHeight="1" x14ac:dyDescent="0.25">
      <c r="B141" s="1162"/>
      <c r="C141" s="1101" t="s">
        <v>595</v>
      </c>
      <c r="D141" s="356"/>
      <c r="E141" s="927"/>
      <c r="F141" s="924"/>
      <c r="G141" s="925"/>
      <c r="H141" s="1212"/>
      <c r="I141" s="924"/>
      <c r="J141" s="926"/>
      <c r="K141" s="927"/>
      <c r="L141" s="924"/>
      <c r="M141" s="925"/>
    </row>
    <row r="142" spans="2:13" ht="11.25" customHeight="1" x14ac:dyDescent="0.25">
      <c r="B142" s="1162"/>
      <c r="C142" s="1166" t="s">
        <v>1141</v>
      </c>
      <c r="D142" s="356"/>
      <c r="E142" s="1222">
        <f>SUM(E139:E141)</f>
        <v>0</v>
      </c>
      <c r="F142" s="1218">
        <f t="shared" ref="F142:M142" si="44">SUM(F139:F141)</f>
        <v>77</v>
      </c>
      <c r="G142" s="1219">
        <f t="shared" si="44"/>
        <v>0</v>
      </c>
      <c r="H142" s="1220">
        <f t="shared" si="44"/>
        <v>0</v>
      </c>
      <c r="I142" s="1218">
        <f t="shared" si="44"/>
        <v>0</v>
      </c>
      <c r="J142" s="1221">
        <f t="shared" si="44"/>
        <v>0</v>
      </c>
      <c r="K142" s="1222">
        <f t="shared" si="44"/>
        <v>0</v>
      </c>
      <c r="L142" s="1218">
        <f t="shared" si="44"/>
        <v>0</v>
      </c>
      <c r="M142" s="1219">
        <f t="shared" si="44"/>
        <v>0</v>
      </c>
    </row>
    <row r="143" spans="2:13" ht="11.25" customHeight="1" x14ac:dyDescent="0.25">
      <c r="B143" s="1162"/>
      <c r="C143" s="1167" t="s">
        <v>1177</v>
      </c>
      <c r="D143" s="356"/>
      <c r="E143" s="1227">
        <f>E138+E142</f>
        <v>0</v>
      </c>
      <c r="F143" s="1223">
        <f t="shared" ref="F143:M143" si="45">F138+F142</f>
        <v>7463</v>
      </c>
      <c r="G143" s="1224">
        <f t="shared" si="45"/>
        <v>7386</v>
      </c>
      <c r="H143" s="1225">
        <f t="shared" si="45"/>
        <v>7347</v>
      </c>
      <c r="I143" s="1223">
        <f t="shared" si="45"/>
        <v>7347</v>
      </c>
      <c r="J143" s="1226">
        <f t="shared" si="45"/>
        <v>7347</v>
      </c>
      <c r="K143" s="1227">
        <f t="shared" si="45"/>
        <v>7347</v>
      </c>
      <c r="L143" s="1223">
        <f t="shared" si="45"/>
        <v>7347</v>
      </c>
      <c r="M143" s="1224">
        <f t="shared" si="45"/>
        <v>7347</v>
      </c>
    </row>
    <row r="144" spans="2:13" ht="11.25" customHeight="1" x14ac:dyDescent="0.25">
      <c r="B144" s="1162"/>
      <c r="C144" s="1165" t="s">
        <v>597</v>
      </c>
      <c r="D144" s="356"/>
      <c r="E144" s="1232"/>
      <c r="F144" s="1228"/>
      <c r="G144" s="1231"/>
      <c r="H144" s="1230"/>
      <c r="I144" s="1228"/>
      <c r="J144" s="1231"/>
      <c r="K144" s="1232"/>
      <c r="L144" s="1228"/>
      <c r="M144" s="1229"/>
    </row>
    <row r="145" spans="1:13" ht="11.25" customHeight="1" x14ac:dyDescent="0.25">
      <c r="B145" s="1162"/>
      <c r="C145" s="1101" t="s">
        <v>642</v>
      </c>
      <c r="D145" s="356"/>
      <c r="E145" s="930"/>
      <c r="F145" s="928">
        <v>2235</v>
      </c>
      <c r="G145" s="929">
        <v>2235</v>
      </c>
      <c r="H145" s="1233">
        <v>2235</v>
      </c>
      <c r="I145" s="928">
        <v>2235</v>
      </c>
      <c r="J145" s="1234">
        <v>2235</v>
      </c>
      <c r="K145" s="930">
        <v>2235</v>
      </c>
      <c r="L145" s="928">
        <v>2235</v>
      </c>
      <c r="M145" s="929">
        <v>2235</v>
      </c>
    </row>
    <row r="146" spans="1:13" ht="11.25" customHeight="1" x14ac:dyDescent="0.25">
      <c r="B146" s="1162"/>
      <c r="C146" s="1166" t="s">
        <v>324</v>
      </c>
      <c r="D146" s="356"/>
      <c r="E146" s="1232">
        <f>SUM(E145)</f>
        <v>0</v>
      </c>
      <c r="F146" s="1228">
        <f t="shared" ref="F146:M146" si="46">SUM(F145)</f>
        <v>2235</v>
      </c>
      <c r="G146" s="1229">
        <f t="shared" si="46"/>
        <v>2235</v>
      </c>
      <c r="H146" s="1230">
        <f t="shared" si="46"/>
        <v>2235</v>
      </c>
      <c r="I146" s="1228">
        <f t="shared" si="46"/>
        <v>2235</v>
      </c>
      <c r="J146" s="1231">
        <f t="shared" si="46"/>
        <v>2235</v>
      </c>
      <c r="K146" s="1232">
        <f t="shared" si="46"/>
        <v>2235</v>
      </c>
      <c r="L146" s="1228">
        <f t="shared" si="46"/>
        <v>2235</v>
      </c>
      <c r="M146" s="1229">
        <f t="shared" si="46"/>
        <v>2235</v>
      </c>
    </row>
    <row r="147" spans="1:13" ht="11.25" customHeight="1" x14ac:dyDescent="0.25">
      <c r="B147" s="1162"/>
      <c r="C147" s="1101" t="s">
        <v>598</v>
      </c>
      <c r="D147" s="356"/>
      <c r="E147" s="927"/>
      <c r="F147" s="924">
        <v>523</v>
      </c>
      <c r="G147" s="925">
        <v>523</v>
      </c>
      <c r="H147" s="1212">
        <v>523</v>
      </c>
      <c r="I147" s="924">
        <v>523</v>
      </c>
      <c r="J147" s="926">
        <v>523</v>
      </c>
      <c r="K147" s="927">
        <v>523</v>
      </c>
      <c r="L147" s="924">
        <v>523</v>
      </c>
      <c r="M147" s="925">
        <v>523</v>
      </c>
    </row>
    <row r="148" spans="1:13" ht="11.25" customHeight="1" x14ac:dyDescent="0.25">
      <c r="B148" s="1162"/>
      <c r="C148" s="1101" t="s">
        <v>599</v>
      </c>
      <c r="D148" s="356"/>
      <c r="E148" s="927"/>
      <c r="F148" s="924">
        <v>865</v>
      </c>
      <c r="G148" s="925">
        <v>865</v>
      </c>
      <c r="H148" s="1212">
        <v>865</v>
      </c>
      <c r="I148" s="924">
        <v>865</v>
      </c>
      <c r="J148" s="926">
        <v>865</v>
      </c>
      <c r="K148" s="927">
        <v>865</v>
      </c>
      <c r="L148" s="924">
        <v>865</v>
      </c>
      <c r="M148" s="925">
        <v>865</v>
      </c>
    </row>
    <row r="149" spans="1:13" ht="11.25" customHeight="1" x14ac:dyDescent="0.25">
      <c r="B149" s="1162"/>
      <c r="C149" s="1101" t="s">
        <v>766</v>
      </c>
      <c r="D149" s="356"/>
      <c r="E149" s="927"/>
      <c r="F149" s="924">
        <v>523</v>
      </c>
      <c r="G149" s="925">
        <v>523</v>
      </c>
      <c r="H149" s="1212">
        <v>523</v>
      </c>
      <c r="I149" s="924">
        <v>523</v>
      </c>
      <c r="J149" s="926">
        <v>523</v>
      </c>
      <c r="K149" s="927">
        <v>523</v>
      </c>
      <c r="L149" s="924">
        <v>523</v>
      </c>
      <c r="M149" s="925">
        <v>523</v>
      </c>
    </row>
    <row r="150" spans="1:13" ht="11.25" customHeight="1" x14ac:dyDescent="0.25">
      <c r="B150" s="1162"/>
      <c r="C150" s="1101" t="s">
        <v>767</v>
      </c>
      <c r="D150" s="356"/>
      <c r="E150" s="927"/>
      <c r="F150" s="924">
        <v>720</v>
      </c>
      <c r="G150" s="925">
        <v>720</v>
      </c>
      <c r="H150" s="1212">
        <v>720</v>
      </c>
      <c r="I150" s="924">
        <v>720</v>
      </c>
      <c r="J150" s="926">
        <v>720</v>
      </c>
      <c r="K150" s="927">
        <v>720</v>
      </c>
      <c r="L150" s="924">
        <v>720</v>
      </c>
      <c r="M150" s="925">
        <v>720</v>
      </c>
    </row>
    <row r="151" spans="1:13" ht="11.25" customHeight="1" x14ac:dyDescent="0.25">
      <c r="B151" s="1162"/>
      <c r="C151" s="1101" t="s">
        <v>171</v>
      </c>
      <c r="D151" s="356"/>
      <c r="E151" s="927"/>
      <c r="F151" s="924">
        <v>124</v>
      </c>
      <c r="G151" s="925">
        <v>124</v>
      </c>
      <c r="H151" s="1212">
        <v>124</v>
      </c>
      <c r="I151" s="924">
        <v>124</v>
      </c>
      <c r="J151" s="926">
        <v>124</v>
      </c>
      <c r="K151" s="927">
        <v>124</v>
      </c>
      <c r="L151" s="924">
        <v>124</v>
      </c>
      <c r="M151" s="925">
        <v>124</v>
      </c>
    </row>
    <row r="152" spans="1:13" ht="11.25" customHeight="1" x14ac:dyDescent="0.25">
      <c r="B152" s="1162"/>
      <c r="C152" s="1166" t="s">
        <v>1141</v>
      </c>
      <c r="D152" s="356"/>
      <c r="E152" s="1222">
        <f t="shared" ref="E152:M152" si="47">SUM(E147:E151)</f>
        <v>0</v>
      </c>
      <c r="F152" s="1218">
        <f t="shared" si="47"/>
        <v>2755</v>
      </c>
      <c r="G152" s="1219">
        <f t="shared" si="47"/>
        <v>2755</v>
      </c>
      <c r="H152" s="1220">
        <f t="shared" si="47"/>
        <v>2755</v>
      </c>
      <c r="I152" s="1218">
        <f t="shared" si="47"/>
        <v>2755</v>
      </c>
      <c r="J152" s="1221">
        <f t="shared" si="47"/>
        <v>2755</v>
      </c>
      <c r="K152" s="1222">
        <f t="shared" si="47"/>
        <v>2755</v>
      </c>
      <c r="L152" s="1218">
        <f t="shared" si="47"/>
        <v>2755</v>
      </c>
      <c r="M152" s="1219">
        <f t="shared" si="47"/>
        <v>2755</v>
      </c>
    </row>
    <row r="153" spans="1:13" ht="11.25" customHeight="1" x14ac:dyDescent="0.25">
      <c r="B153" s="1162"/>
      <c r="C153" s="1167" t="s">
        <v>1177</v>
      </c>
      <c r="D153" s="356"/>
      <c r="E153" s="1227">
        <f>E146+E152</f>
        <v>0</v>
      </c>
      <c r="F153" s="1223">
        <f t="shared" ref="F153:M153" si="48">F146+F152</f>
        <v>4990</v>
      </c>
      <c r="G153" s="1224">
        <f t="shared" si="48"/>
        <v>4990</v>
      </c>
      <c r="H153" s="1225">
        <f t="shared" si="48"/>
        <v>4990</v>
      </c>
      <c r="I153" s="1223">
        <f t="shared" si="48"/>
        <v>4990</v>
      </c>
      <c r="J153" s="1226">
        <f t="shared" si="48"/>
        <v>4990</v>
      </c>
      <c r="K153" s="1227">
        <f t="shared" si="48"/>
        <v>4990</v>
      </c>
      <c r="L153" s="1223">
        <f t="shared" si="48"/>
        <v>4990</v>
      </c>
      <c r="M153" s="1224">
        <f t="shared" si="48"/>
        <v>4990</v>
      </c>
    </row>
    <row r="154" spans="1:13" ht="4.9000000000000004" customHeight="1" x14ac:dyDescent="0.25">
      <c r="B154" s="1162"/>
      <c r="C154" s="1168"/>
      <c r="D154" s="1179"/>
      <c r="E154" s="698"/>
      <c r="F154" s="694"/>
      <c r="G154" s="695"/>
      <c r="H154" s="696"/>
      <c r="I154" s="694"/>
      <c r="J154" s="697"/>
      <c r="K154" s="698"/>
      <c r="L154" s="694"/>
      <c r="M154" s="695"/>
    </row>
    <row r="155" spans="1:13" ht="25.15" customHeight="1" x14ac:dyDescent="0.25">
      <c r="A155" s="1945" t="s">
        <v>1850</v>
      </c>
      <c r="B155" s="1157"/>
      <c r="C155" s="1158"/>
      <c r="D155" s="1159"/>
      <c r="E155" s="565" t="str">
        <f>head1b</f>
        <v>2015/16</v>
      </c>
      <c r="F155" s="26" t="str">
        <f>head1A</f>
        <v>2016/17</v>
      </c>
      <c r="G155" s="22" t="str">
        <f>Head1</f>
        <v>2017/18</v>
      </c>
      <c r="H155" s="1904" t="str">
        <f>Head2</f>
        <v>Current Year 2018/19</v>
      </c>
      <c r="I155" s="1905"/>
      <c r="J155" s="1906"/>
      <c r="K155" s="1904" t="str">
        <f>Head3</f>
        <v>2019/20 Medium Term Revenue &amp; Expenditure Framework</v>
      </c>
      <c r="L155" s="1905"/>
      <c r="M155" s="1906"/>
    </row>
    <row r="156" spans="1:13" ht="25.15" customHeight="1" x14ac:dyDescent="0.25">
      <c r="A156" s="1945"/>
      <c r="B156" s="1160" t="s">
        <v>1764</v>
      </c>
      <c r="C156" s="904"/>
      <c r="D156" s="905"/>
      <c r="E156" s="1161" t="str">
        <f>Head5A</f>
        <v>Outcome</v>
      </c>
      <c r="F156" s="28" t="str">
        <f>Head5A</f>
        <v>Outcome</v>
      </c>
      <c r="G156" s="29" t="str">
        <f>Head5A</f>
        <v>Outcome</v>
      </c>
      <c r="H156" s="27" t="str">
        <f>Head6</f>
        <v>Original Budget</v>
      </c>
      <c r="I156" s="28" t="str">
        <f>Head7</f>
        <v>Adjusted Budget</v>
      </c>
      <c r="J156" s="29" t="str">
        <f>Head8</f>
        <v>Full Year Forecast</v>
      </c>
      <c r="K156" s="27" t="str">
        <f>Head9</f>
        <v>Budget Year 2019/20</v>
      </c>
      <c r="L156" s="28" t="str">
        <f>Head10</f>
        <v>Budget Year +1 2020/21</v>
      </c>
      <c r="M156" s="29" t="str">
        <f>Head11</f>
        <v>Budget Year +2 2021/22</v>
      </c>
    </row>
    <row r="157" spans="1:13" ht="11.25" customHeight="1" x14ac:dyDescent="0.25">
      <c r="B157" s="1162"/>
      <c r="C157" s="364" t="s">
        <v>173</v>
      </c>
      <c r="D157" s="356"/>
      <c r="E157" s="330"/>
      <c r="F157" s="1163"/>
      <c r="G157" s="1164"/>
      <c r="H157" s="478"/>
      <c r="I157" s="476"/>
      <c r="J157" s="479"/>
      <c r="K157" s="480"/>
      <c r="L157" s="476"/>
      <c r="M157" s="477"/>
    </row>
    <row r="158" spans="1:13" ht="11.25" customHeight="1" x14ac:dyDescent="0.25">
      <c r="A158" s="1543" t="s">
        <v>1851</v>
      </c>
      <c r="B158" s="1162"/>
      <c r="C158" s="1165" t="s">
        <v>1635</v>
      </c>
      <c r="D158" s="356"/>
      <c r="E158" s="89"/>
      <c r="F158" s="86"/>
      <c r="G158" s="85"/>
      <c r="H158" s="78"/>
      <c r="I158" s="76"/>
      <c r="J158" s="75"/>
      <c r="K158" s="79"/>
      <c r="L158" s="76"/>
      <c r="M158" s="77"/>
    </row>
    <row r="159" spans="1:13" ht="11.25" customHeight="1" x14ac:dyDescent="0.25">
      <c r="B159" s="1162"/>
      <c r="C159" s="1101" t="s">
        <v>1466</v>
      </c>
      <c r="D159" s="356"/>
      <c r="E159" s="927"/>
      <c r="F159" s="924"/>
      <c r="G159" s="925"/>
      <c r="H159" s="1212"/>
      <c r="I159" s="924"/>
      <c r="J159" s="926"/>
      <c r="K159" s="927"/>
      <c r="L159" s="924"/>
      <c r="M159" s="925"/>
    </row>
    <row r="160" spans="1:13" ht="11.25" customHeight="1" x14ac:dyDescent="0.25">
      <c r="B160" s="1162"/>
      <c r="C160" s="1101" t="s">
        <v>1634</v>
      </c>
      <c r="D160" s="356"/>
      <c r="E160" s="927"/>
      <c r="F160" s="924"/>
      <c r="G160" s="925"/>
      <c r="H160" s="1212"/>
      <c r="I160" s="924"/>
      <c r="J160" s="926"/>
      <c r="K160" s="927"/>
      <c r="L160" s="924"/>
      <c r="M160" s="925"/>
    </row>
    <row r="161" spans="1:13" ht="11.25" customHeight="1" x14ac:dyDescent="0.25">
      <c r="B161" s="1162">
        <v>8</v>
      </c>
      <c r="C161" s="1101" t="s">
        <v>112</v>
      </c>
      <c r="D161" s="356"/>
      <c r="E161" s="927"/>
      <c r="F161" s="924"/>
      <c r="G161" s="925"/>
      <c r="H161" s="1212"/>
      <c r="I161" s="924"/>
      <c r="J161" s="926"/>
      <c r="K161" s="927"/>
      <c r="L161" s="924"/>
      <c r="M161" s="925"/>
    </row>
    <row r="162" spans="1:13" ht="11.25" customHeight="1" x14ac:dyDescent="0.25">
      <c r="B162" s="1162">
        <v>10</v>
      </c>
      <c r="C162" s="1101" t="s">
        <v>113</v>
      </c>
      <c r="D162" s="356"/>
      <c r="E162" s="927"/>
      <c r="F162" s="924"/>
      <c r="G162" s="925"/>
      <c r="H162" s="1212"/>
      <c r="I162" s="924"/>
      <c r="J162" s="926"/>
      <c r="K162" s="927"/>
      <c r="L162" s="924"/>
      <c r="M162" s="925"/>
    </row>
    <row r="163" spans="1:13" ht="11.25" customHeight="1" x14ac:dyDescent="0.25">
      <c r="B163" s="1162"/>
      <c r="C163" s="1166" t="s">
        <v>324</v>
      </c>
      <c r="D163" s="356"/>
      <c r="E163" s="1217">
        <f>SUM(E159:E162)</f>
        <v>0</v>
      </c>
      <c r="F163" s="1213">
        <f t="shared" ref="F163:M163" si="49">SUM(F159:F162)</f>
        <v>0</v>
      </c>
      <c r="G163" s="1214">
        <f t="shared" si="49"/>
        <v>0</v>
      </c>
      <c r="H163" s="1215">
        <f t="shared" si="49"/>
        <v>0</v>
      </c>
      <c r="I163" s="1213">
        <f t="shared" si="49"/>
        <v>0</v>
      </c>
      <c r="J163" s="1216">
        <f t="shared" si="49"/>
        <v>0</v>
      </c>
      <c r="K163" s="1217">
        <f t="shared" si="49"/>
        <v>0</v>
      </c>
      <c r="L163" s="1213">
        <f t="shared" si="49"/>
        <v>0</v>
      </c>
      <c r="M163" s="1214">
        <f t="shared" si="49"/>
        <v>0</v>
      </c>
    </row>
    <row r="164" spans="1:13" ht="11.25" customHeight="1" x14ac:dyDescent="0.25">
      <c r="B164" s="1162">
        <v>9</v>
      </c>
      <c r="C164" s="1101" t="s">
        <v>437</v>
      </c>
      <c r="D164" s="356"/>
      <c r="E164" s="927"/>
      <c r="F164" s="924"/>
      <c r="G164" s="925"/>
      <c r="H164" s="1212"/>
      <c r="I164" s="924"/>
      <c r="J164" s="926"/>
      <c r="K164" s="927"/>
      <c r="L164" s="924"/>
      <c r="M164" s="925"/>
    </row>
    <row r="165" spans="1:13" ht="11.25" customHeight="1" x14ac:dyDescent="0.25">
      <c r="B165" s="1162">
        <v>10</v>
      </c>
      <c r="C165" s="1101" t="s">
        <v>438</v>
      </c>
      <c r="D165" s="356"/>
      <c r="E165" s="927"/>
      <c r="F165" s="924"/>
      <c r="G165" s="925"/>
      <c r="H165" s="1212"/>
      <c r="I165" s="924"/>
      <c r="J165" s="926"/>
      <c r="K165" s="927"/>
      <c r="L165" s="924"/>
      <c r="M165" s="925"/>
    </row>
    <row r="166" spans="1:13" ht="11.25" customHeight="1" x14ac:dyDescent="0.25">
      <c r="B166" s="1162"/>
      <c r="C166" s="1101" t="s">
        <v>850</v>
      </c>
      <c r="D166" s="356"/>
      <c r="E166" s="927"/>
      <c r="F166" s="924"/>
      <c r="G166" s="925"/>
      <c r="H166" s="1212"/>
      <c r="I166" s="924"/>
      <c r="J166" s="926"/>
      <c r="K166" s="927"/>
      <c r="L166" s="924"/>
      <c r="M166" s="925"/>
    </row>
    <row r="167" spans="1:13" ht="11.25" customHeight="1" x14ac:dyDescent="0.25">
      <c r="B167" s="1162"/>
      <c r="C167" s="1166" t="s">
        <v>1141</v>
      </c>
      <c r="D167" s="356"/>
      <c r="E167" s="1222">
        <f>SUM(E164:E166)</f>
        <v>0</v>
      </c>
      <c r="F167" s="1218">
        <f t="shared" ref="F167:M167" si="50">SUM(F164:F166)</f>
        <v>0</v>
      </c>
      <c r="G167" s="1219">
        <f t="shared" si="50"/>
        <v>0</v>
      </c>
      <c r="H167" s="1220">
        <f t="shared" si="50"/>
        <v>0</v>
      </c>
      <c r="I167" s="1218">
        <f t="shared" si="50"/>
        <v>0</v>
      </c>
      <c r="J167" s="1221">
        <f t="shared" si="50"/>
        <v>0</v>
      </c>
      <c r="K167" s="1222">
        <f t="shared" si="50"/>
        <v>0</v>
      </c>
      <c r="L167" s="1218">
        <f t="shared" si="50"/>
        <v>0</v>
      </c>
      <c r="M167" s="1219">
        <f t="shared" si="50"/>
        <v>0</v>
      </c>
    </row>
    <row r="168" spans="1:13" ht="11.25" customHeight="1" x14ac:dyDescent="0.25">
      <c r="B168" s="1162"/>
      <c r="C168" s="1167" t="s">
        <v>1177</v>
      </c>
      <c r="D168" s="356"/>
      <c r="E168" s="1227">
        <f>E163+E167</f>
        <v>0</v>
      </c>
      <c r="F168" s="1223">
        <f t="shared" ref="F168:M168" si="51">F163+F167</f>
        <v>0</v>
      </c>
      <c r="G168" s="1224">
        <f t="shared" si="51"/>
        <v>0</v>
      </c>
      <c r="H168" s="1225">
        <f t="shared" si="51"/>
        <v>0</v>
      </c>
      <c r="I168" s="1223">
        <f t="shared" si="51"/>
        <v>0</v>
      </c>
      <c r="J168" s="1226">
        <f t="shared" si="51"/>
        <v>0</v>
      </c>
      <c r="K168" s="1227">
        <f t="shared" si="51"/>
        <v>0</v>
      </c>
      <c r="L168" s="1223">
        <f t="shared" si="51"/>
        <v>0</v>
      </c>
      <c r="M168" s="1224">
        <f t="shared" si="51"/>
        <v>0</v>
      </c>
    </row>
    <row r="169" spans="1:13" ht="11.25" customHeight="1" x14ac:dyDescent="0.25">
      <c r="A169" s="1543" t="s">
        <v>1851</v>
      </c>
      <c r="B169" s="1162"/>
      <c r="C169" s="1165" t="s">
        <v>1178</v>
      </c>
      <c r="D169" s="356"/>
      <c r="E169" s="1232"/>
      <c r="F169" s="1228"/>
      <c r="G169" s="1231"/>
      <c r="H169" s="1230"/>
      <c r="I169" s="1228"/>
      <c r="J169" s="1231"/>
      <c r="K169" s="1232"/>
      <c r="L169" s="1228"/>
      <c r="M169" s="1229"/>
    </row>
    <row r="170" spans="1:13" ht="11.25" customHeight="1" x14ac:dyDescent="0.25">
      <c r="B170" s="1162"/>
      <c r="C170" s="1101" t="s">
        <v>1179</v>
      </c>
      <c r="D170" s="356"/>
      <c r="E170" s="927"/>
      <c r="F170" s="924"/>
      <c r="G170" s="925"/>
      <c r="H170" s="1212"/>
      <c r="I170" s="924"/>
      <c r="J170" s="926"/>
      <c r="K170" s="927"/>
      <c r="L170" s="924"/>
      <c r="M170" s="925"/>
    </row>
    <row r="171" spans="1:13" ht="11.25" customHeight="1" x14ac:dyDescent="0.25">
      <c r="B171" s="1162"/>
      <c r="C171" s="1101" t="s">
        <v>1180</v>
      </c>
      <c r="D171" s="356"/>
      <c r="E171" s="927"/>
      <c r="F171" s="924"/>
      <c r="G171" s="925"/>
      <c r="H171" s="1212"/>
      <c r="I171" s="924"/>
      <c r="J171" s="926"/>
      <c r="K171" s="927"/>
      <c r="L171" s="924"/>
      <c r="M171" s="925"/>
    </row>
    <row r="172" spans="1:13" ht="11.25" customHeight="1" x14ac:dyDescent="0.25">
      <c r="B172" s="1162"/>
      <c r="C172" s="1101" t="s">
        <v>1247</v>
      </c>
      <c r="D172" s="356"/>
      <c r="E172" s="927"/>
      <c r="F172" s="924"/>
      <c r="G172" s="925"/>
      <c r="H172" s="1212"/>
      <c r="I172" s="924"/>
      <c r="J172" s="926"/>
      <c r="K172" s="927"/>
      <c r="L172" s="924"/>
      <c r="M172" s="925"/>
    </row>
    <row r="173" spans="1:13" ht="11.25" customHeight="1" x14ac:dyDescent="0.25">
      <c r="B173" s="1162"/>
      <c r="C173" s="1101" t="s">
        <v>212</v>
      </c>
      <c r="D173" s="356"/>
      <c r="E173" s="927"/>
      <c r="F173" s="924"/>
      <c r="G173" s="925"/>
      <c r="H173" s="1212"/>
      <c r="I173" s="924"/>
      <c r="J173" s="926"/>
      <c r="K173" s="927"/>
      <c r="L173" s="924"/>
      <c r="M173" s="925"/>
    </row>
    <row r="174" spans="1:13" ht="11.25" customHeight="1" x14ac:dyDescent="0.25">
      <c r="B174" s="1162"/>
      <c r="C174" s="1101" t="s">
        <v>214</v>
      </c>
      <c r="D174" s="356"/>
      <c r="E174" s="927"/>
      <c r="F174" s="924"/>
      <c r="G174" s="925"/>
      <c r="H174" s="1212"/>
      <c r="I174" s="924"/>
      <c r="J174" s="926"/>
      <c r="K174" s="927"/>
      <c r="L174" s="924"/>
      <c r="M174" s="925"/>
    </row>
    <row r="175" spans="1:13" ht="11.25" customHeight="1" x14ac:dyDescent="0.25">
      <c r="B175" s="1162"/>
      <c r="C175" s="1166" t="s">
        <v>324</v>
      </c>
      <c r="D175" s="356"/>
      <c r="E175" s="1217">
        <f>SUM(E170:E174)</f>
        <v>0</v>
      </c>
      <c r="F175" s="1213">
        <f t="shared" ref="F175:M175" si="52">SUM(F170:F174)</f>
        <v>0</v>
      </c>
      <c r="G175" s="1214">
        <f t="shared" si="52"/>
        <v>0</v>
      </c>
      <c r="H175" s="1215">
        <f t="shared" si="52"/>
        <v>0</v>
      </c>
      <c r="I175" s="1213">
        <f t="shared" si="52"/>
        <v>0</v>
      </c>
      <c r="J175" s="1216">
        <f t="shared" si="52"/>
        <v>0</v>
      </c>
      <c r="K175" s="1217">
        <f t="shared" si="52"/>
        <v>0</v>
      </c>
      <c r="L175" s="1213">
        <f t="shared" si="52"/>
        <v>0</v>
      </c>
      <c r="M175" s="1214">
        <f t="shared" si="52"/>
        <v>0</v>
      </c>
    </row>
    <row r="176" spans="1:13" ht="11.25" customHeight="1" x14ac:dyDescent="0.25">
      <c r="B176" s="1162"/>
      <c r="C176" s="1101" t="s">
        <v>213</v>
      </c>
      <c r="D176" s="356"/>
      <c r="E176" s="927"/>
      <c r="F176" s="924"/>
      <c r="G176" s="925"/>
      <c r="H176" s="1212"/>
      <c r="I176" s="924"/>
      <c r="J176" s="926"/>
      <c r="K176" s="927"/>
      <c r="L176" s="924"/>
      <c r="M176" s="925"/>
    </row>
    <row r="177" spans="1:13" ht="11.25" customHeight="1" x14ac:dyDescent="0.25">
      <c r="B177" s="1162"/>
      <c r="C177" s="1101" t="s">
        <v>1087</v>
      </c>
      <c r="D177" s="356"/>
      <c r="E177" s="927"/>
      <c r="F177" s="924"/>
      <c r="G177" s="925"/>
      <c r="H177" s="1212"/>
      <c r="I177" s="924"/>
      <c r="J177" s="926"/>
      <c r="K177" s="927"/>
      <c r="L177" s="924"/>
      <c r="M177" s="925"/>
    </row>
    <row r="178" spans="1:13" ht="11.25" customHeight="1" x14ac:dyDescent="0.25">
      <c r="B178" s="1162"/>
      <c r="C178" s="1101" t="s">
        <v>1249</v>
      </c>
      <c r="D178" s="356"/>
      <c r="E178" s="927"/>
      <c r="F178" s="924"/>
      <c r="G178" s="925"/>
      <c r="H178" s="1212"/>
      <c r="I178" s="924"/>
      <c r="J178" s="926"/>
      <c r="K178" s="927"/>
      <c r="L178" s="924"/>
      <c r="M178" s="925"/>
    </row>
    <row r="179" spans="1:13" ht="11.25" customHeight="1" x14ac:dyDescent="0.25">
      <c r="B179" s="1162"/>
      <c r="C179" s="1166" t="s">
        <v>1141</v>
      </c>
      <c r="D179" s="356"/>
      <c r="E179" s="1222">
        <f>SUM(E176:E178)</f>
        <v>0</v>
      </c>
      <c r="F179" s="1218">
        <f t="shared" ref="F179:M179" si="53">SUM(F176:F178)</f>
        <v>0</v>
      </c>
      <c r="G179" s="1219">
        <f t="shared" si="53"/>
        <v>0</v>
      </c>
      <c r="H179" s="1220">
        <f t="shared" si="53"/>
        <v>0</v>
      </c>
      <c r="I179" s="1218">
        <f t="shared" si="53"/>
        <v>0</v>
      </c>
      <c r="J179" s="1221">
        <f t="shared" si="53"/>
        <v>0</v>
      </c>
      <c r="K179" s="1222">
        <f t="shared" si="53"/>
        <v>0</v>
      </c>
      <c r="L179" s="1218">
        <f t="shared" si="53"/>
        <v>0</v>
      </c>
      <c r="M179" s="1219">
        <f t="shared" si="53"/>
        <v>0</v>
      </c>
    </row>
    <row r="180" spans="1:13" ht="11.25" customHeight="1" x14ac:dyDescent="0.25">
      <c r="B180" s="1162"/>
      <c r="C180" s="1167" t="s">
        <v>1177</v>
      </c>
      <c r="D180" s="356"/>
      <c r="E180" s="1227">
        <f>E175+E179</f>
        <v>0</v>
      </c>
      <c r="F180" s="1223">
        <f t="shared" ref="F180:M180" si="54">F175+F179</f>
        <v>0</v>
      </c>
      <c r="G180" s="1224">
        <f t="shared" si="54"/>
        <v>0</v>
      </c>
      <c r="H180" s="1225">
        <f t="shared" si="54"/>
        <v>0</v>
      </c>
      <c r="I180" s="1223">
        <f t="shared" si="54"/>
        <v>0</v>
      </c>
      <c r="J180" s="1226">
        <f t="shared" si="54"/>
        <v>0</v>
      </c>
      <c r="K180" s="1227">
        <f t="shared" si="54"/>
        <v>0</v>
      </c>
      <c r="L180" s="1223">
        <f t="shared" si="54"/>
        <v>0</v>
      </c>
      <c r="M180" s="1224">
        <f t="shared" si="54"/>
        <v>0</v>
      </c>
    </row>
    <row r="181" spans="1:13" ht="11.25" customHeight="1" x14ac:dyDescent="0.25">
      <c r="A181" s="1543" t="s">
        <v>1851</v>
      </c>
      <c r="B181" s="1162"/>
      <c r="C181" s="1165" t="s">
        <v>594</v>
      </c>
      <c r="D181" s="356"/>
      <c r="E181" s="1232"/>
      <c r="F181" s="1228"/>
      <c r="G181" s="1231"/>
      <c r="H181" s="1230"/>
      <c r="I181" s="1228"/>
      <c r="J181" s="1231"/>
      <c r="K181" s="1232"/>
      <c r="L181" s="1228"/>
      <c r="M181" s="1229"/>
    </row>
    <row r="182" spans="1:13" ht="11.25" customHeight="1" x14ac:dyDescent="0.25">
      <c r="B182" s="1162"/>
      <c r="C182" s="1101" t="s">
        <v>1088</v>
      </c>
      <c r="D182" s="356"/>
      <c r="E182" s="927"/>
      <c r="F182" s="924"/>
      <c r="G182" s="925"/>
      <c r="H182" s="1212"/>
      <c r="I182" s="924"/>
      <c r="J182" s="926"/>
      <c r="K182" s="927"/>
      <c r="L182" s="924"/>
      <c r="M182" s="925"/>
    </row>
    <row r="183" spans="1:13" ht="11.25" customHeight="1" x14ac:dyDescent="0.25">
      <c r="B183" s="1162"/>
      <c r="C183" s="1101" t="s">
        <v>439</v>
      </c>
      <c r="D183" s="356"/>
      <c r="E183" s="927"/>
      <c r="F183" s="924"/>
      <c r="G183" s="925"/>
      <c r="H183" s="1212"/>
      <c r="I183" s="924"/>
      <c r="J183" s="926"/>
      <c r="K183" s="927"/>
      <c r="L183" s="924"/>
      <c r="M183" s="925"/>
    </row>
    <row r="184" spans="1:13" ht="11.25" customHeight="1" x14ac:dyDescent="0.25">
      <c r="B184" s="1162"/>
      <c r="C184" s="1166" t="s">
        <v>324</v>
      </c>
      <c r="D184" s="356"/>
      <c r="E184" s="1217">
        <f>SUM(E182:E183)</f>
        <v>0</v>
      </c>
      <c r="F184" s="1213">
        <f t="shared" ref="F184:M184" si="55">SUM(F182:F183)</f>
        <v>0</v>
      </c>
      <c r="G184" s="1214">
        <f t="shared" si="55"/>
        <v>0</v>
      </c>
      <c r="H184" s="1215">
        <f t="shared" si="55"/>
        <v>0</v>
      </c>
      <c r="I184" s="1213">
        <f t="shared" si="55"/>
        <v>0</v>
      </c>
      <c r="J184" s="1216">
        <f t="shared" si="55"/>
        <v>0</v>
      </c>
      <c r="K184" s="1217">
        <f t="shared" si="55"/>
        <v>0</v>
      </c>
      <c r="L184" s="1213">
        <f t="shared" si="55"/>
        <v>0</v>
      </c>
      <c r="M184" s="1214">
        <f t="shared" si="55"/>
        <v>0</v>
      </c>
    </row>
    <row r="185" spans="1:13" ht="11.25" customHeight="1" x14ac:dyDescent="0.25">
      <c r="B185" s="1162"/>
      <c r="C185" s="1101" t="s">
        <v>440</v>
      </c>
      <c r="D185" s="356"/>
      <c r="E185" s="927"/>
      <c r="F185" s="924"/>
      <c r="G185" s="925"/>
      <c r="H185" s="1212"/>
      <c r="I185" s="924"/>
      <c r="J185" s="926"/>
      <c r="K185" s="927"/>
      <c r="L185" s="924"/>
      <c r="M185" s="925"/>
    </row>
    <row r="186" spans="1:13" ht="11.25" customHeight="1" x14ac:dyDescent="0.25">
      <c r="B186" s="1162"/>
      <c r="C186" s="1101" t="s">
        <v>441</v>
      </c>
      <c r="D186" s="356"/>
      <c r="E186" s="927"/>
      <c r="F186" s="924"/>
      <c r="G186" s="925"/>
      <c r="H186" s="1212"/>
      <c r="I186" s="924"/>
      <c r="J186" s="926"/>
      <c r="K186" s="927"/>
      <c r="L186" s="924"/>
      <c r="M186" s="925"/>
    </row>
    <row r="187" spans="1:13" ht="11.25" customHeight="1" x14ac:dyDescent="0.25">
      <c r="B187" s="1162"/>
      <c r="C187" s="1101" t="s">
        <v>595</v>
      </c>
      <c r="D187" s="356"/>
      <c r="E187" s="927"/>
      <c r="F187" s="924"/>
      <c r="G187" s="925"/>
      <c r="H187" s="1212"/>
      <c r="I187" s="924"/>
      <c r="J187" s="926"/>
      <c r="K187" s="927"/>
      <c r="L187" s="924"/>
      <c r="M187" s="925"/>
    </row>
    <row r="188" spans="1:13" ht="11.25" customHeight="1" x14ac:dyDescent="0.25">
      <c r="B188" s="1162"/>
      <c r="C188" s="1166" t="s">
        <v>1141</v>
      </c>
      <c r="D188" s="356"/>
      <c r="E188" s="1222">
        <f>SUM(E185:E187)</f>
        <v>0</v>
      </c>
      <c r="F188" s="1218">
        <f t="shared" ref="F188:M188" si="56">SUM(F185:F187)</f>
        <v>0</v>
      </c>
      <c r="G188" s="1219">
        <f t="shared" si="56"/>
        <v>0</v>
      </c>
      <c r="H188" s="1220">
        <f t="shared" si="56"/>
        <v>0</v>
      </c>
      <c r="I188" s="1218">
        <f t="shared" si="56"/>
        <v>0</v>
      </c>
      <c r="J188" s="1221">
        <f t="shared" si="56"/>
        <v>0</v>
      </c>
      <c r="K188" s="1222">
        <f t="shared" si="56"/>
        <v>0</v>
      </c>
      <c r="L188" s="1218">
        <f t="shared" si="56"/>
        <v>0</v>
      </c>
      <c r="M188" s="1219">
        <f t="shared" si="56"/>
        <v>0</v>
      </c>
    </row>
    <row r="189" spans="1:13" ht="11.25" customHeight="1" x14ac:dyDescent="0.25">
      <c r="B189" s="1162"/>
      <c r="C189" s="1167" t="s">
        <v>1177</v>
      </c>
      <c r="D189" s="356"/>
      <c r="E189" s="1227">
        <f>E184+E188</f>
        <v>0</v>
      </c>
      <c r="F189" s="1223">
        <f t="shared" ref="F189:M189" si="57">F184+F188</f>
        <v>0</v>
      </c>
      <c r="G189" s="1224">
        <f t="shared" si="57"/>
        <v>0</v>
      </c>
      <c r="H189" s="1225">
        <f t="shared" si="57"/>
        <v>0</v>
      </c>
      <c r="I189" s="1223">
        <f t="shared" si="57"/>
        <v>0</v>
      </c>
      <c r="J189" s="1226">
        <f t="shared" si="57"/>
        <v>0</v>
      </c>
      <c r="K189" s="1227">
        <f t="shared" si="57"/>
        <v>0</v>
      </c>
      <c r="L189" s="1223">
        <f t="shared" si="57"/>
        <v>0</v>
      </c>
      <c r="M189" s="1224">
        <f t="shared" si="57"/>
        <v>0</v>
      </c>
    </row>
    <row r="190" spans="1:13" ht="11.25" customHeight="1" x14ac:dyDescent="0.25">
      <c r="A190" s="1543" t="s">
        <v>1851</v>
      </c>
      <c r="B190" s="1162"/>
      <c r="C190" s="1165" t="s">
        <v>597</v>
      </c>
      <c r="D190" s="356"/>
      <c r="E190" s="1232"/>
      <c r="F190" s="1228"/>
      <c r="G190" s="1231"/>
      <c r="H190" s="1230"/>
      <c r="I190" s="1228"/>
      <c r="J190" s="1231"/>
      <c r="K190" s="1232"/>
      <c r="L190" s="1228"/>
      <c r="M190" s="1229"/>
    </row>
    <row r="191" spans="1:13" ht="11.25" customHeight="1" x14ac:dyDescent="0.25">
      <c r="B191" s="1162"/>
      <c r="C191" s="1101" t="s">
        <v>642</v>
      </c>
      <c r="D191" s="356"/>
      <c r="E191" s="930"/>
      <c r="F191" s="928"/>
      <c r="G191" s="929"/>
      <c r="H191" s="1233"/>
      <c r="I191" s="928"/>
      <c r="J191" s="1234"/>
      <c r="K191" s="930"/>
      <c r="L191" s="928"/>
      <c r="M191" s="929"/>
    </row>
    <row r="192" spans="1:13" ht="11.25" customHeight="1" x14ac:dyDescent="0.25">
      <c r="B192" s="1162"/>
      <c r="C192" s="1166" t="s">
        <v>324</v>
      </c>
      <c r="D192" s="356"/>
      <c r="E192" s="1232">
        <f>SUM(E191)</f>
        <v>0</v>
      </c>
      <c r="F192" s="1228">
        <f t="shared" ref="F192:M192" si="58">SUM(F191)</f>
        <v>0</v>
      </c>
      <c r="G192" s="1229">
        <f t="shared" si="58"/>
        <v>0</v>
      </c>
      <c r="H192" s="1230">
        <f t="shared" si="58"/>
        <v>0</v>
      </c>
      <c r="I192" s="1228">
        <f t="shared" si="58"/>
        <v>0</v>
      </c>
      <c r="J192" s="1231">
        <f t="shared" si="58"/>
        <v>0</v>
      </c>
      <c r="K192" s="1232">
        <f t="shared" si="58"/>
        <v>0</v>
      </c>
      <c r="L192" s="1228">
        <f t="shared" si="58"/>
        <v>0</v>
      </c>
      <c r="M192" s="1229">
        <f t="shared" si="58"/>
        <v>0</v>
      </c>
    </row>
    <row r="193" spans="1:13" ht="11.25" customHeight="1" x14ac:dyDescent="0.25">
      <c r="B193" s="1162"/>
      <c r="C193" s="1101" t="s">
        <v>598</v>
      </c>
      <c r="D193" s="356"/>
      <c r="E193" s="927"/>
      <c r="F193" s="924"/>
      <c r="G193" s="925"/>
      <c r="H193" s="1212"/>
      <c r="I193" s="924"/>
      <c r="J193" s="926"/>
      <c r="K193" s="927"/>
      <c r="L193" s="924"/>
      <c r="M193" s="925"/>
    </row>
    <row r="194" spans="1:13" ht="11.25" customHeight="1" x14ac:dyDescent="0.25">
      <c r="B194" s="1162"/>
      <c r="C194" s="1101" t="s">
        <v>599</v>
      </c>
      <c r="D194" s="356"/>
      <c r="E194" s="927"/>
      <c r="F194" s="924"/>
      <c r="G194" s="925"/>
      <c r="H194" s="1212"/>
      <c r="I194" s="924"/>
      <c r="J194" s="926"/>
      <c r="K194" s="927"/>
      <c r="L194" s="924"/>
      <c r="M194" s="925"/>
    </row>
    <row r="195" spans="1:13" ht="11.25" customHeight="1" x14ac:dyDescent="0.25">
      <c r="B195" s="1162"/>
      <c r="C195" s="1101" t="s">
        <v>766</v>
      </c>
      <c r="D195" s="356"/>
      <c r="E195" s="927"/>
      <c r="F195" s="924"/>
      <c r="G195" s="925"/>
      <c r="H195" s="1212"/>
      <c r="I195" s="924"/>
      <c r="J195" s="926"/>
      <c r="K195" s="927"/>
      <c r="L195" s="924"/>
      <c r="M195" s="925"/>
    </row>
    <row r="196" spans="1:13" ht="11.25" customHeight="1" x14ac:dyDescent="0.25">
      <c r="B196" s="1162"/>
      <c r="C196" s="1101" t="s">
        <v>767</v>
      </c>
      <c r="D196" s="356"/>
      <c r="E196" s="927"/>
      <c r="F196" s="924"/>
      <c r="G196" s="925"/>
      <c r="H196" s="1212"/>
      <c r="I196" s="924"/>
      <c r="J196" s="926"/>
      <c r="K196" s="927"/>
      <c r="L196" s="924"/>
      <c r="M196" s="925"/>
    </row>
    <row r="197" spans="1:13" ht="11.25" customHeight="1" x14ac:dyDescent="0.25">
      <c r="B197" s="1162"/>
      <c r="C197" s="1101" t="s">
        <v>171</v>
      </c>
      <c r="D197" s="356"/>
      <c r="E197" s="927"/>
      <c r="F197" s="924"/>
      <c r="G197" s="925"/>
      <c r="H197" s="1212"/>
      <c r="I197" s="924"/>
      <c r="J197" s="926"/>
      <c r="K197" s="927"/>
      <c r="L197" s="924"/>
      <c r="M197" s="925"/>
    </row>
    <row r="198" spans="1:13" ht="11.25" customHeight="1" x14ac:dyDescent="0.25">
      <c r="B198" s="1162"/>
      <c r="C198" s="1166" t="s">
        <v>1141</v>
      </c>
      <c r="D198" s="356"/>
      <c r="E198" s="1222">
        <f t="shared" ref="E198:M198" si="59">SUM(E193:E197)</f>
        <v>0</v>
      </c>
      <c r="F198" s="1218">
        <f t="shared" si="59"/>
        <v>0</v>
      </c>
      <c r="G198" s="1219">
        <f t="shared" si="59"/>
        <v>0</v>
      </c>
      <c r="H198" s="1220">
        <f t="shared" si="59"/>
        <v>0</v>
      </c>
      <c r="I198" s="1218">
        <f t="shared" si="59"/>
        <v>0</v>
      </c>
      <c r="J198" s="1221">
        <f t="shared" si="59"/>
        <v>0</v>
      </c>
      <c r="K198" s="1222">
        <f t="shared" si="59"/>
        <v>0</v>
      </c>
      <c r="L198" s="1218">
        <f t="shared" si="59"/>
        <v>0</v>
      </c>
      <c r="M198" s="1219">
        <f t="shared" si="59"/>
        <v>0</v>
      </c>
    </row>
    <row r="199" spans="1:13" ht="11.25" customHeight="1" x14ac:dyDescent="0.25">
      <c r="B199" s="1162"/>
      <c r="C199" s="1167" t="s">
        <v>1177</v>
      </c>
      <c r="D199" s="356"/>
      <c r="E199" s="1227">
        <f>E192+E198</f>
        <v>0</v>
      </c>
      <c r="F199" s="1223">
        <f t="shared" ref="F199:M199" si="60">F192+F198</f>
        <v>0</v>
      </c>
      <c r="G199" s="1224">
        <f t="shared" si="60"/>
        <v>0</v>
      </c>
      <c r="H199" s="1225">
        <f t="shared" si="60"/>
        <v>0</v>
      </c>
      <c r="I199" s="1223">
        <f t="shared" si="60"/>
        <v>0</v>
      </c>
      <c r="J199" s="1226">
        <f t="shared" si="60"/>
        <v>0</v>
      </c>
      <c r="K199" s="1227">
        <f t="shared" si="60"/>
        <v>0</v>
      </c>
      <c r="L199" s="1223">
        <f t="shared" si="60"/>
        <v>0</v>
      </c>
      <c r="M199" s="1224">
        <f t="shared" si="60"/>
        <v>0</v>
      </c>
    </row>
    <row r="200" spans="1:13" ht="4.9000000000000004" customHeight="1" x14ac:dyDescent="0.25">
      <c r="B200" s="1162"/>
      <c r="C200" s="1168"/>
      <c r="D200" s="1179"/>
      <c r="E200" s="698"/>
      <c r="F200" s="694"/>
      <c r="G200" s="695"/>
      <c r="H200" s="696"/>
      <c r="I200" s="694"/>
      <c r="J200" s="697"/>
      <c r="K200" s="698"/>
      <c r="L200" s="694"/>
      <c r="M200" s="695"/>
    </row>
    <row r="201" spans="1:13" ht="25.15" customHeight="1" x14ac:dyDescent="0.25">
      <c r="A201" s="1945" t="s">
        <v>1852</v>
      </c>
      <c r="B201" s="1157"/>
      <c r="C201" s="1158"/>
      <c r="D201" s="1159"/>
      <c r="E201" s="565" t="str">
        <f>head1b</f>
        <v>2015/16</v>
      </c>
      <c r="F201" s="26" t="str">
        <f>head1A</f>
        <v>2016/17</v>
      </c>
      <c r="G201" s="22" t="str">
        <f>Head1</f>
        <v>2017/18</v>
      </c>
      <c r="H201" s="1904" t="str">
        <f>Head2</f>
        <v>Current Year 2018/19</v>
      </c>
      <c r="I201" s="1905"/>
      <c r="J201" s="1906"/>
      <c r="K201" s="1904" t="str">
        <f>Head3</f>
        <v>2019/20 Medium Term Revenue &amp; Expenditure Framework</v>
      </c>
      <c r="L201" s="1905"/>
      <c r="M201" s="1906"/>
    </row>
    <row r="202" spans="1:13" ht="25.15" customHeight="1" x14ac:dyDescent="0.25">
      <c r="A202" s="1945"/>
      <c r="B202" s="1160" t="s">
        <v>1764</v>
      </c>
      <c r="C202" s="904"/>
      <c r="D202" s="905"/>
      <c r="E202" s="1161" t="str">
        <f>Head5A</f>
        <v>Outcome</v>
      </c>
      <c r="F202" s="28" t="str">
        <f>Head5A</f>
        <v>Outcome</v>
      </c>
      <c r="G202" s="29" t="str">
        <f>Head5A</f>
        <v>Outcome</v>
      </c>
      <c r="H202" s="27" t="str">
        <f>Head6</f>
        <v>Original Budget</v>
      </c>
      <c r="I202" s="28" t="str">
        <f>Head7</f>
        <v>Adjusted Budget</v>
      </c>
      <c r="J202" s="29" t="str">
        <f>Head8</f>
        <v>Full Year Forecast</v>
      </c>
      <c r="K202" s="27" t="str">
        <f>Head9</f>
        <v>Budget Year 2019/20</v>
      </c>
      <c r="L202" s="28" t="str">
        <f>Head10</f>
        <v>Budget Year +1 2020/21</v>
      </c>
      <c r="M202" s="29" t="str">
        <f>Head11</f>
        <v>Budget Year +2 2021/22</v>
      </c>
    </row>
    <row r="203" spans="1:13" ht="11.25" customHeight="1" x14ac:dyDescent="0.25">
      <c r="A203" s="1169" t="s">
        <v>1853</v>
      </c>
      <c r="B203" s="1162"/>
      <c r="C203" s="364" t="s">
        <v>173</v>
      </c>
      <c r="D203" s="356"/>
      <c r="E203" s="330"/>
      <c r="F203" s="1163"/>
      <c r="G203" s="1164"/>
      <c r="H203" s="478"/>
      <c r="I203" s="476"/>
      <c r="J203" s="479"/>
      <c r="K203" s="480"/>
      <c r="L203" s="476"/>
      <c r="M203" s="477"/>
    </row>
    <row r="204" spans="1:13" ht="11.25" customHeight="1" x14ac:dyDescent="0.25">
      <c r="A204" s="923"/>
      <c r="B204" s="1162"/>
      <c r="C204" s="1165" t="s">
        <v>1635</v>
      </c>
      <c r="D204" s="356"/>
      <c r="E204" s="89"/>
      <c r="F204" s="86"/>
      <c r="G204" s="85"/>
      <c r="H204" s="78"/>
      <c r="I204" s="76"/>
      <c r="J204" s="75"/>
      <c r="K204" s="79"/>
      <c r="L204" s="76"/>
      <c r="M204" s="77"/>
    </row>
    <row r="205" spans="1:13" ht="11.25" customHeight="1" x14ac:dyDescent="0.25">
      <c r="A205" s="923"/>
      <c r="B205" s="1162"/>
      <c r="C205" s="1101" t="s">
        <v>1466</v>
      </c>
      <c r="D205" s="356"/>
      <c r="E205" s="927"/>
      <c r="F205" s="924"/>
      <c r="G205" s="925"/>
      <c r="H205" s="1212"/>
      <c r="I205" s="924"/>
      <c r="J205" s="926"/>
      <c r="K205" s="927"/>
      <c r="L205" s="924"/>
      <c r="M205" s="925"/>
    </row>
    <row r="206" spans="1:13" ht="11.25" customHeight="1" x14ac:dyDescent="0.25">
      <c r="A206" s="923"/>
      <c r="B206" s="1162"/>
      <c r="C206" s="1101" t="s">
        <v>1634</v>
      </c>
      <c r="D206" s="356"/>
      <c r="E206" s="927"/>
      <c r="F206" s="924"/>
      <c r="G206" s="925"/>
      <c r="H206" s="1212"/>
      <c r="I206" s="924"/>
      <c r="J206" s="926"/>
      <c r="K206" s="927"/>
      <c r="L206" s="924"/>
      <c r="M206" s="925"/>
    </row>
    <row r="207" spans="1:13" ht="11.25" customHeight="1" x14ac:dyDescent="0.25">
      <c r="A207" s="923"/>
      <c r="B207" s="1162">
        <v>8</v>
      </c>
      <c r="C207" s="1101" t="s">
        <v>112</v>
      </c>
      <c r="D207" s="356"/>
      <c r="E207" s="927"/>
      <c r="F207" s="924"/>
      <c r="G207" s="925"/>
      <c r="H207" s="1212"/>
      <c r="I207" s="924"/>
      <c r="J207" s="926"/>
      <c r="K207" s="927"/>
      <c r="L207" s="924"/>
      <c r="M207" s="925"/>
    </row>
    <row r="208" spans="1:13" ht="11.25" customHeight="1" x14ac:dyDescent="0.25">
      <c r="A208" s="923"/>
      <c r="B208" s="1162">
        <v>10</v>
      </c>
      <c r="C208" s="1101" t="s">
        <v>113</v>
      </c>
      <c r="D208" s="356"/>
      <c r="E208" s="927"/>
      <c r="F208" s="924"/>
      <c r="G208" s="925"/>
      <c r="H208" s="1212"/>
      <c r="I208" s="924"/>
      <c r="J208" s="926"/>
      <c r="K208" s="927"/>
      <c r="L208" s="924"/>
      <c r="M208" s="925"/>
    </row>
    <row r="209" spans="1:13" ht="11.25" customHeight="1" x14ac:dyDescent="0.25">
      <c r="A209" s="923"/>
      <c r="B209" s="1162"/>
      <c r="C209" s="1166" t="s">
        <v>324</v>
      </c>
      <c r="D209" s="356"/>
      <c r="E209" s="1217">
        <f>SUM(E205:E208)</f>
        <v>0</v>
      </c>
      <c r="F209" s="1213">
        <f t="shared" ref="F209:M209" si="61">SUM(F205:F208)</f>
        <v>0</v>
      </c>
      <c r="G209" s="1214">
        <f t="shared" si="61"/>
        <v>0</v>
      </c>
      <c r="H209" s="1215">
        <f t="shared" si="61"/>
        <v>0</v>
      </c>
      <c r="I209" s="1213">
        <f t="shared" si="61"/>
        <v>0</v>
      </c>
      <c r="J209" s="1216">
        <f t="shared" si="61"/>
        <v>0</v>
      </c>
      <c r="K209" s="1217">
        <f t="shared" si="61"/>
        <v>0</v>
      </c>
      <c r="L209" s="1213">
        <f t="shared" si="61"/>
        <v>0</v>
      </c>
      <c r="M209" s="1214">
        <f t="shared" si="61"/>
        <v>0</v>
      </c>
    </row>
    <row r="210" spans="1:13" ht="11.25" customHeight="1" x14ac:dyDescent="0.25">
      <c r="A210" s="923"/>
      <c r="B210" s="1162">
        <v>9</v>
      </c>
      <c r="C210" s="1101" t="s">
        <v>437</v>
      </c>
      <c r="D210" s="356"/>
      <c r="E210" s="927"/>
      <c r="F210" s="924"/>
      <c r="G210" s="925"/>
      <c r="H210" s="1212"/>
      <c r="I210" s="924"/>
      <c r="J210" s="926"/>
      <c r="K210" s="927"/>
      <c r="L210" s="924"/>
      <c r="M210" s="925"/>
    </row>
    <row r="211" spans="1:13" ht="11.25" customHeight="1" x14ac:dyDescent="0.25">
      <c r="A211" s="923"/>
      <c r="B211" s="1162">
        <v>10</v>
      </c>
      <c r="C211" s="1101" t="s">
        <v>438</v>
      </c>
      <c r="D211" s="356"/>
      <c r="E211" s="927"/>
      <c r="F211" s="924"/>
      <c r="G211" s="925"/>
      <c r="H211" s="1212"/>
      <c r="I211" s="924"/>
      <c r="J211" s="926"/>
      <c r="K211" s="927"/>
      <c r="L211" s="924"/>
      <c r="M211" s="925"/>
    </row>
    <row r="212" spans="1:13" ht="11.25" customHeight="1" x14ac:dyDescent="0.25">
      <c r="A212" s="923"/>
      <c r="B212" s="1162"/>
      <c r="C212" s="1101" t="s">
        <v>850</v>
      </c>
      <c r="D212" s="356"/>
      <c r="E212" s="927"/>
      <c r="F212" s="924"/>
      <c r="G212" s="925"/>
      <c r="H212" s="1212"/>
      <c r="I212" s="924"/>
      <c r="J212" s="926"/>
      <c r="K212" s="927"/>
      <c r="L212" s="924"/>
      <c r="M212" s="925"/>
    </row>
    <row r="213" spans="1:13" ht="11.25" customHeight="1" x14ac:dyDescent="0.25">
      <c r="A213" s="923"/>
      <c r="B213" s="1162"/>
      <c r="C213" s="1166" t="s">
        <v>1141</v>
      </c>
      <c r="D213" s="356"/>
      <c r="E213" s="1222">
        <f>SUM(E210:E212)</f>
        <v>0</v>
      </c>
      <c r="F213" s="1218">
        <f t="shared" ref="F213:M213" si="62">SUM(F210:F212)</f>
        <v>0</v>
      </c>
      <c r="G213" s="1219">
        <f t="shared" si="62"/>
        <v>0</v>
      </c>
      <c r="H213" s="1220">
        <f t="shared" si="62"/>
        <v>0</v>
      </c>
      <c r="I213" s="1218">
        <f t="shared" si="62"/>
        <v>0</v>
      </c>
      <c r="J213" s="1221">
        <f t="shared" si="62"/>
        <v>0</v>
      </c>
      <c r="K213" s="1222">
        <f t="shared" si="62"/>
        <v>0</v>
      </c>
      <c r="L213" s="1218">
        <f t="shared" si="62"/>
        <v>0</v>
      </c>
      <c r="M213" s="1219">
        <f t="shared" si="62"/>
        <v>0</v>
      </c>
    </row>
    <row r="214" spans="1:13" ht="11.25" customHeight="1" x14ac:dyDescent="0.25">
      <c r="B214" s="1162"/>
      <c r="C214" s="1167" t="s">
        <v>1177</v>
      </c>
      <c r="D214" s="356"/>
      <c r="E214" s="1227">
        <f>E209+E213</f>
        <v>0</v>
      </c>
      <c r="F214" s="1223">
        <f t="shared" ref="F214:M214" si="63">F209+F213</f>
        <v>0</v>
      </c>
      <c r="G214" s="1224">
        <f t="shared" si="63"/>
        <v>0</v>
      </c>
      <c r="H214" s="1225">
        <f t="shared" si="63"/>
        <v>0</v>
      </c>
      <c r="I214" s="1223">
        <f t="shared" si="63"/>
        <v>0</v>
      </c>
      <c r="J214" s="1226">
        <f t="shared" si="63"/>
        <v>0</v>
      </c>
      <c r="K214" s="1227">
        <f t="shared" si="63"/>
        <v>0</v>
      </c>
      <c r="L214" s="1223">
        <f t="shared" si="63"/>
        <v>0</v>
      </c>
      <c r="M214" s="1224">
        <f t="shared" si="63"/>
        <v>0</v>
      </c>
    </row>
    <row r="215" spans="1:13" ht="11.25" customHeight="1" x14ac:dyDescent="0.25">
      <c r="A215" s="1169" t="s">
        <v>1853</v>
      </c>
      <c r="B215" s="1162"/>
      <c r="C215" s="1165" t="s">
        <v>1178</v>
      </c>
      <c r="D215" s="356"/>
      <c r="E215" s="1232"/>
      <c r="F215" s="1228"/>
      <c r="G215" s="1231"/>
      <c r="H215" s="1230"/>
      <c r="I215" s="1228"/>
      <c r="J215" s="1231"/>
      <c r="K215" s="1232"/>
      <c r="L215" s="1228"/>
      <c r="M215" s="1229"/>
    </row>
    <row r="216" spans="1:13" ht="11.25" customHeight="1" x14ac:dyDescent="0.25">
      <c r="A216" s="923"/>
      <c r="B216" s="1162"/>
      <c r="C216" s="1101" t="s">
        <v>1179</v>
      </c>
      <c r="D216" s="356"/>
      <c r="E216" s="927"/>
      <c r="F216" s="924"/>
      <c r="G216" s="925"/>
      <c r="H216" s="1212"/>
      <c r="I216" s="924"/>
      <c r="J216" s="926"/>
      <c r="K216" s="927"/>
      <c r="L216" s="924"/>
      <c r="M216" s="925"/>
    </row>
    <row r="217" spans="1:13" ht="11.25" customHeight="1" x14ac:dyDescent="0.25">
      <c r="A217" s="923"/>
      <c r="B217" s="1162"/>
      <c r="C217" s="1101" t="s">
        <v>1180</v>
      </c>
      <c r="D217" s="356"/>
      <c r="E217" s="927"/>
      <c r="F217" s="924"/>
      <c r="G217" s="925"/>
      <c r="H217" s="1212"/>
      <c r="I217" s="924"/>
      <c r="J217" s="926"/>
      <c r="K217" s="927"/>
      <c r="L217" s="924"/>
      <c r="M217" s="925"/>
    </row>
    <row r="218" spans="1:13" ht="11.25" customHeight="1" x14ac:dyDescent="0.25">
      <c r="A218" s="923"/>
      <c r="B218" s="1162"/>
      <c r="C218" s="1101" t="s">
        <v>1247</v>
      </c>
      <c r="D218" s="356"/>
      <c r="E218" s="927"/>
      <c r="F218" s="924"/>
      <c r="G218" s="925"/>
      <c r="H218" s="1212"/>
      <c r="I218" s="924"/>
      <c r="J218" s="926"/>
      <c r="K218" s="927"/>
      <c r="L218" s="924"/>
      <c r="M218" s="925"/>
    </row>
    <row r="219" spans="1:13" ht="11.25" customHeight="1" x14ac:dyDescent="0.25">
      <c r="A219" s="923"/>
      <c r="B219" s="1162"/>
      <c r="C219" s="1101" t="s">
        <v>212</v>
      </c>
      <c r="D219" s="356"/>
      <c r="E219" s="927"/>
      <c r="F219" s="924"/>
      <c r="G219" s="925"/>
      <c r="H219" s="1212"/>
      <c r="I219" s="924"/>
      <c r="J219" s="926"/>
      <c r="K219" s="927"/>
      <c r="L219" s="924"/>
      <c r="M219" s="925"/>
    </row>
    <row r="220" spans="1:13" ht="11.25" customHeight="1" x14ac:dyDescent="0.25">
      <c r="A220" s="923"/>
      <c r="B220" s="1162"/>
      <c r="C220" s="1101" t="s">
        <v>214</v>
      </c>
      <c r="D220" s="356"/>
      <c r="E220" s="927"/>
      <c r="F220" s="924"/>
      <c r="G220" s="925"/>
      <c r="H220" s="1212"/>
      <c r="I220" s="924"/>
      <c r="J220" s="926"/>
      <c r="K220" s="927"/>
      <c r="L220" s="924"/>
      <c r="M220" s="925"/>
    </row>
    <row r="221" spans="1:13" ht="11.25" customHeight="1" x14ac:dyDescent="0.25">
      <c r="A221" s="923"/>
      <c r="B221" s="1162"/>
      <c r="C221" s="1166" t="s">
        <v>324</v>
      </c>
      <c r="D221" s="356"/>
      <c r="E221" s="1217">
        <f>SUM(E216:E220)</f>
        <v>0</v>
      </c>
      <c r="F221" s="1213">
        <f t="shared" ref="F221:M221" si="64">SUM(F216:F220)</f>
        <v>0</v>
      </c>
      <c r="G221" s="1214">
        <f t="shared" si="64"/>
        <v>0</v>
      </c>
      <c r="H221" s="1215">
        <f t="shared" si="64"/>
        <v>0</v>
      </c>
      <c r="I221" s="1213">
        <f t="shared" si="64"/>
        <v>0</v>
      </c>
      <c r="J221" s="1216">
        <f t="shared" si="64"/>
        <v>0</v>
      </c>
      <c r="K221" s="1217">
        <f t="shared" si="64"/>
        <v>0</v>
      </c>
      <c r="L221" s="1213">
        <f t="shared" si="64"/>
        <v>0</v>
      </c>
      <c r="M221" s="1214">
        <f t="shared" si="64"/>
        <v>0</v>
      </c>
    </row>
    <row r="222" spans="1:13" ht="11.25" customHeight="1" x14ac:dyDescent="0.25">
      <c r="A222" s="923"/>
      <c r="B222" s="1162"/>
      <c r="C222" s="1101" t="s">
        <v>213</v>
      </c>
      <c r="D222" s="356"/>
      <c r="E222" s="927"/>
      <c r="F222" s="924"/>
      <c r="G222" s="925"/>
      <c r="H222" s="1212"/>
      <c r="I222" s="924"/>
      <c r="J222" s="926"/>
      <c r="K222" s="927"/>
      <c r="L222" s="924"/>
      <c r="M222" s="925"/>
    </row>
    <row r="223" spans="1:13" ht="11.25" customHeight="1" x14ac:dyDescent="0.25">
      <c r="A223" s="923"/>
      <c r="B223" s="1162"/>
      <c r="C223" s="1101" t="s">
        <v>1087</v>
      </c>
      <c r="D223" s="356"/>
      <c r="E223" s="927"/>
      <c r="F223" s="924"/>
      <c r="G223" s="925"/>
      <c r="H223" s="1212"/>
      <c r="I223" s="924"/>
      <c r="J223" s="926"/>
      <c r="K223" s="927"/>
      <c r="L223" s="924"/>
      <c r="M223" s="925"/>
    </row>
    <row r="224" spans="1:13" ht="11.25" customHeight="1" x14ac:dyDescent="0.25">
      <c r="A224" s="923"/>
      <c r="B224" s="1162"/>
      <c r="C224" s="1101" t="s">
        <v>1249</v>
      </c>
      <c r="D224" s="356"/>
      <c r="E224" s="927"/>
      <c r="F224" s="924"/>
      <c r="G224" s="925"/>
      <c r="H224" s="1212"/>
      <c r="I224" s="924"/>
      <c r="J224" s="926"/>
      <c r="K224" s="927"/>
      <c r="L224" s="924"/>
      <c r="M224" s="925"/>
    </row>
    <row r="225" spans="1:13" ht="11.25" customHeight="1" x14ac:dyDescent="0.25">
      <c r="A225" s="923"/>
      <c r="B225" s="1162"/>
      <c r="C225" s="1166" t="s">
        <v>1141</v>
      </c>
      <c r="D225" s="356"/>
      <c r="E225" s="1222">
        <f>SUM(E222:E224)</f>
        <v>0</v>
      </c>
      <c r="F225" s="1218">
        <f t="shared" ref="F225:M225" si="65">SUM(F222:F224)</f>
        <v>0</v>
      </c>
      <c r="G225" s="1219">
        <f t="shared" si="65"/>
        <v>0</v>
      </c>
      <c r="H225" s="1220">
        <f t="shared" si="65"/>
        <v>0</v>
      </c>
      <c r="I225" s="1218">
        <f t="shared" si="65"/>
        <v>0</v>
      </c>
      <c r="J225" s="1221">
        <f t="shared" si="65"/>
        <v>0</v>
      </c>
      <c r="K225" s="1222">
        <f t="shared" si="65"/>
        <v>0</v>
      </c>
      <c r="L225" s="1218">
        <f t="shared" si="65"/>
        <v>0</v>
      </c>
      <c r="M225" s="1219">
        <f t="shared" si="65"/>
        <v>0</v>
      </c>
    </row>
    <row r="226" spans="1:13" ht="11.25" customHeight="1" x14ac:dyDescent="0.25">
      <c r="B226" s="1162"/>
      <c r="C226" s="1167" t="s">
        <v>1177</v>
      </c>
      <c r="D226" s="356"/>
      <c r="E226" s="1227">
        <f>E221+E225</f>
        <v>0</v>
      </c>
      <c r="F226" s="1223">
        <f t="shared" ref="F226:M226" si="66">F221+F225</f>
        <v>0</v>
      </c>
      <c r="G226" s="1224">
        <f t="shared" si="66"/>
        <v>0</v>
      </c>
      <c r="H226" s="1225">
        <f t="shared" si="66"/>
        <v>0</v>
      </c>
      <c r="I226" s="1223">
        <f t="shared" si="66"/>
        <v>0</v>
      </c>
      <c r="J226" s="1226">
        <f t="shared" si="66"/>
        <v>0</v>
      </c>
      <c r="K226" s="1227">
        <f t="shared" si="66"/>
        <v>0</v>
      </c>
      <c r="L226" s="1223">
        <f t="shared" si="66"/>
        <v>0</v>
      </c>
      <c r="M226" s="1224">
        <f t="shared" si="66"/>
        <v>0</v>
      </c>
    </row>
    <row r="227" spans="1:13" ht="11.25" customHeight="1" x14ac:dyDescent="0.25">
      <c r="A227" s="1169" t="s">
        <v>1853</v>
      </c>
      <c r="B227" s="1162"/>
      <c r="C227" s="1165" t="s">
        <v>594</v>
      </c>
      <c r="D227" s="356"/>
      <c r="E227" s="1232"/>
      <c r="F227" s="1228"/>
      <c r="G227" s="1231"/>
      <c r="H227" s="1230"/>
      <c r="I227" s="1228"/>
      <c r="J227" s="1231"/>
      <c r="K227" s="1232"/>
      <c r="L227" s="1228"/>
      <c r="M227" s="1229"/>
    </row>
    <row r="228" spans="1:13" ht="11.25" customHeight="1" x14ac:dyDescent="0.25">
      <c r="A228" s="923"/>
      <c r="B228" s="1162"/>
      <c r="C228" s="1101" t="s">
        <v>1088</v>
      </c>
      <c r="D228" s="356"/>
      <c r="E228" s="927"/>
      <c r="F228" s="924"/>
      <c r="G228" s="925"/>
      <c r="H228" s="1212"/>
      <c r="I228" s="924"/>
      <c r="J228" s="926"/>
      <c r="K228" s="927"/>
      <c r="L228" s="924"/>
      <c r="M228" s="925"/>
    </row>
    <row r="229" spans="1:13" ht="11.25" customHeight="1" x14ac:dyDescent="0.25">
      <c r="A229" s="923"/>
      <c r="B229" s="1162"/>
      <c r="C229" s="1101" t="s">
        <v>439</v>
      </c>
      <c r="D229" s="356"/>
      <c r="E229" s="927"/>
      <c r="F229" s="924"/>
      <c r="G229" s="925"/>
      <c r="H229" s="1212"/>
      <c r="I229" s="924"/>
      <c r="J229" s="926"/>
      <c r="K229" s="927"/>
      <c r="L229" s="924"/>
      <c r="M229" s="925"/>
    </row>
    <row r="230" spans="1:13" ht="11.25" customHeight="1" x14ac:dyDescent="0.25">
      <c r="A230" s="923"/>
      <c r="B230" s="1162"/>
      <c r="C230" s="1166" t="s">
        <v>324</v>
      </c>
      <c r="D230" s="356"/>
      <c r="E230" s="1217">
        <f>SUM(E228:E229)</f>
        <v>0</v>
      </c>
      <c r="F230" s="1213">
        <f t="shared" ref="F230:M230" si="67">SUM(F228:F229)</f>
        <v>0</v>
      </c>
      <c r="G230" s="1214">
        <f t="shared" si="67"/>
        <v>0</v>
      </c>
      <c r="H230" s="1215">
        <f t="shared" si="67"/>
        <v>0</v>
      </c>
      <c r="I230" s="1213">
        <f t="shared" si="67"/>
        <v>0</v>
      </c>
      <c r="J230" s="1216">
        <f t="shared" si="67"/>
        <v>0</v>
      </c>
      <c r="K230" s="1217">
        <f t="shared" si="67"/>
        <v>0</v>
      </c>
      <c r="L230" s="1213">
        <f t="shared" si="67"/>
        <v>0</v>
      </c>
      <c r="M230" s="1214">
        <f t="shared" si="67"/>
        <v>0</v>
      </c>
    </row>
    <row r="231" spans="1:13" ht="11.25" customHeight="1" x14ac:dyDescent="0.25">
      <c r="A231" s="923"/>
      <c r="B231" s="1162"/>
      <c r="C231" s="1101" t="s">
        <v>440</v>
      </c>
      <c r="D231" s="356"/>
      <c r="E231" s="927"/>
      <c r="F231" s="924"/>
      <c r="G231" s="925"/>
      <c r="H231" s="1212"/>
      <c r="I231" s="924"/>
      <c r="J231" s="926"/>
      <c r="K231" s="927"/>
      <c r="L231" s="924"/>
      <c r="M231" s="925"/>
    </row>
    <row r="232" spans="1:13" ht="11.25" customHeight="1" x14ac:dyDescent="0.25">
      <c r="A232" s="923"/>
      <c r="B232" s="1162"/>
      <c r="C232" s="1101" t="s">
        <v>441</v>
      </c>
      <c r="D232" s="356"/>
      <c r="E232" s="927"/>
      <c r="F232" s="924"/>
      <c r="G232" s="925"/>
      <c r="H232" s="1212"/>
      <c r="I232" s="924"/>
      <c r="J232" s="926"/>
      <c r="K232" s="927"/>
      <c r="L232" s="924"/>
      <c r="M232" s="925"/>
    </row>
    <row r="233" spans="1:13" ht="11.25" customHeight="1" x14ac:dyDescent="0.25">
      <c r="A233" s="923"/>
      <c r="B233" s="1162"/>
      <c r="C233" s="1101" t="s">
        <v>595</v>
      </c>
      <c r="D233" s="356"/>
      <c r="E233" s="927"/>
      <c r="F233" s="924"/>
      <c r="G233" s="925"/>
      <c r="H233" s="1212"/>
      <c r="I233" s="924"/>
      <c r="J233" s="926"/>
      <c r="K233" s="927"/>
      <c r="L233" s="924"/>
      <c r="M233" s="925"/>
    </row>
    <row r="234" spans="1:13" ht="11.25" customHeight="1" x14ac:dyDescent="0.25">
      <c r="A234" s="923"/>
      <c r="B234" s="1162"/>
      <c r="C234" s="1166" t="s">
        <v>1141</v>
      </c>
      <c r="D234" s="356"/>
      <c r="E234" s="1222">
        <f>SUM(E231:E233)</f>
        <v>0</v>
      </c>
      <c r="F234" s="1218">
        <f t="shared" ref="F234:M234" si="68">SUM(F231:F233)</f>
        <v>0</v>
      </c>
      <c r="G234" s="1219">
        <f t="shared" si="68"/>
        <v>0</v>
      </c>
      <c r="H234" s="1220">
        <f t="shared" si="68"/>
        <v>0</v>
      </c>
      <c r="I234" s="1218">
        <f t="shared" si="68"/>
        <v>0</v>
      </c>
      <c r="J234" s="1221">
        <f t="shared" si="68"/>
        <v>0</v>
      </c>
      <c r="K234" s="1222">
        <f t="shared" si="68"/>
        <v>0</v>
      </c>
      <c r="L234" s="1218">
        <f t="shared" si="68"/>
        <v>0</v>
      </c>
      <c r="M234" s="1219">
        <f t="shared" si="68"/>
        <v>0</v>
      </c>
    </row>
    <row r="235" spans="1:13" ht="11.25" customHeight="1" x14ac:dyDescent="0.25">
      <c r="A235" s="1170"/>
      <c r="B235" s="1162"/>
      <c r="C235" s="1167" t="s">
        <v>1177</v>
      </c>
      <c r="D235" s="356"/>
      <c r="E235" s="1227">
        <f>E230+E234</f>
        <v>0</v>
      </c>
      <c r="F235" s="1223">
        <f t="shared" ref="F235:M235" si="69">F230+F234</f>
        <v>0</v>
      </c>
      <c r="G235" s="1224">
        <f t="shared" si="69"/>
        <v>0</v>
      </c>
      <c r="H235" s="1225">
        <f t="shared" si="69"/>
        <v>0</v>
      </c>
      <c r="I235" s="1223">
        <f t="shared" si="69"/>
        <v>0</v>
      </c>
      <c r="J235" s="1226">
        <f t="shared" si="69"/>
        <v>0</v>
      </c>
      <c r="K235" s="1227">
        <f t="shared" si="69"/>
        <v>0</v>
      </c>
      <c r="L235" s="1223">
        <f t="shared" si="69"/>
        <v>0</v>
      </c>
      <c r="M235" s="1224">
        <f t="shared" si="69"/>
        <v>0</v>
      </c>
    </row>
    <row r="236" spans="1:13" ht="11.25" customHeight="1" x14ac:dyDescent="0.25">
      <c r="A236" s="1169" t="s">
        <v>1853</v>
      </c>
      <c r="B236" s="1162"/>
      <c r="C236" s="1165" t="s">
        <v>597</v>
      </c>
      <c r="D236" s="356"/>
      <c r="E236" s="1232"/>
      <c r="F236" s="1228"/>
      <c r="G236" s="1231"/>
      <c r="H236" s="1230"/>
      <c r="I236" s="1228"/>
      <c r="J236" s="1231"/>
      <c r="K236" s="1232"/>
      <c r="L236" s="1228"/>
      <c r="M236" s="1229"/>
    </row>
    <row r="237" spans="1:13" ht="11.25" customHeight="1" x14ac:dyDescent="0.25">
      <c r="A237" s="923"/>
      <c r="B237" s="1162"/>
      <c r="C237" s="1101" t="s">
        <v>642</v>
      </c>
      <c r="D237" s="356"/>
      <c r="E237" s="930"/>
      <c r="F237" s="928"/>
      <c r="G237" s="929"/>
      <c r="H237" s="1233"/>
      <c r="I237" s="928"/>
      <c r="J237" s="1234"/>
      <c r="K237" s="930"/>
      <c r="L237" s="928"/>
      <c r="M237" s="929"/>
    </row>
    <row r="238" spans="1:13" ht="11.25" customHeight="1" x14ac:dyDescent="0.25">
      <c r="A238" s="923"/>
      <c r="B238" s="1162"/>
      <c r="C238" s="1166" t="s">
        <v>324</v>
      </c>
      <c r="D238" s="356"/>
      <c r="E238" s="1232">
        <f>SUM(E237)</f>
        <v>0</v>
      </c>
      <c r="F238" s="1228">
        <f t="shared" ref="F238:M238" si="70">SUM(F237)</f>
        <v>0</v>
      </c>
      <c r="G238" s="1229">
        <f t="shared" si="70"/>
        <v>0</v>
      </c>
      <c r="H238" s="1230">
        <f t="shared" si="70"/>
        <v>0</v>
      </c>
      <c r="I238" s="1228">
        <f t="shared" si="70"/>
        <v>0</v>
      </c>
      <c r="J238" s="1231">
        <f t="shared" si="70"/>
        <v>0</v>
      </c>
      <c r="K238" s="1232">
        <f t="shared" si="70"/>
        <v>0</v>
      </c>
      <c r="L238" s="1228">
        <f t="shared" si="70"/>
        <v>0</v>
      </c>
      <c r="M238" s="1229">
        <f t="shared" si="70"/>
        <v>0</v>
      </c>
    </row>
    <row r="239" spans="1:13" ht="11.25" customHeight="1" x14ac:dyDescent="0.25">
      <c r="A239" s="923"/>
      <c r="B239" s="1162"/>
      <c r="C239" s="1101" t="s">
        <v>598</v>
      </c>
      <c r="D239" s="356"/>
      <c r="E239" s="927"/>
      <c r="F239" s="924"/>
      <c r="G239" s="925"/>
      <c r="H239" s="1212"/>
      <c r="I239" s="924"/>
      <c r="J239" s="926"/>
      <c r="K239" s="927"/>
      <c r="L239" s="924"/>
      <c r="M239" s="925"/>
    </row>
    <row r="240" spans="1:13" ht="11.25" customHeight="1" x14ac:dyDescent="0.25">
      <c r="A240" s="923"/>
      <c r="B240" s="1162"/>
      <c r="C240" s="1101" t="s">
        <v>599</v>
      </c>
      <c r="D240" s="356"/>
      <c r="E240" s="927"/>
      <c r="F240" s="924"/>
      <c r="G240" s="925"/>
      <c r="H240" s="1212"/>
      <c r="I240" s="924"/>
      <c r="J240" s="926"/>
      <c r="K240" s="927"/>
      <c r="L240" s="924"/>
      <c r="M240" s="925"/>
    </row>
    <row r="241" spans="1:13" ht="11.25" customHeight="1" x14ac:dyDescent="0.25">
      <c r="A241" s="923"/>
      <c r="B241" s="1162"/>
      <c r="C241" s="1101" t="s">
        <v>766</v>
      </c>
      <c r="D241" s="356"/>
      <c r="E241" s="927"/>
      <c r="F241" s="924"/>
      <c r="G241" s="925"/>
      <c r="H241" s="1212"/>
      <c r="I241" s="924"/>
      <c r="J241" s="926"/>
      <c r="K241" s="927"/>
      <c r="L241" s="924"/>
      <c r="M241" s="925"/>
    </row>
    <row r="242" spans="1:13" ht="11.25" customHeight="1" x14ac:dyDescent="0.25">
      <c r="A242" s="923"/>
      <c r="B242" s="1162"/>
      <c r="C242" s="1101" t="s">
        <v>767</v>
      </c>
      <c r="D242" s="356"/>
      <c r="E242" s="927"/>
      <c r="F242" s="924"/>
      <c r="G242" s="925"/>
      <c r="H242" s="1212"/>
      <c r="I242" s="924"/>
      <c r="J242" s="926"/>
      <c r="K242" s="927"/>
      <c r="L242" s="924"/>
      <c r="M242" s="925"/>
    </row>
    <row r="243" spans="1:13" ht="11.25" customHeight="1" x14ac:dyDescent="0.25">
      <c r="A243" s="923"/>
      <c r="B243" s="1162"/>
      <c r="C243" s="1101" t="s">
        <v>171</v>
      </c>
      <c r="D243" s="356"/>
      <c r="E243" s="927"/>
      <c r="F243" s="924"/>
      <c r="G243" s="925"/>
      <c r="H243" s="1212"/>
      <c r="I243" s="924"/>
      <c r="J243" s="926"/>
      <c r="K243" s="927"/>
      <c r="L243" s="924"/>
      <c r="M243" s="925"/>
    </row>
    <row r="244" spans="1:13" ht="11.25" customHeight="1" x14ac:dyDescent="0.25">
      <c r="A244" s="923"/>
      <c r="B244" s="1162"/>
      <c r="C244" s="1166" t="s">
        <v>1141</v>
      </c>
      <c r="D244" s="356"/>
      <c r="E244" s="1222">
        <f t="shared" ref="E244:M244" si="71">SUM(E239:E243)</f>
        <v>0</v>
      </c>
      <c r="F244" s="1218">
        <f t="shared" si="71"/>
        <v>0</v>
      </c>
      <c r="G244" s="1219">
        <f t="shared" si="71"/>
        <v>0</v>
      </c>
      <c r="H244" s="1220">
        <f t="shared" si="71"/>
        <v>0</v>
      </c>
      <c r="I244" s="1218">
        <f t="shared" si="71"/>
        <v>0</v>
      </c>
      <c r="J244" s="1221">
        <f t="shared" si="71"/>
        <v>0</v>
      </c>
      <c r="K244" s="1222">
        <f t="shared" si="71"/>
        <v>0</v>
      </c>
      <c r="L244" s="1218">
        <f t="shared" si="71"/>
        <v>0</v>
      </c>
      <c r="M244" s="1219">
        <f t="shared" si="71"/>
        <v>0</v>
      </c>
    </row>
    <row r="245" spans="1:13" ht="11.25" customHeight="1" x14ac:dyDescent="0.25">
      <c r="B245" s="1162"/>
      <c r="C245" s="1167" t="s">
        <v>1177</v>
      </c>
      <c r="D245" s="356"/>
      <c r="E245" s="1227">
        <f>E238+E244</f>
        <v>0</v>
      </c>
      <c r="F245" s="1223">
        <f t="shared" ref="F245:M245" si="72">F238+F244</f>
        <v>0</v>
      </c>
      <c r="G245" s="1224">
        <f t="shared" si="72"/>
        <v>0</v>
      </c>
      <c r="H245" s="1225">
        <f t="shared" si="72"/>
        <v>0</v>
      </c>
      <c r="I245" s="1223">
        <f t="shared" si="72"/>
        <v>0</v>
      </c>
      <c r="J245" s="1226">
        <f t="shared" si="72"/>
        <v>0</v>
      </c>
      <c r="K245" s="1227">
        <f t="shared" si="72"/>
        <v>0</v>
      </c>
      <c r="L245" s="1223">
        <f t="shared" si="72"/>
        <v>0</v>
      </c>
      <c r="M245" s="1224">
        <f t="shared" si="72"/>
        <v>0</v>
      </c>
    </row>
    <row r="246" spans="1:13" ht="4.9000000000000004" customHeight="1" x14ac:dyDescent="0.25">
      <c r="A246" s="904"/>
      <c r="B246" s="1162"/>
      <c r="D246" s="356"/>
      <c r="E246" s="723"/>
      <c r="F246" s="229"/>
      <c r="G246" s="230"/>
      <c r="H246" s="231"/>
      <c r="I246" s="229"/>
      <c r="J246" s="232"/>
      <c r="K246" s="723"/>
      <c r="L246" s="229"/>
      <c r="M246" s="230"/>
    </row>
    <row r="247" spans="1:13" ht="48.75" customHeight="1" x14ac:dyDescent="0.25">
      <c r="A247" s="1952" t="s">
        <v>2051</v>
      </c>
      <c r="B247" s="1707"/>
      <c r="C247" s="1705"/>
      <c r="D247" s="1706"/>
      <c r="E247" s="475" t="str">
        <f>head1b</f>
        <v>2015/16</v>
      </c>
      <c r="F247" s="26" t="str">
        <f>head1A</f>
        <v>2016/17</v>
      </c>
      <c r="G247" s="22" t="str">
        <f>Head1</f>
        <v>2017/18</v>
      </c>
      <c r="H247" s="1904" t="str">
        <f>Head2</f>
        <v>Current Year 2018/19</v>
      </c>
      <c r="I247" s="1905"/>
      <c r="J247" s="1906"/>
      <c r="K247" s="1904" t="str">
        <f>Head3</f>
        <v>2019/20 Medium Term Revenue &amp; Expenditure Framework</v>
      </c>
      <c r="L247" s="1905"/>
      <c r="M247" s="1906"/>
    </row>
    <row r="248" spans="1:13" ht="25.5" x14ac:dyDescent="0.25">
      <c r="A248" s="1953"/>
      <c r="B248" s="1708"/>
      <c r="C248" s="1698"/>
      <c r="D248" s="1709"/>
      <c r="E248" s="627" t="str">
        <f>Head5A</f>
        <v>Outcome</v>
      </c>
      <c r="F248" s="203" t="str">
        <f>Head5A</f>
        <v>Outcome</v>
      </c>
      <c r="G248" s="204" t="str">
        <f>Head5A</f>
        <v>Outcome</v>
      </c>
      <c r="H248" s="141" t="str">
        <f>Head6</f>
        <v>Original Budget</v>
      </c>
      <c r="I248" s="203" t="str">
        <f>Head7</f>
        <v>Adjusted Budget</v>
      </c>
      <c r="J248" s="204" t="str">
        <f>Head8</f>
        <v>Full Year Forecast</v>
      </c>
      <c r="K248" s="141" t="str">
        <f>Head9</f>
        <v>Budget Year 2019/20</v>
      </c>
      <c r="L248" s="203" t="str">
        <f>Head10</f>
        <v>Budget Year +1 2020/21</v>
      </c>
      <c r="M248" s="204" t="str">
        <f>Head11</f>
        <v>Budget Year +2 2021/22</v>
      </c>
    </row>
    <row r="249" spans="1:13" ht="12.75" x14ac:dyDescent="0.25">
      <c r="A249" s="1717" t="s">
        <v>560</v>
      </c>
      <c r="B249" s="901" t="s">
        <v>1764</v>
      </c>
      <c r="C249" s="1721" t="s">
        <v>2052</v>
      </c>
      <c r="D249" s="724"/>
      <c r="E249" s="1723"/>
      <c r="F249" s="1724"/>
      <c r="G249" s="1725"/>
      <c r="H249" s="1726"/>
      <c r="I249" s="1724"/>
      <c r="J249" s="1727"/>
      <c r="K249" s="1728"/>
      <c r="L249" s="1724"/>
      <c r="M249" s="1725"/>
    </row>
    <row r="250" spans="1:13" ht="25.5" x14ac:dyDescent="0.25">
      <c r="A250" s="1697" t="s">
        <v>2054</v>
      </c>
      <c r="C250" s="145" t="s">
        <v>2506</v>
      </c>
      <c r="D250" s="77"/>
      <c r="E250" s="1715"/>
      <c r="F250" s="924">
        <v>3152779.58</v>
      </c>
      <c r="G250" s="925">
        <v>3090434</v>
      </c>
      <c r="H250" s="1212">
        <v>3018956</v>
      </c>
      <c r="I250" s="924">
        <v>3018956</v>
      </c>
      <c r="J250" s="926">
        <v>3018956</v>
      </c>
      <c r="K250" s="927">
        <v>3029595</v>
      </c>
      <c r="L250" s="924">
        <f>K250*1.06</f>
        <v>3211370.7</v>
      </c>
      <c r="M250" s="925">
        <f>L250*1.06</f>
        <v>3404052.9420000003</v>
      </c>
    </row>
    <row r="251" spans="1:13" ht="12.75" x14ac:dyDescent="0.25">
      <c r="A251" s="1697"/>
      <c r="C251" s="1718" t="s">
        <v>2053</v>
      </c>
      <c r="D251" s="77"/>
      <c r="E251" s="1715"/>
      <c r="F251" s="924">
        <v>3469</v>
      </c>
      <c r="G251" s="925">
        <f>F251</f>
        <v>3469</v>
      </c>
      <c r="H251" s="1212">
        <v>3493</v>
      </c>
      <c r="I251" s="924">
        <v>3493</v>
      </c>
      <c r="J251" s="926">
        <v>3493</v>
      </c>
      <c r="K251" s="927">
        <f>J251</f>
        <v>3493</v>
      </c>
      <c r="L251" s="924">
        <f>K251</f>
        <v>3493</v>
      </c>
      <c r="M251" s="925">
        <f>L251</f>
        <v>3493</v>
      </c>
    </row>
    <row r="252" spans="1:13" ht="12.75" customHeight="1" x14ac:dyDescent="0.25">
      <c r="A252" s="1697"/>
      <c r="C252" s="118" t="s">
        <v>2507</v>
      </c>
      <c r="D252" s="77"/>
      <c r="E252" s="1715"/>
      <c r="F252" s="924"/>
      <c r="G252" s="925"/>
      <c r="H252" s="1212"/>
      <c r="I252" s="924"/>
      <c r="J252" s="926"/>
      <c r="K252" s="927"/>
      <c r="L252" s="924"/>
      <c r="M252" s="925"/>
    </row>
    <row r="253" spans="1:13" ht="12.75" customHeight="1" x14ac:dyDescent="0.25">
      <c r="A253" s="1697"/>
      <c r="C253" s="1718" t="s">
        <v>2053</v>
      </c>
      <c r="D253" s="77"/>
      <c r="E253" s="1715"/>
      <c r="F253" s="924"/>
      <c r="G253" s="925"/>
      <c r="H253" s="1212"/>
      <c r="I253" s="924"/>
      <c r="J253" s="926"/>
      <c r="K253" s="927"/>
      <c r="L253" s="924"/>
      <c r="M253" s="925"/>
    </row>
    <row r="254" spans="1:13" ht="12.75" customHeight="1" x14ac:dyDescent="0.25">
      <c r="A254" s="1697"/>
      <c r="C254" s="118" t="s">
        <v>2508</v>
      </c>
      <c r="D254" s="77"/>
      <c r="E254" s="1715"/>
      <c r="F254" s="924"/>
      <c r="G254" s="925"/>
      <c r="H254" s="1212"/>
      <c r="I254" s="924"/>
      <c r="J254" s="926"/>
      <c r="K254" s="927"/>
      <c r="L254" s="924"/>
      <c r="M254" s="925"/>
    </row>
    <row r="255" spans="1:13" ht="12.75" customHeight="1" x14ac:dyDescent="0.25">
      <c r="A255" s="1697"/>
      <c r="C255" s="1718" t="s">
        <v>2053</v>
      </c>
      <c r="D255" s="77"/>
      <c r="E255" s="1715"/>
      <c r="F255" s="924"/>
      <c r="G255" s="925"/>
      <c r="H255" s="1212"/>
      <c r="I255" s="924"/>
      <c r="J255" s="926"/>
      <c r="K255" s="927"/>
      <c r="L255" s="924"/>
      <c r="M255" s="925"/>
    </row>
    <row r="256" spans="1:13" ht="12.75" customHeight="1" x14ac:dyDescent="0.25">
      <c r="A256" s="1697"/>
      <c r="C256" s="118" t="s">
        <v>2509</v>
      </c>
      <c r="D256" s="77"/>
      <c r="E256" s="1715"/>
      <c r="F256" s="924"/>
      <c r="G256" s="925"/>
      <c r="H256" s="1212"/>
      <c r="I256" s="924"/>
      <c r="J256" s="926"/>
      <c r="K256" s="927"/>
      <c r="L256" s="924"/>
      <c r="M256" s="925"/>
    </row>
    <row r="257" spans="1:13" ht="12.75" customHeight="1" x14ac:dyDescent="0.25">
      <c r="A257" s="1697"/>
      <c r="C257" s="1718" t="s">
        <v>2053</v>
      </c>
      <c r="D257" s="77"/>
      <c r="E257" s="1715"/>
      <c r="F257" s="924"/>
      <c r="G257" s="925"/>
      <c r="H257" s="1212"/>
      <c r="I257" s="924"/>
      <c r="J257" s="926"/>
      <c r="K257" s="927"/>
      <c r="L257" s="924"/>
      <c r="M257" s="925"/>
    </row>
    <row r="258" spans="1:13" ht="12.75" customHeight="1" x14ac:dyDescent="0.25">
      <c r="A258" s="1697"/>
      <c r="C258" s="118" t="s">
        <v>2510</v>
      </c>
      <c r="D258" s="77"/>
      <c r="E258" s="1715"/>
      <c r="F258" s="924"/>
      <c r="G258" s="925"/>
      <c r="H258" s="1212"/>
      <c r="I258" s="924"/>
      <c r="J258" s="926"/>
      <c r="K258" s="927"/>
      <c r="L258" s="924"/>
      <c r="M258" s="925"/>
    </row>
    <row r="259" spans="1:13" ht="12.75" customHeight="1" x14ac:dyDescent="0.25">
      <c r="A259" s="1697"/>
      <c r="C259" s="1719" t="s">
        <v>2053</v>
      </c>
      <c r="D259" s="695"/>
      <c r="E259" s="1715"/>
      <c r="F259" s="924"/>
      <c r="G259" s="925"/>
      <c r="H259" s="1212"/>
      <c r="I259" s="924"/>
      <c r="J259" s="926"/>
      <c r="K259" s="927"/>
      <c r="L259" s="924"/>
      <c r="M259" s="925"/>
    </row>
    <row r="260" spans="1:13" ht="12.75" x14ac:dyDescent="0.25">
      <c r="A260" s="1722"/>
      <c r="B260" s="1720"/>
      <c r="C260" s="178" t="s">
        <v>2066</v>
      </c>
      <c r="D260" s="1180"/>
      <c r="E260" s="1716">
        <f>E252+E254+E256+E258</f>
        <v>0</v>
      </c>
      <c r="F260" s="1711">
        <f t="shared" ref="F260:M260" si="73">F252+F254+F256+F258</f>
        <v>0</v>
      </c>
      <c r="G260" s="1712">
        <f t="shared" si="73"/>
        <v>0</v>
      </c>
      <c r="H260" s="1713">
        <f t="shared" si="73"/>
        <v>0</v>
      </c>
      <c r="I260" s="1711">
        <f t="shared" si="73"/>
        <v>0</v>
      </c>
      <c r="J260" s="1714">
        <f t="shared" si="73"/>
        <v>0</v>
      </c>
      <c r="K260" s="1710">
        <f t="shared" si="73"/>
        <v>0</v>
      </c>
      <c r="L260" s="1711">
        <f t="shared" si="73"/>
        <v>0</v>
      </c>
      <c r="M260" s="1712">
        <f t="shared" si="73"/>
        <v>0</v>
      </c>
    </row>
    <row r="261" spans="1:13" ht="12.75" x14ac:dyDescent="0.25">
      <c r="A261" s="1717" t="s">
        <v>835</v>
      </c>
      <c r="B261" s="901" t="s">
        <v>1764</v>
      </c>
      <c r="C261" s="1721" t="s">
        <v>2052</v>
      </c>
      <c r="D261" s="724"/>
      <c r="E261" s="1723"/>
      <c r="F261" s="1724"/>
      <c r="G261" s="1725"/>
      <c r="H261" s="1726"/>
      <c r="I261" s="1724"/>
      <c r="J261" s="1727"/>
      <c r="K261" s="1728"/>
      <c r="L261" s="1724"/>
      <c r="M261" s="1725"/>
    </row>
    <row r="262" spans="1:13" ht="23.25" customHeight="1" x14ac:dyDescent="0.25">
      <c r="A262" s="1697" t="s">
        <v>2054</v>
      </c>
      <c r="C262" s="145" t="s">
        <v>2511</v>
      </c>
      <c r="D262" s="77"/>
      <c r="E262" s="1715"/>
      <c r="F262" s="924">
        <v>5005682.03</v>
      </c>
      <c r="G262" s="925">
        <v>5565270.7999999998</v>
      </c>
      <c r="H262" s="1212">
        <v>5968112</v>
      </c>
      <c r="I262" s="924">
        <v>2984056</v>
      </c>
      <c r="J262" s="926">
        <v>2984056</v>
      </c>
      <c r="K262" s="927">
        <v>5968112</v>
      </c>
      <c r="L262" s="924">
        <f>K262*1.06</f>
        <v>6326198.7200000007</v>
      </c>
      <c r="M262" s="925">
        <f>L262*1.06</f>
        <v>6705770.6432000007</v>
      </c>
    </row>
    <row r="263" spans="1:13" ht="12.75" x14ac:dyDescent="0.25">
      <c r="A263" s="1697"/>
      <c r="C263" s="1718" t="s">
        <v>2053</v>
      </c>
      <c r="D263" s="77"/>
      <c r="E263" s="1715"/>
      <c r="F263" s="924">
        <v>8036</v>
      </c>
      <c r="G263" s="925">
        <v>7692</v>
      </c>
      <c r="H263" s="1212">
        <v>7692</v>
      </c>
      <c r="I263" s="924">
        <v>7692</v>
      </c>
      <c r="J263" s="926">
        <v>7692</v>
      </c>
      <c r="K263" s="927">
        <f>J263</f>
        <v>7692</v>
      </c>
      <c r="L263" s="924">
        <f>K263</f>
        <v>7692</v>
      </c>
      <c r="M263" s="925">
        <f>L263</f>
        <v>7692</v>
      </c>
    </row>
    <row r="264" spans="1:13" ht="12.75" x14ac:dyDescent="0.25">
      <c r="A264" s="1697"/>
      <c r="C264" s="118" t="s">
        <v>2507</v>
      </c>
      <c r="D264" s="77"/>
      <c r="E264" s="1715"/>
      <c r="F264" s="924"/>
      <c r="G264" s="925"/>
      <c r="H264" s="1212"/>
      <c r="I264" s="924"/>
      <c r="J264" s="926"/>
      <c r="K264" s="927"/>
      <c r="L264" s="924"/>
      <c r="M264" s="925"/>
    </row>
    <row r="265" spans="1:13" ht="12.75" x14ac:dyDescent="0.25">
      <c r="A265" s="1697"/>
      <c r="C265" s="1718" t="s">
        <v>2053</v>
      </c>
      <c r="D265" s="77"/>
      <c r="E265" s="1715"/>
      <c r="F265" s="924"/>
      <c r="G265" s="925"/>
      <c r="H265" s="1212"/>
      <c r="I265" s="924"/>
      <c r="J265" s="926"/>
      <c r="K265" s="927"/>
      <c r="L265" s="924"/>
      <c r="M265" s="925"/>
    </row>
    <row r="266" spans="1:13" ht="12.75" x14ac:dyDescent="0.25">
      <c r="A266" s="1697"/>
      <c r="C266" s="118" t="s">
        <v>2508</v>
      </c>
      <c r="D266" s="77"/>
      <c r="E266" s="1715"/>
      <c r="F266" s="924"/>
      <c r="G266" s="925"/>
      <c r="H266" s="1212"/>
      <c r="I266" s="924"/>
      <c r="J266" s="926"/>
      <c r="K266" s="927"/>
      <c r="L266" s="924"/>
      <c r="M266" s="925"/>
    </row>
    <row r="267" spans="1:13" ht="12.75" x14ac:dyDescent="0.25">
      <c r="A267" s="1697"/>
      <c r="C267" s="1718" t="s">
        <v>2053</v>
      </c>
      <c r="D267" s="77"/>
      <c r="E267" s="1715"/>
      <c r="F267" s="924"/>
      <c r="G267" s="925"/>
      <c r="H267" s="1212"/>
      <c r="I267" s="924"/>
      <c r="J267" s="926"/>
      <c r="K267" s="927"/>
      <c r="L267" s="924"/>
      <c r="M267" s="925"/>
    </row>
    <row r="268" spans="1:13" ht="12.75" x14ac:dyDescent="0.25">
      <c r="A268" s="1697"/>
      <c r="C268" s="118" t="s">
        <v>2509</v>
      </c>
      <c r="D268" s="77"/>
      <c r="E268" s="1715"/>
      <c r="F268" s="924"/>
      <c r="G268" s="925"/>
      <c r="H268" s="1212"/>
      <c r="I268" s="924"/>
      <c r="J268" s="926"/>
      <c r="K268" s="927"/>
      <c r="L268" s="924"/>
      <c r="M268" s="925"/>
    </row>
    <row r="269" spans="1:13" ht="12.75" x14ac:dyDescent="0.25">
      <c r="A269" s="1697"/>
      <c r="C269" s="1718" t="s">
        <v>2053</v>
      </c>
      <c r="D269" s="77"/>
      <c r="E269" s="1715"/>
      <c r="F269" s="924"/>
      <c r="G269" s="925"/>
      <c r="H269" s="1212"/>
      <c r="I269" s="924"/>
      <c r="J269" s="926"/>
      <c r="K269" s="927"/>
      <c r="L269" s="924"/>
      <c r="M269" s="925"/>
    </row>
    <row r="270" spans="1:13" ht="12.75" x14ac:dyDescent="0.25">
      <c r="A270" s="1697"/>
      <c r="C270" s="118" t="s">
        <v>2510</v>
      </c>
      <c r="D270" s="77"/>
      <c r="E270" s="1715"/>
      <c r="F270" s="924"/>
      <c r="G270" s="925"/>
      <c r="H270" s="1212"/>
      <c r="I270" s="924"/>
      <c r="J270" s="926"/>
      <c r="K270" s="927"/>
      <c r="L270" s="924"/>
      <c r="M270" s="925"/>
    </row>
    <row r="271" spans="1:13" ht="12.75" x14ac:dyDescent="0.25">
      <c r="A271" s="1697"/>
      <c r="C271" s="1719" t="s">
        <v>2053</v>
      </c>
      <c r="D271" s="695"/>
      <c r="E271" s="1715"/>
      <c r="F271" s="924"/>
      <c r="G271" s="925"/>
      <c r="H271" s="1212"/>
      <c r="I271" s="924"/>
      <c r="J271" s="926"/>
      <c r="K271" s="927"/>
      <c r="L271" s="924"/>
      <c r="M271" s="925"/>
    </row>
    <row r="272" spans="1:13" ht="12.75" x14ac:dyDescent="0.25">
      <c r="A272" s="1722"/>
      <c r="B272" s="1720"/>
      <c r="C272" s="178" t="s">
        <v>2062</v>
      </c>
      <c r="D272" s="1180"/>
      <c r="E272" s="1716">
        <f>E264+E266+E268+E270</f>
        <v>0</v>
      </c>
      <c r="F272" s="1711">
        <f t="shared" ref="F272:M272" si="74">F264+F266+F268+F270</f>
        <v>0</v>
      </c>
      <c r="G272" s="1712">
        <f t="shared" si="74"/>
        <v>0</v>
      </c>
      <c r="H272" s="1713">
        <f t="shared" si="74"/>
        <v>0</v>
      </c>
      <c r="I272" s="1711">
        <f t="shared" si="74"/>
        <v>0</v>
      </c>
      <c r="J272" s="1714">
        <f t="shared" si="74"/>
        <v>0</v>
      </c>
      <c r="K272" s="1710">
        <f t="shared" si="74"/>
        <v>0</v>
      </c>
      <c r="L272" s="1711">
        <f t="shared" si="74"/>
        <v>0</v>
      </c>
      <c r="M272" s="1712">
        <f t="shared" si="74"/>
        <v>0</v>
      </c>
    </row>
    <row r="273" spans="1:13" ht="12.75" x14ac:dyDescent="0.25">
      <c r="A273" s="1717" t="s">
        <v>836</v>
      </c>
      <c r="B273" s="901" t="s">
        <v>1764</v>
      </c>
      <c r="C273" s="1721" t="s">
        <v>2052</v>
      </c>
      <c r="D273" s="724"/>
      <c r="E273" s="1723"/>
      <c r="F273" s="1724"/>
      <c r="G273" s="1725"/>
      <c r="H273" s="1726"/>
      <c r="I273" s="1724"/>
      <c r="J273" s="1727"/>
      <c r="K273" s="1728"/>
      <c r="L273" s="1724"/>
      <c r="M273" s="1725"/>
    </row>
    <row r="274" spans="1:13" ht="25.5" x14ac:dyDescent="0.25">
      <c r="A274" s="1697" t="s">
        <v>2054</v>
      </c>
      <c r="C274" s="145" t="s">
        <v>2060</v>
      </c>
      <c r="D274" s="77"/>
      <c r="E274" s="1715"/>
      <c r="F274" s="924">
        <v>4522917.1399999997</v>
      </c>
      <c r="G274" s="925">
        <v>5409756.79</v>
      </c>
      <c r="H274" s="1212">
        <v>6032376</v>
      </c>
      <c r="I274" s="924">
        <v>6032376</v>
      </c>
      <c r="J274" s="926">
        <v>6032376</v>
      </c>
      <c r="K274" s="927">
        <v>6513672</v>
      </c>
      <c r="L274" s="924">
        <f>K274*1.06</f>
        <v>6904492.3200000003</v>
      </c>
      <c r="M274" s="925">
        <f>L274*1.06</f>
        <v>7318761.8592000008</v>
      </c>
    </row>
    <row r="275" spans="1:13" ht="12.75" x14ac:dyDescent="0.25">
      <c r="A275" s="1697"/>
      <c r="C275" s="1718" t="s">
        <v>2053</v>
      </c>
      <c r="D275" s="77"/>
      <c r="E275" s="1715"/>
      <c r="F275" s="924">
        <v>6376</v>
      </c>
      <c r="G275" s="1212">
        <v>6610</v>
      </c>
      <c r="H275" s="1212">
        <v>6610</v>
      </c>
      <c r="I275" s="924">
        <v>6610</v>
      </c>
      <c r="J275" s="926">
        <v>6610</v>
      </c>
      <c r="K275" s="927">
        <f>J275</f>
        <v>6610</v>
      </c>
      <c r="L275" s="924">
        <f>K275</f>
        <v>6610</v>
      </c>
      <c r="M275" s="925">
        <f>L275</f>
        <v>6610</v>
      </c>
    </row>
    <row r="276" spans="1:13" ht="12.75" x14ac:dyDescent="0.25">
      <c r="A276" s="1697"/>
      <c r="C276" s="118" t="s">
        <v>2507</v>
      </c>
      <c r="D276" s="77"/>
      <c r="E276" s="1715"/>
      <c r="F276" s="924"/>
      <c r="G276" s="925"/>
      <c r="H276" s="1212"/>
      <c r="I276" s="924"/>
      <c r="J276" s="926"/>
      <c r="K276" s="927"/>
      <c r="L276" s="924"/>
      <c r="M276" s="925"/>
    </row>
    <row r="277" spans="1:13" ht="12.75" x14ac:dyDescent="0.25">
      <c r="A277" s="1697"/>
      <c r="C277" s="1718" t="s">
        <v>2053</v>
      </c>
      <c r="D277" s="77"/>
      <c r="E277" s="1715"/>
      <c r="F277" s="924"/>
      <c r="G277" s="925"/>
      <c r="H277" s="1212"/>
      <c r="I277" s="924"/>
      <c r="J277" s="926"/>
      <c r="K277" s="927"/>
      <c r="L277" s="924"/>
      <c r="M277" s="925"/>
    </row>
    <row r="278" spans="1:13" ht="12.75" x14ac:dyDescent="0.25">
      <c r="A278" s="1697"/>
      <c r="C278" s="118" t="s">
        <v>2508</v>
      </c>
      <c r="D278" s="77"/>
      <c r="E278" s="1715"/>
      <c r="F278" s="924"/>
      <c r="G278" s="925"/>
      <c r="H278" s="1212"/>
      <c r="I278" s="924"/>
      <c r="J278" s="926"/>
      <c r="K278" s="927"/>
      <c r="L278" s="924"/>
      <c r="M278" s="925"/>
    </row>
    <row r="279" spans="1:13" ht="12.75" x14ac:dyDescent="0.25">
      <c r="A279" s="1697"/>
      <c r="C279" s="1718" t="s">
        <v>2053</v>
      </c>
      <c r="D279" s="77"/>
      <c r="E279" s="1715"/>
      <c r="F279" s="924"/>
      <c r="G279" s="925"/>
      <c r="H279" s="1212"/>
      <c r="I279" s="924"/>
      <c r="J279" s="926"/>
      <c r="K279" s="927"/>
      <c r="L279" s="924"/>
      <c r="M279" s="925"/>
    </row>
    <row r="280" spans="1:13" ht="12.75" x14ac:dyDescent="0.25">
      <c r="A280" s="1697"/>
      <c r="C280" s="118" t="s">
        <v>2509</v>
      </c>
      <c r="D280" s="77"/>
      <c r="E280" s="1715"/>
      <c r="F280" s="924"/>
      <c r="G280" s="925"/>
      <c r="H280" s="1212"/>
      <c r="I280" s="924"/>
      <c r="J280" s="926"/>
      <c r="K280" s="927"/>
      <c r="L280" s="924"/>
      <c r="M280" s="925"/>
    </row>
    <row r="281" spans="1:13" ht="12.75" x14ac:dyDescent="0.25">
      <c r="A281" s="1697"/>
      <c r="C281" s="1718" t="s">
        <v>2053</v>
      </c>
      <c r="D281" s="77"/>
      <c r="E281" s="1715"/>
      <c r="F281" s="924"/>
      <c r="G281" s="925"/>
      <c r="H281" s="1212"/>
      <c r="I281" s="924"/>
      <c r="J281" s="926"/>
      <c r="K281" s="927"/>
      <c r="L281" s="924"/>
      <c r="M281" s="925"/>
    </row>
    <row r="282" spans="1:13" ht="12.75" x14ac:dyDescent="0.25">
      <c r="A282" s="1697"/>
      <c r="C282" s="118" t="s">
        <v>2510</v>
      </c>
      <c r="D282" s="77"/>
      <c r="E282" s="1715"/>
      <c r="F282" s="924"/>
      <c r="G282" s="925"/>
      <c r="H282" s="1212"/>
      <c r="I282" s="924"/>
      <c r="J282" s="926"/>
      <c r="K282" s="927"/>
      <c r="L282" s="924"/>
      <c r="M282" s="925"/>
    </row>
    <row r="283" spans="1:13" ht="12.75" x14ac:dyDescent="0.25">
      <c r="A283" s="1697"/>
      <c r="C283" s="1719" t="s">
        <v>2053</v>
      </c>
      <c r="D283" s="695"/>
      <c r="E283" s="1715"/>
      <c r="F283" s="924"/>
      <c r="G283" s="925"/>
      <c r="H283" s="1212"/>
      <c r="I283" s="924"/>
      <c r="J283" s="926"/>
      <c r="K283" s="927"/>
      <c r="L283" s="924"/>
      <c r="M283" s="925"/>
    </row>
    <row r="284" spans="1:13" ht="12.75" x14ac:dyDescent="0.25">
      <c r="A284" s="1722"/>
      <c r="B284" s="1720"/>
      <c r="C284" s="178" t="s">
        <v>2063</v>
      </c>
      <c r="D284" s="1180"/>
      <c r="E284" s="1716">
        <f>E276+E278+E280+E282</f>
        <v>0</v>
      </c>
      <c r="F284" s="1711">
        <f t="shared" ref="F284:M284" si="75">F276+F278+F280+F282</f>
        <v>0</v>
      </c>
      <c r="G284" s="1712">
        <f t="shared" si="75"/>
        <v>0</v>
      </c>
      <c r="H284" s="1713">
        <f t="shared" si="75"/>
        <v>0</v>
      </c>
      <c r="I284" s="1711">
        <f t="shared" si="75"/>
        <v>0</v>
      </c>
      <c r="J284" s="1714">
        <f t="shared" si="75"/>
        <v>0</v>
      </c>
      <c r="K284" s="1710">
        <f t="shared" si="75"/>
        <v>0</v>
      </c>
      <c r="L284" s="1711">
        <f t="shared" si="75"/>
        <v>0</v>
      </c>
      <c r="M284" s="1712">
        <f t="shared" si="75"/>
        <v>0</v>
      </c>
    </row>
    <row r="285" spans="1:13" ht="12.75" x14ac:dyDescent="0.25">
      <c r="A285" s="1717" t="s">
        <v>2064</v>
      </c>
      <c r="B285" s="901" t="s">
        <v>1764</v>
      </c>
      <c r="C285" s="1721" t="s">
        <v>2052</v>
      </c>
      <c r="D285" s="724"/>
      <c r="E285" s="1723"/>
      <c r="F285" s="1724"/>
      <c r="G285" s="1725"/>
      <c r="H285" s="1726"/>
      <c r="I285" s="1724"/>
      <c r="J285" s="1727"/>
      <c r="K285" s="1728"/>
      <c r="L285" s="1724"/>
      <c r="M285" s="1725"/>
    </row>
    <row r="286" spans="1:13" ht="25.5" x14ac:dyDescent="0.25">
      <c r="A286" s="1697" t="s">
        <v>2054</v>
      </c>
      <c r="C286" s="145" t="s">
        <v>2061</v>
      </c>
      <c r="D286" s="77"/>
      <c r="E286" s="1715"/>
      <c r="F286" s="924">
        <v>3133427.25</v>
      </c>
      <c r="G286" s="925">
        <v>3992417.56</v>
      </c>
      <c r="H286" s="1212">
        <v>6758112</v>
      </c>
      <c r="I286" s="924">
        <v>6758112</v>
      </c>
      <c r="J286" s="926">
        <v>6758112</v>
      </c>
      <c r="K286" s="927">
        <v>5184732</v>
      </c>
      <c r="L286" s="924">
        <f>K286*1.06</f>
        <v>5495815.9199999999</v>
      </c>
      <c r="M286" s="925">
        <f>L286*1.06</f>
        <v>5825564.8752000006</v>
      </c>
    </row>
    <row r="287" spans="1:13" ht="12.75" x14ac:dyDescent="0.25">
      <c r="A287" s="1697"/>
      <c r="C287" s="1718" t="s">
        <v>2053</v>
      </c>
      <c r="D287" s="77"/>
      <c r="E287" s="1715"/>
      <c r="F287" s="924">
        <v>6510</v>
      </c>
      <c r="G287" s="925">
        <v>6732</v>
      </c>
      <c r="H287" s="1212">
        <v>6732</v>
      </c>
      <c r="I287" s="924">
        <v>6732</v>
      </c>
      <c r="J287" s="926">
        <v>6732</v>
      </c>
      <c r="K287" s="927">
        <f>J287</f>
        <v>6732</v>
      </c>
      <c r="L287" s="924">
        <f>K287</f>
        <v>6732</v>
      </c>
      <c r="M287" s="925">
        <f>L287</f>
        <v>6732</v>
      </c>
    </row>
    <row r="288" spans="1:13" ht="12.75" x14ac:dyDescent="0.25">
      <c r="A288" s="1697"/>
      <c r="C288" s="118" t="s">
        <v>2507</v>
      </c>
      <c r="D288" s="77"/>
      <c r="E288" s="1715"/>
      <c r="F288" s="924"/>
      <c r="G288" s="925"/>
      <c r="H288" s="1212"/>
      <c r="I288" s="924"/>
      <c r="J288" s="926"/>
      <c r="K288" s="927"/>
      <c r="L288" s="924"/>
      <c r="M288" s="925"/>
    </row>
    <row r="289" spans="1:13" ht="12.75" x14ac:dyDescent="0.25">
      <c r="A289" s="1697"/>
      <c r="C289" s="1718" t="s">
        <v>2053</v>
      </c>
      <c r="D289" s="77"/>
      <c r="E289" s="1715"/>
      <c r="F289" s="924"/>
      <c r="G289" s="925"/>
      <c r="H289" s="1212"/>
      <c r="I289" s="924"/>
      <c r="J289" s="926"/>
      <c r="K289" s="927"/>
      <c r="L289" s="924"/>
      <c r="M289" s="925"/>
    </row>
    <row r="290" spans="1:13" ht="12.75" x14ac:dyDescent="0.25">
      <c r="A290" s="1697"/>
      <c r="C290" s="118" t="s">
        <v>2508</v>
      </c>
      <c r="D290" s="77"/>
      <c r="E290" s="1715"/>
      <c r="F290" s="924"/>
      <c r="G290" s="925"/>
      <c r="H290" s="1212"/>
      <c r="I290" s="924"/>
      <c r="J290" s="926"/>
      <c r="K290" s="927"/>
      <c r="L290" s="924"/>
      <c r="M290" s="925"/>
    </row>
    <row r="291" spans="1:13" ht="12.75" x14ac:dyDescent="0.25">
      <c r="A291" s="1697"/>
      <c r="C291" s="1718" t="s">
        <v>2053</v>
      </c>
      <c r="D291" s="77"/>
      <c r="E291" s="1715"/>
      <c r="F291" s="924"/>
      <c r="G291" s="925"/>
      <c r="H291" s="1212"/>
      <c r="I291" s="924"/>
      <c r="J291" s="926"/>
      <c r="K291" s="927"/>
      <c r="L291" s="924"/>
      <c r="M291" s="925"/>
    </row>
    <row r="292" spans="1:13" ht="12.75" x14ac:dyDescent="0.25">
      <c r="A292" s="1697"/>
      <c r="C292" s="118" t="s">
        <v>2509</v>
      </c>
      <c r="D292" s="77"/>
      <c r="E292" s="1715"/>
      <c r="F292" s="924"/>
      <c r="G292" s="925"/>
      <c r="H292" s="1212"/>
      <c r="I292" s="924"/>
      <c r="J292" s="926"/>
      <c r="K292" s="927"/>
      <c r="L292" s="924"/>
      <c r="M292" s="925"/>
    </row>
    <row r="293" spans="1:13" ht="12.75" x14ac:dyDescent="0.25">
      <c r="A293" s="1697"/>
      <c r="C293" s="1718" t="s">
        <v>2053</v>
      </c>
      <c r="D293" s="77"/>
      <c r="E293" s="1715"/>
      <c r="F293" s="924"/>
      <c r="G293" s="925"/>
      <c r="H293" s="1212"/>
      <c r="I293" s="924"/>
      <c r="J293" s="926"/>
      <c r="K293" s="927"/>
      <c r="L293" s="924"/>
      <c r="M293" s="925"/>
    </row>
    <row r="294" spans="1:13" ht="12.75" x14ac:dyDescent="0.25">
      <c r="A294" s="1697"/>
      <c r="C294" s="118" t="s">
        <v>2510</v>
      </c>
      <c r="D294" s="77"/>
      <c r="E294" s="1715"/>
      <c r="F294" s="924"/>
      <c r="G294" s="925"/>
      <c r="H294" s="1212"/>
      <c r="I294" s="924"/>
      <c r="J294" s="926"/>
      <c r="K294" s="927"/>
      <c r="L294" s="924"/>
      <c r="M294" s="925"/>
    </row>
    <row r="295" spans="1:13" ht="12.75" x14ac:dyDescent="0.25">
      <c r="A295" s="1697"/>
      <c r="C295" s="1719" t="s">
        <v>2053</v>
      </c>
      <c r="D295" s="695"/>
      <c r="E295" s="1715"/>
      <c r="F295" s="924"/>
      <c r="G295" s="925"/>
      <c r="H295" s="1212"/>
      <c r="I295" s="924"/>
      <c r="J295" s="926"/>
      <c r="K295" s="927"/>
      <c r="L295" s="924"/>
      <c r="M295" s="925"/>
    </row>
    <row r="296" spans="1:13" ht="12.75" x14ac:dyDescent="0.25">
      <c r="A296" s="1722"/>
      <c r="B296" s="1720"/>
      <c r="C296" s="178" t="s">
        <v>2065</v>
      </c>
      <c r="D296" s="1180"/>
      <c r="E296" s="1716">
        <f>E288+E290+E292+E294</f>
        <v>0</v>
      </c>
      <c r="F296" s="1711">
        <f t="shared" ref="F296:M296" si="76">F288+F290+F292+F294</f>
        <v>0</v>
      </c>
      <c r="G296" s="1712">
        <f t="shared" si="76"/>
        <v>0</v>
      </c>
      <c r="H296" s="1713">
        <f t="shared" si="76"/>
        <v>0</v>
      </c>
      <c r="I296" s="1711">
        <f t="shared" si="76"/>
        <v>0</v>
      </c>
      <c r="J296" s="1714">
        <f t="shared" si="76"/>
        <v>0</v>
      </c>
      <c r="K296" s="1710">
        <f t="shared" si="76"/>
        <v>0</v>
      </c>
      <c r="L296" s="1711">
        <f t="shared" si="76"/>
        <v>0</v>
      </c>
      <c r="M296" s="1712">
        <f t="shared" si="76"/>
        <v>0</v>
      </c>
    </row>
    <row r="297" spans="1:13" ht="12.75" x14ac:dyDescent="0.25">
      <c r="A297" s="101" t="str">
        <f>head27a</f>
        <v>References</v>
      </c>
      <c r="B297" s="102"/>
      <c r="D297" s="102"/>
      <c r="E297" s="75"/>
      <c r="F297" s="75"/>
      <c r="G297" s="75"/>
      <c r="H297" s="75"/>
      <c r="I297" s="75"/>
      <c r="J297" s="75"/>
      <c r="K297" s="75"/>
      <c r="L297" s="75"/>
      <c r="M297" s="75"/>
    </row>
    <row r="298" spans="1:13" ht="12.75" x14ac:dyDescent="0.25">
      <c r="A298" s="132" t="s">
        <v>1954</v>
      </c>
      <c r="B298" s="102"/>
      <c r="D298" s="102"/>
      <c r="E298" s="75"/>
      <c r="F298" s="75"/>
      <c r="G298" s="75"/>
      <c r="H298" s="75"/>
      <c r="I298" s="75"/>
      <c r="J298" s="75"/>
      <c r="K298" s="75"/>
      <c r="L298" s="75"/>
      <c r="M298" s="75"/>
    </row>
    <row r="299" spans="1:13" ht="12.75" x14ac:dyDescent="0.25">
      <c r="A299" s="132" t="s">
        <v>532</v>
      </c>
      <c r="B299" s="102"/>
      <c r="D299" s="102"/>
      <c r="E299" s="75"/>
      <c r="F299" s="75"/>
      <c r="G299" s="75"/>
      <c r="H299" s="75"/>
      <c r="I299" s="75"/>
      <c r="J299" s="75"/>
      <c r="K299" s="75"/>
      <c r="L299" s="75"/>
      <c r="M299" s="75"/>
    </row>
    <row r="300" spans="1:13" ht="12.75" x14ac:dyDescent="0.25">
      <c r="A300" s="132" t="s">
        <v>533</v>
      </c>
      <c r="B300" s="102"/>
      <c r="D300" s="102"/>
      <c r="E300" s="75"/>
      <c r="F300" s="75"/>
      <c r="G300" s="75"/>
      <c r="H300" s="75"/>
      <c r="I300" s="75"/>
      <c r="J300" s="75"/>
      <c r="K300" s="75"/>
      <c r="L300" s="75"/>
      <c r="M300" s="75"/>
    </row>
    <row r="301" spans="1:13" ht="12.75" x14ac:dyDescent="0.25">
      <c r="A301" s="132" t="s">
        <v>534</v>
      </c>
      <c r="B301" s="102"/>
      <c r="D301" s="102"/>
      <c r="E301" s="75"/>
      <c r="F301" s="75"/>
      <c r="G301" s="75"/>
      <c r="H301" s="75"/>
      <c r="I301" s="75"/>
      <c r="J301" s="75"/>
      <c r="K301" s="75"/>
      <c r="L301" s="75"/>
      <c r="M301" s="75"/>
    </row>
    <row r="302" spans="1:13" ht="12.75" x14ac:dyDescent="0.25">
      <c r="A302" s="132" t="s">
        <v>535</v>
      </c>
      <c r="B302" s="102"/>
      <c r="D302" s="102"/>
      <c r="E302" s="75"/>
      <c r="F302" s="75"/>
      <c r="G302" s="75"/>
      <c r="H302" s="75"/>
      <c r="I302" s="75"/>
      <c r="J302" s="75"/>
      <c r="K302" s="75"/>
      <c r="L302" s="75"/>
      <c r="M302" s="75"/>
    </row>
    <row r="303" spans="1:13" ht="12.75" x14ac:dyDescent="0.25">
      <c r="A303" s="132" t="s">
        <v>1417</v>
      </c>
      <c r="B303" s="102"/>
      <c r="D303" s="102"/>
      <c r="E303" s="75"/>
      <c r="F303" s="75"/>
      <c r="G303" s="75"/>
      <c r="H303" s="75"/>
      <c r="I303" s="75"/>
      <c r="J303" s="75"/>
      <c r="K303" s="75"/>
      <c r="L303" s="75"/>
      <c r="M303" s="75"/>
    </row>
    <row r="304" spans="1:13" ht="12.75" x14ac:dyDescent="0.25">
      <c r="A304" s="132" t="s">
        <v>1418</v>
      </c>
      <c r="B304" s="102"/>
      <c r="D304" s="102"/>
      <c r="E304" s="75"/>
      <c r="F304" s="75"/>
      <c r="G304" s="75"/>
      <c r="H304" s="75"/>
      <c r="I304" s="75"/>
      <c r="J304" s="75"/>
      <c r="K304" s="75"/>
      <c r="L304" s="75"/>
      <c r="M304" s="75"/>
    </row>
    <row r="305" spans="1:13" ht="12.75" x14ac:dyDescent="0.25">
      <c r="A305" s="132" t="s">
        <v>1854</v>
      </c>
      <c r="B305" s="102"/>
      <c r="D305" s="102"/>
      <c r="E305" s="75"/>
      <c r="F305" s="75"/>
      <c r="G305" s="75"/>
      <c r="H305" s="75"/>
      <c r="I305" s="75"/>
      <c r="J305" s="75"/>
      <c r="K305" s="75"/>
      <c r="L305" s="75"/>
      <c r="M305" s="75"/>
    </row>
    <row r="306" spans="1:13" ht="11.25" customHeight="1" x14ac:dyDescent="0.25">
      <c r="A306" s="132" t="s">
        <v>1855</v>
      </c>
      <c r="B306" s="102"/>
      <c r="E306" s="75"/>
      <c r="F306" s="75"/>
      <c r="G306" s="75"/>
      <c r="H306" s="75"/>
      <c r="I306" s="75"/>
      <c r="J306" s="75"/>
      <c r="K306" s="75"/>
      <c r="L306" s="75"/>
      <c r="M306" s="75"/>
    </row>
    <row r="307" spans="1:13" ht="11.25" customHeight="1" x14ac:dyDescent="0.25">
      <c r="A307" s="132" t="s">
        <v>1856</v>
      </c>
      <c r="B307" s="107"/>
      <c r="C307" s="464"/>
      <c r="D307" s="464"/>
    </row>
    <row r="308" spans="1:13" ht="11.25" customHeight="1" x14ac:dyDescent="0.25">
      <c r="A308" s="132" t="s">
        <v>1857</v>
      </c>
      <c r="B308" s="107"/>
      <c r="C308" s="464"/>
      <c r="D308" s="464"/>
      <c r="E308" s="464"/>
      <c r="F308" s="464"/>
      <c r="G308" s="464"/>
      <c r="H308" s="464"/>
      <c r="I308" s="464"/>
      <c r="J308" s="464"/>
      <c r="K308" s="464"/>
      <c r="L308" s="464"/>
      <c r="M308" s="464"/>
    </row>
    <row r="309" spans="1:13" ht="11.25" customHeight="1" x14ac:dyDescent="0.25">
      <c r="A309" s="132" t="s">
        <v>1953</v>
      </c>
      <c r="B309" s="107"/>
      <c r="C309" s="464"/>
      <c r="D309" s="464"/>
      <c r="E309" s="464"/>
      <c r="F309" s="464"/>
      <c r="G309" s="464"/>
      <c r="H309" s="464"/>
      <c r="I309" s="464"/>
      <c r="J309" s="464"/>
      <c r="K309" s="464"/>
      <c r="L309" s="464"/>
      <c r="M309" s="464"/>
    </row>
    <row r="310" spans="1:13" ht="11.25" customHeight="1" x14ac:dyDescent="0.25">
      <c r="A310" s="106" t="s">
        <v>1968</v>
      </c>
      <c r="B310" s="107"/>
      <c r="C310" s="464"/>
      <c r="D310" s="464"/>
      <c r="E310" s="464"/>
      <c r="F310" s="464"/>
      <c r="G310" s="464"/>
      <c r="H310" s="464"/>
      <c r="I310" s="464"/>
      <c r="J310" s="464"/>
      <c r="K310" s="464"/>
      <c r="L310" s="464"/>
      <c r="M310" s="464"/>
    </row>
    <row r="311" spans="1:13" ht="11.25" customHeight="1" x14ac:dyDescent="0.25">
      <c r="B311" s="107"/>
      <c r="C311" s="464"/>
      <c r="D311" s="464"/>
      <c r="E311" s="464"/>
      <c r="F311" s="464"/>
      <c r="G311" s="464"/>
      <c r="H311" s="464"/>
      <c r="I311" s="464"/>
      <c r="J311" s="464"/>
      <c r="K311" s="464"/>
      <c r="L311" s="464"/>
      <c r="M311" s="464"/>
    </row>
    <row r="312" spans="1:13" ht="11.25" customHeight="1" x14ac:dyDescent="0.25">
      <c r="B312" s="107"/>
      <c r="C312" s="464"/>
      <c r="D312" s="464"/>
      <c r="E312" s="464"/>
      <c r="F312" s="464"/>
      <c r="G312" s="464"/>
      <c r="H312" s="464"/>
      <c r="I312" s="464"/>
      <c r="J312" s="464"/>
      <c r="K312" s="464"/>
      <c r="L312" s="464"/>
      <c r="M312" s="464"/>
    </row>
    <row r="313" spans="1:13" ht="11.25" customHeight="1" x14ac:dyDescent="0.25">
      <c r="B313" s="107"/>
      <c r="E313" s="464"/>
      <c r="F313" s="464"/>
      <c r="G313" s="464"/>
      <c r="H313" s="464"/>
      <c r="I313" s="464"/>
      <c r="J313" s="464"/>
      <c r="K313" s="464"/>
      <c r="L313" s="464"/>
      <c r="M313" s="464"/>
    </row>
    <row r="314" spans="1:13" ht="11.25" customHeight="1" x14ac:dyDescent="0.25">
      <c r="B314" s="107"/>
    </row>
    <row r="315" spans="1:13" ht="11.25" customHeight="1" x14ac:dyDescent="0.25">
      <c r="B315" s="102"/>
      <c r="G315" s="148"/>
      <c r="H315" s="148"/>
      <c r="I315" s="148"/>
      <c r="J315" s="148"/>
      <c r="K315" s="148"/>
      <c r="L315" s="148"/>
      <c r="M315" s="148"/>
    </row>
    <row r="316" spans="1:13" ht="11.25" customHeight="1" x14ac:dyDescent="0.25">
      <c r="B316" s="102"/>
      <c r="G316" s="148"/>
      <c r="H316" s="148"/>
      <c r="I316" s="148"/>
      <c r="J316" s="148"/>
      <c r="K316" s="148"/>
      <c r="L316" s="148"/>
      <c r="M316" s="148"/>
    </row>
    <row r="317" spans="1:13" ht="11.25" customHeight="1" x14ac:dyDescent="0.25">
      <c r="B317" s="102"/>
      <c r="G317" s="148"/>
      <c r="H317" s="148"/>
      <c r="I317" s="148"/>
      <c r="J317" s="148"/>
      <c r="K317" s="148"/>
      <c r="L317" s="148"/>
      <c r="M317" s="148"/>
    </row>
    <row r="318" spans="1:13" ht="11.25" customHeight="1" x14ac:dyDescent="0.25">
      <c r="B318" s="107"/>
      <c r="C318" s="132"/>
    </row>
    <row r="319" spans="1:13" ht="11.25" customHeight="1" x14ac:dyDescent="0.25">
      <c r="B319" s="107"/>
      <c r="C319" s="132"/>
    </row>
    <row r="320" spans="1:13" ht="11.25" customHeight="1" x14ac:dyDescent="0.25">
      <c r="B320" s="107"/>
      <c r="C320" s="132"/>
    </row>
  </sheetData>
  <mergeCells count="22">
    <mergeCell ref="H247:J247"/>
    <mergeCell ref="K247:M247"/>
    <mergeCell ref="A247:A248"/>
    <mergeCell ref="A155:A156"/>
    <mergeCell ref="H155:J155"/>
    <mergeCell ref="K155:M155"/>
    <mergeCell ref="A201:A202"/>
    <mergeCell ref="H201:J201"/>
    <mergeCell ref="K201:M201"/>
    <mergeCell ref="A109:A110"/>
    <mergeCell ref="H109:J109"/>
    <mergeCell ref="K109:M109"/>
    <mergeCell ref="A2:A3"/>
    <mergeCell ref="B2:B3"/>
    <mergeCell ref="C2:C3"/>
    <mergeCell ref="A63:A64"/>
    <mergeCell ref="D2:D3"/>
    <mergeCell ref="E2:E3"/>
    <mergeCell ref="K2:M2"/>
    <mergeCell ref="F2:F3"/>
    <mergeCell ref="H63:J63"/>
    <mergeCell ref="K63:M63"/>
  </mergeCells>
  <dataValidations count="1">
    <dataValidation type="decimal" allowBlank="1" showInputMessage="1" showErrorMessage="1" sqref="E67:M70 E72:M74 E78:M82 E239:M243 E90:M91 E93:M95 E99:M99 E101:M105 E113:M116 E118:M120 E124:M128 E130:M132 E84:M86 E139:M141 E145:M145 E147:M151 E159:M162 E164:M166 E170:M174 E176:M178 E182:M183 E185:M187 E191:M191 E193:M197 E205:M208 E210:M212 E216:M220 E222:M224 E228:M229 E231:M233 E237:M237 E136:M137" xr:uid="{00000000-0002-0000-1C00-000000000000}">
      <formula1>-9999999999999990000</formula1>
      <formula2>99999999999999900000</formula2>
    </dataValidation>
  </dataValidations>
  <printOptions horizontalCentered="1"/>
  <pageMargins left="0.35433070866141736" right="0" top="0.59055118110236227" bottom="0.39370078740157483" header="0.51181102362204722" footer="0.39370078740157483"/>
  <pageSetup paperSize="9" scale="45" orientation="landscape"/>
  <headerFooter alignWithMargins="0"/>
  <rowBreaks count="2" manualBreakCount="2">
    <brk id="61" max="12" man="1"/>
    <brk id="154"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R138"/>
  <sheetViews>
    <sheetView showGridLines="0" zoomScaleNormal="100" workbookViewId="0">
      <pane xSplit="3" ySplit="3" topLeftCell="D121" activePane="bottomRight" state="frozen"/>
      <selection pane="topRight"/>
      <selection pane="bottomLeft"/>
      <selection pane="bottomRight" activeCell="K133" sqref="K133"/>
    </sheetView>
  </sheetViews>
  <sheetFormatPr defaultRowHeight="12.75" x14ac:dyDescent="0.25"/>
  <cols>
    <col min="1" max="1" width="38.7109375" style="25" customWidth="1"/>
    <col min="2" max="2" width="6.7109375" style="102" bestFit="1" customWidth="1"/>
    <col min="3" max="3" width="3" style="102" customWidth="1"/>
    <col min="4" max="5" width="9" style="102" customWidth="1"/>
    <col min="6" max="9" width="9" style="25" customWidth="1"/>
    <col min="10" max="10" width="8.7109375" style="25" customWidth="1"/>
    <col min="11" max="13" width="9" style="25" customWidth="1"/>
    <col min="14" max="14" width="9.42578125" style="25" customWidth="1"/>
    <col min="15" max="15" width="10.140625" style="25" bestFit="1" customWidth="1"/>
    <col min="16" max="16" width="9.42578125" style="25" bestFit="1" customWidth="1"/>
    <col min="17" max="16384" width="9.140625" style="25"/>
  </cols>
  <sheetData>
    <row r="1" spans="1:15" s="52" customFormat="1" ht="13.5" customHeight="1" x14ac:dyDescent="0.2">
      <c r="A1" s="23" t="str">
        <f>muni &amp;" " &amp; TableA10</f>
        <v>EC101 Dr Beyers Naude Supporting Table SA10 Funding measurement</v>
      </c>
      <c r="B1" s="23"/>
      <c r="C1" s="23"/>
      <c r="D1" s="23"/>
      <c r="E1" s="23"/>
      <c r="F1" s="23"/>
      <c r="G1" s="23"/>
      <c r="H1" s="23"/>
      <c r="I1" s="23"/>
      <c r="J1" s="23"/>
      <c r="K1" s="23"/>
      <c r="L1" s="23"/>
      <c r="M1" s="23"/>
    </row>
    <row r="2" spans="1:15" ht="28.5" customHeight="1" x14ac:dyDescent="0.25">
      <c r="A2" s="1940" t="str">
        <f>desc</f>
        <v>Description</v>
      </c>
      <c r="B2" s="1954" t="s">
        <v>372</v>
      </c>
      <c r="C2" s="1956" t="str">
        <f>head27</f>
        <v>Ref</v>
      </c>
      <c r="D2" s="26" t="str">
        <f>head1b</f>
        <v>2015/16</v>
      </c>
      <c r="E2" s="26" t="str">
        <f>head1A</f>
        <v>2016/17</v>
      </c>
      <c r="F2" s="22" t="str">
        <f>Head1</f>
        <v>2017/18</v>
      </c>
      <c r="G2" s="1907" t="str">
        <f>Head2</f>
        <v>Current Year 2018/19</v>
      </c>
      <c r="H2" s="1908"/>
      <c r="I2" s="1908"/>
      <c r="J2" s="1908"/>
      <c r="K2" s="1904" t="str">
        <f>Head3</f>
        <v>2019/20 Medium Term Revenue &amp; Expenditure Framework</v>
      </c>
      <c r="L2" s="1905"/>
      <c r="M2" s="1906"/>
    </row>
    <row r="3" spans="1:15" ht="25.5" x14ac:dyDescent="0.25">
      <c r="A3" s="1941"/>
      <c r="B3" s="1955"/>
      <c r="C3" s="1957"/>
      <c r="D3" s="203" t="str">
        <f>Head5</f>
        <v>Audited Outcome</v>
      </c>
      <c r="E3" s="203" t="str">
        <f>Head5</f>
        <v>Audited Outcome</v>
      </c>
      <c r="F3" s="204" t="str">
        <f>Head5</f>
        <v>Audited Outcome</v>
      </c>
      <c r="G3" s="141" t="str">
        <f>Head6</f>
        <v>Original Budget</v>
      </c>
      <c r="H3" s="585" t="str">
        <f>Head7</f>
        <v>Adjusted Budget</v>
      </c>
      <c r="I3" s="1211" t="str">
        <f>Head8</f>
        <v>Full Year Forecast</v>
      </c>
      <c r="J3" s="1085" t="str">
        <f>Head5b</f>
        <v>Pre-audit outcome</v>
      </c>
      <c r="K3" s="141" t="str">
        <f>Head9</f>
        <v>Budget Year 2019/20</v>
      </c>
      <c r="L3" s="203" t="str">
        <f>Head10</f>
        <v>Budget Year +1 2020/21</v>
      </c>
      <c r="M3" s="204" t="str">
        <f>Head11</f>
        <v>Budget Year +2 2021/22</v>
      </c>
    </row>
    <row r="4" spans="1:15" x14ac:dyDescent="0.25">
      <c r="A4" s="54" t="s">
        <v>1517</v>
      </c>
      <c r="B4" s="326"/>
      <c r="C4" s="327"/>
      <c r="D4" s="601"/>
      <c r="E4" s="328"/>
      <c r="F4" s="329"/>
      <c r="G4" s="74"/>
      <c r="H4" s="328"/>
      <c r="I4" s="329"/>
      <c r="K4" s="330"/>
      <c r="L4" s="328"/>
      <c r="M4" s="329"/>
    </row>
    <row r="5" spans="1:15" x14ac:dyDescent="0.25">
      <c r="A5" s="63" t="str">
        <f>LEFT('A7-CFlow'!A40,37)&amp;" - R'000"</f>
        <v>Cash/cash equivalents at the year end - R'000</v>
      </c>
      <c r="B5" s="331" t="s">
        <v>1171</v>
      </c>
      <c r="C5" s="55">
        <v>1</v>
      </c>
      <c r="D5" s="76">
        <f>'A7-CFlow'!C40</f>
        <v>0</v>
      </c>
      <c r="E5" s="332">
        <f>'A7-CFlow'!D40</f>
        <v>27454611</v>
      </c>
      <c r="F5" s="333">
        <f>'A7-CFlow'!E40</f>
        <v>-10888587</v>
      </c>
      <c r="G5" s="78">
        <f>'A7-CFlow'!F40</f>
        <v>1821586.1402084231</v>
      </c>
      <c r="H5" s="332">
        <f>'A7-CFlow'!G40</f>
        <v>2876835.86450845</v>
      </c>
      <c r="I5" s="333">
        <f>'A7-CFlow'!H40</f>
        <v>2876835.86450845</v>
      </c>
      <c r="J5" s="75">
        <f>'A7-CFlow'!I40</f>
        <v>2876835.86450845</v>
      </c>
      <c r="K5" s="79">
        <f>'A7-CFlow'!J40</f>
        <v>131332.16330000013</v>
      </c>
      <c r="L5" s="332">
        <f>'A7-CFlow'!K40</f>
        <v>2742350.5423980802</v>
      </c>
      <c r="M5" s="333">
        <f>'A7-CFlow'!L40</f>
        <v>932774.41024200618</v>
      </c>
    </row>
    <row r="6" spans="1:15" x14ac:dyDescent="0.25">
      <c r="A6" s="63" t="s">
        <v>1239</v>
      </c>
      <c r="B6" s="331" t="s">
        <v>1171</v>
      </c>
      <c r="C6" s="55">
        <v>2</v>
      </c>
      <c r="D6" s="76">
        <f>'A8-ResRecon'!C8-'A8-ResRecon'!C18</f>
        <v>0</v>
      </c>
      <c r="E6" s="332">
        <f>'A8-ResRecon'!D8-'A8-ResRecon'!D18</f>
        <v>-78666214</v>
      </c>
      <c r="F6" s="333">
        <f>'A8-ResRecon'!E8-'A8-ResRecon'!E18</f>
        <v>-109183994</v>
      </c>
      <c r="G6" s="78">
        <f>'A8-ResRecon'!F8-'A8-ResRecon'!F18</f>
        <v>-37776916.859791577</v>
      </c>
      <c r="H6" s="332">
        <f>'A8-ResRecon'!G8-'A8-ResRecon'!G18</f>
        <v>-38418916.859791577</v>
      </c>
      <c r="I6" s="333">
        <f>'A8-ResRecon'!H8-'A8-ResRecon'!H18</f>
        <v>-38418916.859791577</v>
      </c>
      <c r="J6" s="75">
        <f>'A8-ResRecon'!I8-'A8-ResRecon'!I18</f>
        <v>-38418916.859791577</v>
      </c>
      <c r="K6" s="79">
        <f>'A8-ResRecon'!J8-'A8-ResRecon'!J18</f>
        <v>53720332.1633</v>
      </c>
      <c r="L6" s="332">
        <f>'A8-ResRecon'!K8-'A8-ResRecon'!K18</f>
        <v>59196350.54239808</v>
      </c>
      <c r="M6" s="333">
        <f>'A8-ResRecon'!L8-'A8-ResRecon'!L18</f>
        <v>115688774.41024201</v>
      </c>
    </row>
    <row r="7" spans="1:15" x14ac:dyDescent="0.25">
      <c r="A7" s="63" t="s">
        <v>238</v>
      </c>
      <c r="B7" s="331" t="s">
        <v>1171</v>
      </c>
      <c r="C7" s="55">
        <v>3</v>
      </c>
      <c r="D7" s="607">
        <f>IF(ISERROR('SA8'!C39),0,('SA8'!C39))</f>
        <v>0</v>
      </c>
      <c r="E7" s="335">
        <f>IF(ISERROR('SA8'!D39),0,('SA8'!D39))</f>
        <v>1.2671440098271645</v>
      </c>
      <c r="F7" s="336">
        <f>IF(ISERROR('SA8'!E39),0,('SA8'!E39))</f>
        <v>-0.45094124302429633</v>
      </c>
      <c r="G7" s="337">
        <f>IF(ISERROR('SA8'!F39),0,('SA8'!F39))</f>
        <v>7.6775248664179271E-2</v>
      </c>
      <c r="H7" s="335">
        <f>IF(ISERROR('SA8'!G39),0,('SA8'!G39))</f>
        <v>0.12046424046171701</v>
      </c>
      <c r="I7" s="336">
        <f>IF(ISERROR('SA8'!H39),0,('SA8'!H39))</f>
        <v>0.12046424046171701</v>
      </c>
      <c r="J7" s="334">
        <f>IF(ISERROR('SA8'!I39),0,('SA8'!I39))</f>
        <v>0.12046424046171701</v>
      </c>
      <c r="K7" s="338">
        <f>IF(ISERROR('SA8'!J39),0,('SA8'!J39))</f>
        <v>5.3943301850698502E-3</v>
      </c>
      <c r="L7" s="335">
        <f>IF(ISERROR('SA8'!K39),0,('SA8'!K39))</f>
        <v>0.10626335672208317</v>
      </c>
      <c r="M7" s="336">
        <f>IF(ISERROR('SA8'!L39),0,('SA8'!L39))</f>
        <v>3.4098189540748836E-2</v>
      </c>
    </row>
    <row r="8" spans="1:15" x14ac:dyDescent="0.25">
      <c r="A8" s="63" t="s">
        <v>1115</v>
      </c>
      <c r="B8" s="331" t="s">
        <v>1172</v>
      </c>
      <c r="C8" s="55">
        <v>4</v>
      </c>
      <c r="D8" s="76">
        <f>'A4-FinPerf RE'!C41+'SA3'!C61</f>
        <v>0</v>
      </c>
      <c r="E8" s="332">
        <f>'A4-FinPerf RE'!D41+'SA3'!D61</f>
        <v>-43726874</v>
      </c>
      <c r="F8" s="333">
        <f>'A4-FinPerf RE'!E41+'SA3'!E61</f>
        <v>-43253831</v>
      </c>
      <c r="G8" s="78">
        <f>'A4-FinPerf RE'!F41+'SA3'!F61</f>
        <v>-23732193.323091567</v>
      </c>
      <c r="H8" s="332">
        <f>'A4-FinPerf RE'!G41+'SA3'!G61</f>
        <v>-7555718.0950916409</v>
      </c>
      <c r="I8" s="333">
        <f>'A4-FinPerf RE'!H41+'SA3'!H61</f>
        <v>-7555718.0950916409</v>
      </c>
      <c r="J8" s="75">
        <f>'A4-FinPerf RE'!I41+'SA3'!I61</f>
        <v>-7555718.0950916409</v>
      </c>
      <c r="K8" s="79">
        <f>'A4-FinPerf RE'!J41+'SA3'!J61</f>
        <v>552472.40420001745</v>
      </c>
      <c r="L8" s="332">
        <f>'A4-FinPerf RE'!K41+'SA3'!K61</f>
        <v>585620.74845206738</v>
      </c>
      <c r="M8" s="333">
        <f>'A4-FinPerf RE'!L41+'SA3'!L61</f>
        <v>620757.99335920066</v>
      </c>
    </row>
    <row r="9" spans="1:15" x14ac:dyDescent="0.25">
      <c r="A9" s="63" t="s">
        <v>1409</v>
      </c>
      <c r="B9" s="331" t="s">
        <v>1169</v>
      </c>
      <c r="C9" s="55">
        <v>5</v>
      </c>
      <c r="D9" s="390" t="s">
        <v>1282</v>
      </c>
      <c r="E9" s="339">
        <f>IF(ISERROR(E36-E61),0,(E36-E61))</f>
        <v>-0.06</v>
      </c>
      <c r="F9" s="340">
        <f t="shared" ref="F9:M9" si="0">IF(ISERROR(F36-F61),0,(F36-F61))</f>
        <v>0.28684135575967878</v>
      </c>
      <c r="G9" s="343">
        <f t="shared" si="0"/>
        <v>-9.958364324101826E-2</v>
      </c>
      <c r="H9" s="342">
        <f t="shared" si="0"/>
        <v>1.5625092644804772E-2</v>
      </c>
      <c r="I9" s="340">
        <f t="shared" si="0"/>
        <v>-0.06</v>
      </c>
      <c r="J9" s="343">
        <f t="shared" si="0"/>
        <v>-0.06</v>
      </c>
      <c r="K9" s="344">
        <f>IF(ISERROR(K36-K61),0,(K36-K61))</f>
        <v>0.17983397334429824</v>
      </c>
      <c r="L9" s="342">
        <f t="shared" si="0"/>
        <v>5.5511151231257827E-17</v>
      </c>
      <c r="M9" s="340">
        <f t="shared" si="0"/>
        <v>5.5511151231257827E-17</v>
      </c>
    </row>
    <row r="10" spans="1:15" x14ac:dyDescent="0.25">
      <c r="A10" s="63" t="s">
        <v>83</v>
      </c>
      <c r="B10" s="331" t="s">
        <v>1169</v>
      </c>
      <c r="C10" s="55">
        <v>6</v>
      </c>
      <c r="D10" s="391">
        <f>IF(ISERROR(D53/D54),0,(D53/D54))</f>
        <v>0</v>
      </c>
      <c r="E10" s="342">
        <f t="shared" ref="E10:M10" si="1">IF(ISERROR(E53/E54),0,(E53/E54))</f>
        <v>0.92472841952578466</v>
      </c>
      <c r="F10" s="340">
        <f t="shared" si="1"/>
        <v>0.83091784898235599</v>
      </c>
      <c r="G10" s="343">
        <f t="shared" si="1"/>
        <v>0.88666436823839412</v>
      </c>
      <c r="H10" s="342">
        <f t="shared" si="1"/>
        <v>0.91475205431715823</v>
      </c>
      <c r="I10" s="340">
        <f t="shared" si="1"/>
        <v>0.91475205431715823</v>
      </c>
      <c r="J10" s="343">
        <f t="shared" si="1"/>
        <v>0.91475205431715823</v>
      </c>
      <c r="K10" s="344">
        <f t="shared" si="1"/>
        <v>0.93617342940825632</v>
      </c>
      <c r="L10" s="342">
        <f t="shared" si="1"/>
        <v>0.93617342940825632</v>
      </c>
      <c r="M10" s="340">
        <f t="shared" si="1"/>
        <v>0.93617342940825599</v>
      </c>
    </row>
    <row r="11" spans="1:15" x14ac:dyDescent="0.25">
      <c r="A11" s="63" t="s">
        <v>151</v>
      </c>
      <c r="B11" s="331" t="s">
        <v>1169</v>
      </c>
      <c r="C11" s="55">
        <v>7</v>
      </c>
      <c r="D11" s="391">
        <f>IF(ISERROR('A4-FinPerf RE'!C26/'SA10'!D43),0,('A4-FinPerf RE'!C26/'SA10'!D43))</f>
        <v>0</v>
      </c>
      <c r="E11" s="342">
        <f>IF(ISERROR('A4-FinPerf RE'!D26/'SA10'!E43),0,('A4-FinPerf RE'!D26/'SA10'!E43))</f>
        <v>0.26237470499620202</v>
      </c>
      <c r="F11" s="340">
        <f>IF(ISERROR('A4-FinPerf RE'!E26/'SA10'!F43),0,('A4-FinPerf RE'!E26/'SA10'!F43))</f>
        <v>3.0292152705032223E-2</v>
      </c>
      <c r="G11" s="343">
        <f>IF(ISERROR('A4-FinPerf RE'!F26/'SA10'!G43),0,('A4-FinPerf RE'!F26/'SA10'!G43))</f>
        <v>1.9622939828895701E-2</v>
      </c>
      <c r="H11" s="342">
        <f>IF(ISERROR('A4-FinPerf RE'!G26/'SA10'!H43),0,('A4-FinPerf RE'!G26/'SA10'!H43))</f>
        <v>2.8997421788342789E-2</v>
      </c>
      <c r="I11" s="340">
        <f>IF(ISERROR('A4-FinPerf RE'!H26/'SA10'!I43),0,('A4-FinPerf RE'!H26/'SA10'!I43))</f>
        <v>2.8997421788342789E-2</v>
      </c>
      <c r="J11" s="343">
        <f>IF(ISERROR('A4-FinPerf RE'!I26/'SA10'!J43),0,('A4-FinPerf RE'!I26/'SA10'!J43))</f>
        <v>2.8997421788342789E-2</v>
      </c>
      <c r="K11" s="344">
        <f>IF(ISERROR('A4-FinPerf RE'!J26/'SA10'!K43),0,('A4-FinPerf RE'!J26/'SA10'!K43))</f>
        <v>1.6371703464852418E-2</v>
      </c>
      <c r="L11" s="342">
        <f>IF(ISERROR('A4-FinPerf RE'!K26/'SA10'!L43),0,('A4-FinPerf RE'!K26/'SA10'!L43))</f>
        <v>1.6371703464852422E-2</v>
      </c>
      <c r="M11" s="340">
        <f>IF(ISERROR('A4-FinPerf RE'!L26/'SA10'!M43),0,('A4-FinPerf RE'!L26/'SA10'!M43))</f>
        <v>1.6371703464852422E-2</v>
      </c>
    </row>
    <row r="12" spans="1:15" x14ac:dyDescent="0.25">
      <c r="A12" s="63" t="s">
        <v>1592</v>
      </c>
      <c r="B12" s="331" t="s">
        <v>1170</v>
      </c>
      <c r="C12" s="55">
        <v>8</v>
      </c>
      <c r="D12" s="391">
        <f>IF(ISERROR(-'A7-CFlow'!C26/'A5-Capex'!C40),0,(-'A7-CFlow'!C26/'A5-Capex'!C40))</f>
        <v>0</v>
      </c>
      <c r="E12" s="391">
        <f>IF(ISERROR(-'A7-CFlow'!D26/'A5-Capex'!D40),0,(-'A7-CFlow'!D26/'A5-Capex'!D40))</f>
        <v>1.0007895510258054</v>
      </c>
      <c r="F12" s="340">
        <f>IF(ISERROR(-'A7-CFlow'!E26/'A5-Capex'!E40),0,(-'A7-CFlow'!E26/'A5-Capex'!E40))</f>
        <v>1</v>
      </c>
      <c r="G12" s="895">
        <f>IF(ISERROR(-'A7-CFlow'!F26/'A5-Capex'!F40),0,(-'A7-CFlow'!F26/'A5-Capex'!F40))</f>
        <v>0.70887807573367556</v>
      </c>
      <c r="H12" s="391">
        <f>IF(ISERROR(-'A7-CFlow'!G26/'A5-Capex'!G40),0,(-'A7-CFlow'!G26/'A5-Capex'!G40))</f>
        <v>0.78467051347066663</v>
      </c>
      <c r="I12" s="340">
        <f>IF(ISERROR(-'A7-CFlow'!H26/'A5-Capex'!H40),0,(-'A7-CFlow'!H26/'A5-Capex'!H40))</f>
        <v>0.78467051347066663</v>
      </c>
      <c r="J12" s="357">
        <f>IF(ISERROR(-'A7-CFlow'!I26/'A5-Capex'!I40),0,(-'A7-CFlow'!I26/'A5-Capex'!I40))</f>
        <v>0.78467051347066663</v>
      </c>
      <c r="K12" s="895">
        <f>IF(ISERROR(-'A7-CFlow'!J26/'A5-Capex'!J40),0,(-'A7-CFlow'!J26/'A5-Capex'!J40))</f>
        <v>1</v>
      </c>
      <c r="L12" s="391">
        <f>IF(ISERROR(-'A7-CFlow'!K26/'A5-Capex'!K40),0,(-'A7-CFlow'!K26/'A5-Capex'!K40))</f>
        <v>0.64930588023412883</v>
      </c>
      <c r="M12" s="340">
        <f>IF(ISERROR(-'A7-CFlow'!L26/'A5-Capex'!L40),0,(-'A7-CFlow'!L26/'A5-Capex'!L40))</f>
        <v>0</v>
      </c>
    </row>
    <row r="13" spans="1:15" x14ac:dyDescent="0.25">
      <c r="A13" s="63" t="s">
        <v>13</v>
      </c>
      <c r="B13" s="331" t="s">
        <v>374</v>
      </c>
      <c r="C13" s="55">
        <v>9</v>
      </c>
      <c r="D13" s="391">
        <f>IF(ISERROR('A7-CFlow'!C32/'SA10'!D52),0,('A7-CFlow'!C32/'SA10'!D52))</f>
        <v>0</v>
      </c>
      <c r="E13" s="342">
        <f>IF(ISERROR('A7-CFlow'!D32/'SA10'!E52),0,('A7-CFlow'!D32/'SA10'!E52))</f>
        <v>0</v>
      </c>
      <c r="F13" s="340">
        <f>IF(ISERROR('A7-CFlow'!E32/'SA10'!F52),0,('A7-CFlow'!E32/'SA10'!F52))</f>
        <v>0</v>
      </c>
      <c r="G13" s="343">
        <f>IF(ISERROR('A7-CFlow'!F32/'SA10'!G52),0,('A7-CFlow'!F32/'SA10'!G52))</f>
        <v>0</v>
      </c>
      <c r="H13" s="342">
        <f>IF(ISERROR('A7-CFlow'!G32/'SA10'!H52),0,('A7-CFlow'!G32/'SA10'!H52))</f>
        <v>0</v>
      </c>
      <c r="I13" s="340">
        <f>IF(ISERROR('A7-CFlow'!H32/'SA10'!I52),0,('A7-CFlow'!H32/'SA10'!I52))</f>
        <v>0</v>
      </c>
      <c r="J13" s="343">
        <f>IF(ISERROR('A7-CFlow'!I32/'SA10'!J52),0,('A7-CFlow'!I32/'SA10'!J52))</f>
        <v>0</v>
      </c>
      <c r="K13" s="344">
        <f>IF(ISERROR('A7-CFlow'!J32/'SA10'!K52),0,('A7-CFlow'!J32/'SA10'!K52))</f>
        <v>0</v>
      </c>
      <c r="L13" s="342">
        <f>IF(ISERROR('A7-CFlow'!K32/'SA10'!L52),0,('A7-CFlow'!K32/'SA10'!L52))</f>
        <v>0</v>
      </c>
      <c r="M13" s="340">
        <f>IF(ISERROR('A7-CFlow'!L32/'SA10'!M52),0,('A7-CFlow'!L32/'SA10'!M52))</f>
        <v>0</v>
      </c>
    </row>
    <row r="14" spans="1:15" ht="14.25" customHeight="1" x14ac:dyDescent="0.25">
      <c r="A14" s="63" t="s">
        <v>622</v>
      </c>
      <c r="B14" s="331" t="s">
        <v>373</v>
      </c>
      <c r="C14" s="55">
        <v>10</v>
      </c>
      <c r="D14" s="1020"/>
      <c r="E14" s="1021"/>
      <c r="F14" s="1022"/>
      <c r="G14" s="1023"/>
      <c r="H14" s="1021"/>
      <c r="I14" s="1022"/>
      <c r="J14" s="1023"/>
      <c r="K14" s="344">
        <f>IF(ISERROR(K56/K68),0,(K56/K68))</f>
        <v>0</v>
      </c>
      <c r="L14" s="342">
        <f>IF(ISERROR(L56/L68),0,(L56/L68))</f>
        <v>0</v>
      </c>
      <c r="M14" s="340">
        <f>IF(ISERROR(M56/M68),0,(M56/M68))</f>
        <v>0</v>
      </c>
      <c r="N14" s="877"/>
      <c r="O14" s="877"/>
    </row>
    <row r="15" spans="1:15" x14ac:dyDescent="0.25">
      <c r="A15" s="63" t="s">
        <v>623</v>
      </c>
      <c r="B15" s="331" t="s">
        <v>373</v>
      </c>
      <c r="C15" s="55">
        <v>11</v>
      </c>
      <c r="D15" s="390" t="s">
        <v>1282</v>
      </c>
      <c r="E15" s="342">
        <f>IF(ISERROR(ROUND((SUM('A6-FinPos'!D8:D10)-SUM('A6-FinPos'!C8:C10))/SUM('A6-FinPos'!C8:C10),3)),0,(ROUND((SUM('A6-FinPos'!D8:D10)-SUM('A6-FinPos'!C8:C10))/SUM('A6-FinPos'!C8:C10),3)))</f>
        <v>0</v>
      </c>
      <c r="F15" s="340">
        <f>IF(ISERROR(ROUND((SUM('A6-FinPos'!E8:E10)-SUM('A6-FinPos'!D8:D10))/SUM('A6-FinPos'!D8:D10),3)),0,(ROUND((SUM('A6-FinPos'!E8:E10)-SUM('A6-FinPos'!D8:D10))/SUM('A6-FinPos'!D8:D10),3)))</f>
        <v>1.1559999999999999</v>
      </c>
      <c r="G15" s="343">
        <f>IF(ISERROR(ROUND((SUM('A6-FinPos'!F8:F10)-SUM('A6-FinPos'!E8:E10))/SUM('A6-FinPos'!E8:E10),3)),0,(ROUND((SUM('A6-FinPos'!F8:F10)-SUM('A6-FinPos'!E8:E10))/SUM('A6-FinPos'!E8:E10),3)))</f>
        <v>0.27400000000000002</v>
      </c>
      <c r="H15" s="342">
        <f>IF(ISERROR(ROUND((SUM('A6-FinPos'!G8:G10)-SUM('A6-FinPos'!F8:F10))/SUM('A6-FinPos'!F8:F10),3)),0,(ROUND((SUM('A6-FinPos'!G8:G10)-SUM('A6-FinPos'!F8:F10))/SUM('A6-FinPos'!F8:F10),3)))</f>
        <v>0.41</v>
      </c>
      <c r="I15" s="340">
        <f>IF(ISERROR(ROUND((SUM('A6-FinPos'!H8:H10)-SUM('A6-FinPos'!G8:G10))/SUM('A6-FinPos'!G8:G10),3)),0,(ROUND((SUM('A6-FinPos'!H8:H10)-SUM('A6-FinPos'!G8:G10))/SUM('A6-FinPos'!G8:G10),3)))</f>
        <v>0</v>
      </c>
      <c r="J15" s="343">
        <f>IF(ISERROR(ROUND((SUM('A6-FinPos'!I8:I10)-SUM('A6-FinPos'!H8:H10))/SUM('A6-FinPos'!H8:H10),3)),0,(ROUND((SUM('A6-FinPos'!I8:I10)-SUM('A6-FinPos'!H8:H10))/SUM('A6-FinPos'!H8:H10),3)))</f>
        <v>0</v>
      </c>
      <c r="K15" s="344">
        <f>IF(ISERROR(ROUND((SUM('A6-FinPos'!J8:J10)-SUM('A6-FinPos'!G8:G10))/SUM('A6-FinPos'!G8:G10),3)),0,(ROUND((SUM('A6-FinPos'!J8:J10)-SUM('A6-FinPos'!G8:G10))/SUM('A6-FinPos'!G8:G10),3)))</f>
        <v>0.45100000000000001</v>
      </c>
      <c r="L15" s="342">
        <f>IF(ISERROR(ROUND((SUM('A6-FinPos'!K8:K10)-SUM('A6-FinPos'!J8:J10))/SUM('A6-FinPos'!J8:J10),3)),0,(ROUND((SUM('A6-FinPos'!K8:K10)-SUM('A6-FinPos'!J8:J10))/SUM('A6-FinPos'!J8:J10),3)))</f>
        <v>-3.1E-2</v>
      </c>
      <c r="M15" s="340">
        <f>IF(ISERROR(ROUND((SUM('A6-FinPos'!L8:L10)-SUM('A6-FinPos'!K8:K10))/SUM('A6-FinPos'!K8:K10),3)),0,(ROUND((SUM('A6-FinPos'!L8:L10)-SUM('A6-FinPos'!K8:K10))/SUM('A6-FinPos'!K8:K10),3)))</f>
        <v>0.628</v>
      </c>
    </row>
    <row r="16" spans="1:15" x14ac:dyDescent="0.25">
      <c r="A16" s="63" t="s">
        <v>1280</v>
      </c>
      <c r="B16" s="331" t="s">
        <v>373</v>
      </c>
      <c r="C16" s="55">
        <v>12</v>
      </c>
      <c r="D16" s="390" t="s">
        <v>1282</v>
      </c>
      <c r="E16" s="342">
        <f>IF(ISERROR(ROUND(('A6-FinPos'!D15-'A6-FinPos'!C15)/'A6-FinPos'!C15,3)),0,(ROUND(('A6-FinPos'!D15-'A6-FinPos'!C15)/'A6-FinPos'!C15,3)))</f>
        <v>0</v>
      </c>
      <c r="F16" s="340">
        <f>IF(ISERROR(ROUND(('A6-FinPos'!E15-'A6-FinPos'!D15)/'A6-FinPos'!D15,3)),0,(ROUND(('A6-FinPos'!E15-'A6-FinPos'!D15)/'A6-FinPos'!D15,3)))</f>
        <v>0</v>
      </c>
      <c r="G16" s="343">
        <f>IF(ISERROR(ROUND(('A6-FinPos'!F15-'A6-FinPos'!E15)/'A6-FinPos'!E15,3)),0,(ROUND(('A6-FinPos'!F15-'A6-FinPos'!E15)/'A6-FinPos'!E15,3)))</f>
        <v>0</v>
      </c>
      <c r="H16" s="342">
        <f>IF(ISERROR(ROUND(('A6-FinPos'!G15-'A6-FinPos'!F15)/'A6-FinPos'!F15,3)),0,(ROUND(('A6-FinPos'!G15-'A6-FinPos'!F15)/'A6-FinPos'!F15,3)))</f>
        <v>0</v>
      </c>
      <c r="I16" s="340">
        <f>IF(ISERROR(ROUND(('A6-FinPos'!H15-'A6-FinPos'!G15)/'A6-FinPos'!G15,3)),0,(ROUND(('A6-FinPos'!H15-'A6-FinPos'!G15)/'A6-FinPos'!G15,3)))</f>
        <v>0</v>
      </c>
      <c r="J16" s="343">
        <f>IF(ISERROR(ROUND(('A6-FinPos'!I15-'A6-FinPos'!H15)/'A6-FinPos'!H15,3)),0,(ROUND(('A6-FinPos'!I15-'A6-FinPos'!H15)/'A6-FinPos'!H15,3)))</f>
        <v>0</v>
      </c>
      <c r="K16" s="344">
        <f>IF(ISERROR(ROUND(('A6-FinPos'!J15-'A6-FinPos'!G15)/'A6-FinPos'!G15,3)),0,(ROUND(('A6-FinPos'!J15-'A6-FinPos'!G15)/'A6-FinPos'!G15,3)))</f>
        <v>0</v>
      </c>
      <c r="L16" s="342">
        <f>IF(ISERROR(ROUND(('A6-FinPos'!K15-'A6-FinPos'!J15)/'A6-FinPos'!J15,3)),0,(ROUND(('A6-FinPos'!K15-'A6-FinPos'!J15)/'A6-FinPos'!J15,3)))</f>
        <v>0</v>
      </c>
      <c r="M16" s="340">
        <f>IF(ISERROR(ROUND(('A6-FinPos'!L15-'A6-FinPos'!K15)/'A6-FinPos'!K15,3)),0,(ROUND(('A6-FinPos'!L15-'A6-FinPos'!K15)/'A6-FinPos'!K15,3)))</f>
        <v>0</v>
      </c>
    </row>
    <row r="17" spans="1:13" x14ac:dyDescent="0.25">
      <c r="A17" s="63" t="s">
        <v>82</v>
      </c>
      <c r="B17" s="345" t="s">
        <v>1173</v>
      </c>
      <c r="C17" s="55">
        <v>13</v>
      </c>
      <c r="D17" s="391">
        <f>IF(ISERROR('A9-Asset'!C169/'A6-FinPos'!C19),0,('A9-Asset'!C169/'A6-FinPos'!C19))</f>
        <v>0</v>
      </c>
      <c r="E17" s="391">
        <f>IF(ISERROR('A9-Asset'!D169/'A6-FinPos'!D19),0,('A9-Asset'!D169/'A6-FinPos'!D19))</f>
        <v>5.2126905351769217E-3</v>
      </c>
      <c r="F17" s="340">
        <f>IF(ISERROR('A9-Asset'!E169/'A6-FinPos'!E19),0,('A9-Asset'!E169/'A6-FinPos'!E19))</f>
        <v>6.7308391891875473E-3</v>
      </c>
      <c r="G17" s="895">
        <f>IF(ISERROR('A9-Asset'!F169/'A6-FinPos'!F19),0,('A9-Asset'!F169/'A6-FinPos'!F19))</f>
        <v>1.0390001904056914E-2</v>
      </c>
      <c r="H17" s="391">
        <f>IF(ISERROR('A9-Asset'!G169/'A6-FinPos'!G19),0,('A9-Asset'!G169/'A6-FinPos'!G19))</f>
        <v>6.1414054520757657E-3</v>
      </c>
      <c r="I17" s="340">
        <f>IF(ISERROR('A9-Asset'!H169/'A6-FinPos'!H19),0,('A9-Asset'!H169/'A6-FinPos'!H19))</f>
        <v>6.1414054520757657E-3</v>
      </c>
      <c r="J17" s="358">
        <f>IF(ISERROR('A9-Asset'!I169/'A6-FinPos'!I19),0,('A9-Asset'!I169/'A6-FinPos'!I19))</f>
        <v>9.1347295292017339E-3</v>
      </c>
      <c r="K17" s="895">
        <f>IF(ISERROR('A9-Asset'!I169/'A6-FinPos'!J19),0,('A9-Asset'!I169/'A6-FinPos'!J19))</f>
        <v>9.4206670674579305E-3</v>
      </c>
      <c r="L17" s="391">
        <f>IF(ISERROR('A9-Asset'!J169/'A6-FinPos'!K19),0,('A9-Asset'!J169/'A6-FinPos'!K19))</f>
        <v>1.0174968977304162E-2</v>
      </c>
      <c r="M17" s="340">
        <f>IF(ISERROR('A9-Asset'!K169/'A6-FinPos'!L19),0,('A9-Asset'!K169/'A6-FinPos'!L19))</f>
        <v>1.1605399589845593E-2</v>
      </c>
    </row>
    <row r="18" spans="1:13" x14ac:dyDescent="0.25">
      <c r="A18" s="63" t="s">
        <v>864</v>
      </c>
      <c r="B18" s="345" t="str">
        <f>B17</f>
        <v>20(1)(vi)</v>
      </c>
      <c r="C18" s="55">
        <v>14</v>
      </c>
      <c r="D18" s="391">
        <f t="shared" ref="D18:L18" si="2">IF(ISERROR(D58/D57),0,(D58/D57))</f>
        <v>0</v>
      </c>
      <c r="E18" s="342">
        <f t="shared" si="2"/>
        <v>0</v>
      </c>
      <c r="F18" s="340">
        <f t="shared" si="2"/>
        <v>0</v>
      </c>
      <c r="G18" s="341">
        <f t="shared" si="2"/>
        <v>9.4547295671470202E-2</v>
      </c>
      <c r="H18" s="342">
        <f t="shared" si="2"/>
        <v>8.0250632935965453E-3</v>
      </c>
      <c r="I18" s="340">
        <f t="shared" si="2"/>
        <v>8.0250632935965453E-3</v>
      </c>
      <c r="J18" s="343">
        <f t="shared" si="2"/>
        <v>0</v>
      </c>
      <c r="K18" s="344">
        <f t="shared" si="2"/>
        <v>0</v>
      </c>
      <c r="L18" s="342">
        <f t="shared" si="2"/>
        <v>0</v>
      </c>
      <c r="M18" s="340">
        <f>IF(ISERROR(M58/M57),0,((M58/M57)))</f>
        <v>0</v>
      </c>
    </row>
    <row r="19" spans="1:13" ht="6" customHeight="1" x14ac:dyDescent="0.25">
      <c r="A19" s="170"/>
      <c r="B19" s="346"/>
      <c r="C19" s="347"/>
      <c r="D19" s="347"/>
      <c r="E19" s="346"/>
      <c r="F19" s="349"/>
      <c r="G19" s="350"/>
      <c r="H19" s="346"/>
      <c r="I19" s="349"/>
      <c r="J19" s="348"/>
      <c r="K19" s="351"/>
      <c r="L19" s="346"/>
      <c r="M19" s="349"/>
    </row>
    <row r="20" spans="1:13" x14ac:dyDescent="0.25">
      <c r="A20" s="608" t="str">
        <f>head27a</f>
        <v>References</v>
      </c>
      <c r="B20" s="352"/>
      <c r="C20" s="352"/>
      <c r="D20" s="352"/>
      <c r="E20" s="352"/>
      <c r="F20" s="352"/>
      <c r="G20" s="352"/>
      <c r="H20" s="352"/>
      <c r="I20" s="352"/>
      <c r="J20" s="352"/>
      <c r="K20" s="352"/>
      <c r="L20" s="352"/>
      <c r="M20" s="352"/>
    </row>
    <row r="21" spans="1:13" x14ac:dyDescent="0.25">
      <c r="A21" s="105" t="s">
        <v>414</v>
      </c>
      <c r="B21" s="353"/>
      <c r="C21" s="353"/>
      <c r="D21" s="353"/>
      <c r="E21" s="353"/>
      <c r="F21" s="353"/>
      <c r="G21" s="353"/>
      <c r="H21" s="353"/>
      <c r="I21" s="353"/>
      <c r="J21" s="353"/>
      <c r="K21" s="353"/>
      <c r="L21" s="353"/>
      <c r="M21" s="353"/>
    </row>
    <row r="22" spans="1:13" x14ac:dyDescent="0.25">
      <c r="A22" s="132" t="s">
        <v>1240</v>
      </c>
      <c r="B22" s="353"/>
      <c r="C22" s="353"/>
      <c r="D22" s="353"/>
      <c r="E22" s="353"/>
      <c r="F22" s="353"/>
      <c r="G22" s="353"/>
      <c r="H22" s="353"/>
      <c r="I22" s="353"/>
      <c r="J22" s="353"/>
      <c r="K22" s="353"/>
      <c r="L22" s="353"/>
      <c r="M22" s="353"/>
    </row>
    <row r="23" spans="1:13" x14ac:dyDescent="0.25">
      <c r="A23" s="132" t="s">
        <v>590</v>
      </c>
      <c r="B23" s="353"/>
      <c r="C23" s="353"/>
      <c r="D23" s="353"/>
      <c r="E23" s="353"/>
      <c r="F23" s="353"/>
      <c r="G23" s="353"/>
      <c r="H23" s="353"/>
      <c r="I23" s="353"/>
      <c r="J23" s="353"/>
      <c r="K23" s="353"/>
      <c r="L23" s="353"/>
      <c r="M23" s="353"/>
    </row>
    <row r="24" spans="1:13" x14ac:dyDescent="0.25">
      <c r="A24" s="132" t="s">
        <v>591</v>
      </c>
      <c r="B24" s="353"/>
      <c r="C24" s="353"/>
      <c r="D24" s="353"/>
      <c r="E24" s="353"/>
      <c r="F24" s="353"/>
      <c r="G24" s="353"/>
      <c r="H24" s="353"/>
      <c r="I24" s="353"/>
      <c r="J24" s="353"/>
      <c r="K24" s="353"/>
      <c r="L24" s="353"/>
      <c r="M24" s="353"/>
    </row>
    <row r="25" spans="1:13" x14ac:dyDescent="0.25">
      <c r="A25" s="132" t="s">
        <v>682</v>
      </c>
      <c r="B25" s="353"/>
      <c r="C25" s="353"/>
      <c r="D25" s="353"/>
      <c r="E25" s="353"/>
      <c r="F25" s="353"/>
      <c r="G25" s="353"/>
      <c r="H25" s="353"/>
      <c r="I25" s="353"/>
      <c r="J25" s="353"/>
      <c r="K25" s="353"/>
      <c r="L25" s="353"/>
      <c r="M25" s="353"/>
    </row>
    <row r="26" spans="1:13" x14ac:dyDescent="0.25">
      <c r="A26" s="132" t="s">
        <v>925</v>
      </c>
      <c r="B26" s="353"/>
      <c r="C26" s="353"/>
      <c r="D26" s="353"/>
      <c r="E26" s="353"/>
      <c r="F26" s="353"/>
      <c r="G26" s="353"/>
      <c r="H26" s="353"/>
      <c r="I26" s="353"/>
      <c r="J26" s="353"/>
      <c r="K26" s="353"/>
      <c r="L26" s="353"/>
      <c r="M26" s="353"/>
    </row>
    <row r="27" spans="1:13" x14ac:dyDescent="0.25">
      <c r="A27" s="132" t="s">
        <v>580</v>
      </c>
      <c r="B27" s="353"/>
      <c r="C27" s="353"/>
      <c r="D27" s="353"/>
      <c r="E27" s="353"/>
      <c r="F27" s="353"/>
      <c r="G27" s="353"/>
      <c r="H27" s="353"/>
      <c r="I27" s="353"/>
      <c r="J27" s="353"/>
      <c r="K27" s="353"/>
      <c r="L27" s="353"/>
      <c r="M27" s="353"/>
    </row>
    <row r="28" spans="1:13" x14ac:dyDescent="0.25">
      <c r="A28" s="132" t="s">
        <v>924</v>
      </c>
      <c r="B28" s="353"/>
      <c r="C28" s="353"/>
      <c r="D28" s="353"/>
      <c r="E28" s="353"/>
      <c r="F28" s="353"/>
      <c r="G28" s="353"/>
      <c r="H28" s="353"/>
      <c r="I28" s="353"/>
      <c r="J28" s="353"/>
      <c r="K28" s="353"/>
      <c r="L28" s="353"/>
      <c r="M28" s="353"/>
    </row>
    <row r="29" spans="1:13" x14ac:dyDescent="0.25">
      <c r="A29" s="132" t="s">
        <v>1071</v>
      </c>
      <c r="B29" s="353"/>
      <c r="C29" s="353"/>
      <c r="D29" s="353"/>
      <c r="E29" s="353"/>
      <c r="F29" s="353"/>
      <c r="G29" s="353"/>
      <c r="H29" s="353"/>
      <c r="I29" s="353"/>
      <c r="J29" s="353"/>
      <c r="K29" s="353"/>
      <c r="L29" s="353"/>
      <c r="M29" s="353"/>
    </row>
    <row r="30" spans="1:13" x14ac:dyDescent="0.25">
      <c r="A30" s="132" t="s">
        <v>294</v>
      </c>
      <c r="B30" s="353"/>
      <c r="C30" s="353"/>
      <c r="D30" s="353"/>
      <c r="E30" s="353"/>
      <c r="F30" s="353"/>
      <c r="G30" s="353"/>
      <c r="H30" s="353"/>
      <c r="I30" s="353"/>
      <c r="J30" s="353"/>
      <c r="K30" s="353"/>
      <c r="L30" s="353"/>
      <c r="M30" s="353"/>
    </row>
    <row r="31" spans="1:13" x14ac:dyDescent="0.25">
      <c r="A31" s="132" t="s">
        <v>1578</v>
      </c>
      <c r="B31" s="353"/>
      <c r="C31" s="353"/>
      <c r="D31" s="353"/>
      <c r="E31" s="353"/>
      <c r="F31" s="353"/>
      <c r="G31" s="353"/>
      <c r="H31" s="353"/>
      <c r="I31" s="353"/>
      <c r="J31" s="353"/>
      <c r="K31" s="353"/>
      <c r="L31" s="353"/>
      <c r="M31" s="353"/>
    </row>
    <row r="32" spans="1:13" x14ac:dyDescent="0.25">
      <c r="A32" s="132" t="s">
        <v>103</v>
      </c>
      <c r="B32" s="353"/>
      <c r="C32" s="353"/>
      <c r="D32" s="353"/>
      <c r="E32" s="353"/>
      <c r="F32" s="353"/>
      <c r="G32" s="353"/>
      <c r="H32" s="353"/>
      <c r="I32" s="353"/>
      <c r="J32" s="353"/>
      <c r="K32" s="353"/>
      <c r="L32" s="353"/>
      <c r="M32" s="353"/>
    </row>
    <row r="33" spans="1:18" x14ac:dyDescent="0.25">
      <c r="A33" s="132" t="s">
        <v>581</v>
      </c>
      <c r="B33" s="353"/>
      <c r="C33" s="353"/>
      <c r="D33" s="353"/>
      <c r="E33" s="353"/>
      <c r="F33" s="353"/>
      <c r="G33" s="353"/>
      <c r="H33" s="353"/>
      <c r="I33" s="353"/>
      <c r="J33" s="353"/>
      <c r="K33" s="353"/>
      <c r="L33" s="353"/>
      <c r="M33" s="353"/>
    </row>
    <row r="34" spans="1:18" x14ac:dyDescent="0.25">
      <c r="A34" s="132" t="s">
        <v>582</v>
      </c>
      <c r="B34" s="353"/>
      <c r="C34" s="353"/>
      <c r="D34" s="353"/>
      <c r="E34" s="353"/>
      <c r="F34" s="353"/>
      <c r="G34" s="353"/>
      <c r="H34" s="353"/>
      <c r="I34" s="353"/>
      <c r="J34" s="353"/>
      <c r="K34" s="353"/>
      <c r="L34" s="353"/>
      <c r="M34" s="353"/>
    </row>
    <row r="35" spans="1:18" x14ac:dyDescent="0.25">
      <c r="A35" s="1011" t="s">
        <v>1075</v>
      </c>
      <c r="B35" s="1012"/>
      <c r="C35" s="1012"/>
      <c r="D35" s="1037"/>
      <c r="E35" s="1038"/>
      <c r="F35" s="1039"/>
      <c r="G35" s="209"/>
      <c r="H35" s="207"/>
      <c r="I35" s="207"/>
      <c r="J35" s="1039"/>
      <c r="K35" s="209"/>
      <c r="L35" s="207"/>
      <c r="M35" s="1039"/>
    </row>
    <row r="36" spans="1:18" x14ac:dyDescent="0.25">
      <c r="A36" s="355" t="s">
        <v>789</v>
      </c>
      <c r="B36" s="356" t="s">
        <v>373</v>
      </c>
      <c r="C36" s="356"/>
      <c r="D36" s="946"/>
      <c r="E36" s="391">
        <f t="shared" ref="E36:E42" si="3">IF(ISERROR((E44/D44)-1),0,((E44/D44)-1))</f>
        <v>0</v>
      </c>
      <c r="F36" s="340">
        <f>IF(ISERROR((F44/E44)-1),0,((F44/E44)-1))</f>
        <v>0.34684135575967878</v>
      </c>
      <c r="G36" s="344">
        <f>IF(ISERROR((G44/F44)-1),0,((G44/F44)-1))</f>
        <v>-3.9583643241018263E-2</v>
      </c>
      <c r="H36" s="391">
        <f>IF(ISERROR((H44/G44)-1),0,((H44/G44)-1))</f>
        <v>7.562509264480477E-2</v>
      </c>
      <c r="I36" s="391">
        <f>IF(ISERROR((I44/H44)-1),0,((I44/H44)-1))</f>
        <v>0</v>
      </c>
      <c r="J36" s="340">
        <f>IF(ISERROR((J44/I44)-1),0,((J44/I44)-1))</f>
        <v>0</v>
      </c>
      <c r="K36" s="344">
        <f>IF(ISERROR((K44/H44)-1),0,((K44/H44)-1))</f>
        <v>0.23983397334429823</v>
      </c>
      <c r="L36" s="391">
        <f>IF(ISERROR((L44/K44)-1),0,((L44/K44)-1))</f>
        <v>6.0000000000000053E-2</v>
      </c>
      <c r="M36" s="340">
        <f>IF(ISERROR((M44/L44)-1),0,((M44/L44)-1))</f>
        <v>6.0000000000000053E-2</v>
      </c>
      <c r="Q36" s="148"/>
      <c r="R36" s="148"/>
    </row>
    <row r="37" spans="1:18" x14ac:dyDescent="0.25">
      <c r="A37" s="355" t="s">
        <v>790</v>
      </c>
      <c r="B37" s="356" t="s">
        <v>373</v>
      </c>
      <c r="C37" s="356"/>
      <c r="D37" s="946"/>
      <c r="E37" s="391">
        <f t="shared" si="3"/>
        <v>0</v>
      </c>
      <c r="F37" s="340">
        <f t="shared" ref="F37:M42" si="4">IF(ISERROR((F45/E45)-1),0,((F45/E45)-1))</f>
        <v>0.47090644061090847</v>
      </c>
      <c r="G37" s="344">
        <f t="shared" si="4"/>
        <v>-7.0108634947487314E-2</v>
      </c>
      <c r="H37" s="391">
        <f t="shared" si="4"/>
        <v>-0.12181710160817039</v>
      </c>
      <c r="I37" s="391">
        <f t="shared" si="4"/>
        <v>0</v>
      </c>
      <c r="J37" s="340">
        <f t="shared" si="4"/>
        <v>0</v>
      </c>
      <c r="K37" s="344">
        <f t="shared" ref="K37:K42" si="5">IF(ISERROR((K45/H45)-1),0,((K45/H45)-1))</f>
        <v>0.57809727672796862</v>
      </c>
      <c r="L37" s="391">
        <f t="shared" si="4"/>
        <v>6.0000000000000053E-2</v>
      </c>
      <c r="M37" s="340">
        <f t="shared" si="4"/>
        <v>6.0000000000000275E-2</v>
      </c>
      <c r="Q37" s="148"/>
      <c r="R37" s="148"/>
    </row>
    <row r="38" spans="1:18" x14ac:dyDescent="0.25">
      <c r="A38" s="355" t="str">
        <f>"% incr "&amp;'A4-FinPerf RE'!A6</f>
        <v>% incr Service charges - electricity revenue</v>
      </c>
      <c r="B38" s="356" t="s">
        <v>373</v>
      </c>
      <c r="C38" s="356"/>
      <c r="D38" s="946"/>
      <c r="E38" s="391">
        <f t="shared" si="3"/>
        <v>0</v>
      </c>
      <c r="F38" s="340">
        <f t="shared" si="4"/>
        <v>0.15910241915927092</v>
      </c>
      <c r="G38" s="344">
        <f t="shared" si="4"/>
        <v>2.172846468173173E-2</v>
      </c>
      <c r="H38" s="391">
        <f t="shared" si="4"/>
        <v>0.13306701122473519</v>
      </c>
      <c r="I38" s="391">
        <f t="shared" si="4"/>
        <v>0</v>
      </c>
      <c r="J38" s="340">
        <f t="shared" si="4"/>
        <v>0</v>
      </c>
      <c r="K38" s="344">
        <f t="shared" si="5"/>
        <v>0.13013634442025168</v>
      </c>
      <c r="L38" s="391">
        <f t="shared" si="4"/>
        <v>6.0000000000000053E-2</v>
      </c>
      <c r="M38" s="340">
        <f>IF(ISERROR((M46/L46)-1),0,((M46/L46)-1))</f>
        <v>6.0000000000000053E-2</v>
      </c>
      <c r="Q38" s="148"/>
      <c r="R38" s="148"/>
    </row>
    <row r="39" spans="1:18" x14ac:dyDescent="0.25">
      <c r="A39" s="355" t="str">
        <f>"% incr "&amp;'A4-FinPerf RE'!A7</f>
        <v>% incr Service charges - water revenue</v>
      </c>
      <c r="B39" s="356" t="s">
        <v>373</v>
      </c>
      <c r="C39" s="356"/>
      <c r="D39" s="946"/>
      <c r="E39" s="391">
        <f t="shared" si="3"/>
        <v>0</v>
      </c>
      <c r="F39" s="340">
        <f t="shared" si="4"/>
        <v>9.6765053325557737E-2</v>
      </c>
      <c r="G39" s="344">
        <f t="shared" si="4"/>
        <v>-4.1490930221277145E-2</v>
      </c>
      <c r="H39" s="391">
        <f t="shared" si="4"/>
        <v>0.12688225557007415</v>
      </c>
      <c r="I39" s="391">
        <f t="shared" si="4"/>
        <v>0</v>
      </c>
      <c r="J39" s="340">
        <f t="shared" si="4"/>
        <v>0</v>
      </c>
      <c r="K39" s="344">
        <f t="shared" si="5"/>
        <v>-4.0362155992118454E-2</v>
      </c>
      <c r="L39" s="391">
        <f t="shared" si="4"/>
        <v>6.0000000000000053E-2</v>
      </c>
      <c r="M39" s="340">
        <f t="shared" si="4"/>
        <v>5.9999999999999831E-2</v>
      </c>
      <c r="Q39" s="148"/>
      <c r="R39" s="148"/>
    </row>
    <row r="40" spans="1:18" x14ac:dyDescent="0.25">
      <c r="A40" s="355" t="str">
        <f>"% incr "&amp;'A4-FinPerf RE'!A8</f>
        <v>% incr Service charges - sanitation revenue</v>
      </c>
      <c r="B40" s="356" t="s">
        <v>373</v>
      </c>
      <c r="C40" s="356"/>
      <c r="D40" s="946"/>
      <c r="E40" s="391">
        <f t="shared" si="3"/>
        <v>0</v>
      </c>
      <c r="F40" s="340">
        <f t="shared" si="4"/>
        <v>5.1860391340885874</v>
      </c>
      <c r="G40" s="344">
        <f t="shared" si="4"/>
        <v>-0.17974088752107831</v>
      </c>
      <c r="H40" s="391">
        <f t="shared" si="4"/>
        <v>0</v>
      </c>
      <c r="I40" s="391">
        <f t="shared" si="4"/>
        <v>0</v>
      </c>
      <c r="J40" s="340">
        <f t="shared" si="4"/>
        <v>0</v>
      </c>
      <c r="K40" s="344">
        <f t="shared" si="5"/>
        <v>0.5907000332402399</v>
      </c>
      <c r="L40" s="391">
        <f t="shared" si="4"/>
        <v>6.0000000000000053E-2</v>
      </c>
      <c r="M40" s="340">
        <f t="shared" si="4"/>
        <v>6.0000000000000053E-2</v>
      </c>
      <c r="Q40" s="148"/>
      <c r="R40" s="148"/>
    </row>
    <row r="41" spans="1:18" x14ac:dyDescent="0.25">
      <c r="A41" s="355" t="str">
        <f>"% incr "&amp;'A4-FinPerf RE'!A9</f>
        <v>% incr Service charges - refuse revenue</v>
      </c>
      <c r="B41" s="356" t="s">
        <v>373</v>
      </c>
      <c r="C41" s="356"/>
      <c r="D41" s="946"/>
      <c r="E41" s="391">
        <f t="shared" si="3"/>
        <v>0</v>
      </c>
      <c r="F41" s="340">
        <f t="shared" si="4"/>
        <v>2.6135143254499256</v>
      </c>
      <c r="G41" s="344">
        <f t="shared" si="4"/>
        <v>-0.25487109908901029</v>
      </c>
      <c r="H41" s="391">
        <f t="shared" si="4"/>
        <v>3.0304740642623784E-2</v>
      </c>
      <c r="I41" s="391">
        <f t="shared" si="4"/>
        <v>0</v>
      </c>
      <c r="J41" s="340">
        <f t="shared" si="4"/>
        <v>0</v>
      </c>
      <c r="K41" s="344">
        <f t="shared" si="5"/>
        <v>0.93948011484891558</v>
      </c>
      <c r="L41" s="391">
        <f t="shared" si="4"/>
        <v>5.9999999999999831E-2</v>
      </c>
      <c r="M41" s="340">
        <f t="shared" si="4"/>
        <v>6.0000000000000053E-2</v>
      </c>
      <c r="Q41" s="148"/>
      <c r="R41" s="148"/>
    </row>
    <row r="42" spans="1:18" x14ac:dyDescent="0.25">
      <c r="A42" s="355" t="str">
        <f>"% incr in "&amp;'A4-FinPerf RE'!A10</f>
        <v xml:space="preserve">% incr in </v>
      </c>
      <c r="B42" s="356" t="s">
        <v>373</v>
      </c>
      <c r="C42" s="356"/>
      <c r="D42" s="946"/>
      <c r="E42" s="391">
        <f t="shared" si="3"/>
        <v>0</v>
      </c>
      <c r="F42" s="340">
        <f t="shared" si="4"/>
        <v>0</v>
      </c>
      <c r="G42" s="344">
        <f t="shared" si="4"/>
        <v>0</v>
      </c>
      <c r="H42" s="391">
        <f t="shared" si="4"/>
        <v>0</v>
      </c>
      <c r="I42" s="391">
        <f>IF(ISERROR((I50/H50)-1),0,((I50/H50)-1))</f>
        <v>0</v>
      </c>
      <c r="J42" s="340">
        <f t="shared" si="4"/>
        <v>0</v>
      </c>
      <c r="K42" s="344">
        <f t="shared" si="5"/>
        <v>0</v>
      </c>
      <c r="L42" s="391">
        <f>IF(ISERROR((L50/K50)-1),0,((L50/K50)-1))</f>
        <v>0</v>
      </c>
      <c r="M42" s="340">
        <f t="shared" si="4"/>
        <v>0</v>
      </c>
      <c r="Q42" s="148"/>
      <c r="R42" s="148"/>
    </row>
    <row r="43" spans="1:18" x14ac:dyDescent="0.25">
      <c r="A43" s="355" t="s">
        <v>673</v>
      </c>
      <c r="B43" s="356" t="s">
        <v>373</v>
      </c>
      <c r="C43" s="356"/>
      <c r="D43" s="718">
        <f>SUM(D45:D50)</f>
        <v>0</v>
      </c>
      <c r="E43" s="65">
        <f t="shared" ref="E43:M43" si="6">SUM(E45:E50)</f>
        <v>137888479</v>
      </c>
      <c r="F43" s="729">
        <f t="shared" si="6"/>
        <v>185713906</v>
      </c>
      <c r="G43" s="718">
        <f t="shared" si="6"/>
        <v>178362673</v>
      </c>
      <c r="H43" s="65">
        <f t="shared" si="6"/>
        <v>191851366.67000002</v>
      </c>
      <c r="I43" s="65">
        <f t="shared" si="6"/>
        <v>191851366.67000002</v>
      </c>
      <c r="J43" s="729">
        <f t="shared" si="6"/>
        <v>191851366.67000002</v>
      </c>
      <c r="K43" s="718">
        <f t="shared" si="6"/>
        <v>237863842.22999999</v>
      </c>
      <c r="L43" s="65">
        <f t="shared" si="6"/>
        <v>252135672.7638</v>
      </c>
      <c r="M43" s="729">
        <f t="shared" si="6"/>
        <v>267263813.12962803</v>
      </c>
    </row>
    <row r="44" spans="1:18" x14ac:dyDescent="0.25">
      <c r="A44" s="355" t="s">
        <v>1428</v>
      </c>
      <c r="B44" s="356"/>
      <c r="C44" s="356"/>
      <c r="D44" s="718">
        <f>SUM(D45:D50)</f>
        <v>0</v>
      </c>
      <c r="E44" s="65">
        <f t="shared" ref="E44:M44" si="7">SUM(E45:E50)</f>
        <v>137888479</v>
      </c>
      <c r="F44" s="729">
        <f t="shared" si="7"/>
        <v>185713906</v>
      </c>
      <c r="G44" s="718">
        <f t="shared" si="7"/>
        <v>178362673</v>
      </c>
      <c r="H44" s="65">
        <f t="shared" si="7"/>
        <v>191851366.67000002</v>
      </c>
      <c r="I44" s="65">
        <f t="shared" si="7"/>
        <v>191851366.67000002</v>
      </c>
      <c r="J44" s="729">
        <f>SUM(J45:J50)</f>
        <v>191851366.67000002</v>
      </c>
      <c r="K44" s="718">
        <f t="shared" si="7"/>
        <v>237863842.22999999</v>
      </c>
      <c r="L44" s="65">
        <f t="shared" si="7"/>
        <v>252135672.7638</v>
      </c>
      <c r="M44" s="729">
        <f t="shared" si="7"/>
        <v>267263813.12962803</v>
      </c>
    </row>
    <row r="45" spans="1:18" x14ac:dyDescent="0.25">
      <c r="A45" s="355" t="s">
        <v>470</v>
      </c>
      <c r="B45" s="356"/>
      <c r="C45" s="356"/>
      <c r="D45" s="718">
        <f>'A4-FinPerf RE'!C5</f>
        <v>0</v>
      </c>
      <c r="E45" s="65">
        <f>'A4-FinPerf RE'!D5</f>
        <v>21625697</v>
      </c>
      <c r="F45" s="729">
        <f>'A4-FinPerf RE'!E5</f>
        <v>31809377</v>
      </c>
      <c r="G45" s="718">
        <f>'A4-FinPerf RE'!F5</f>
        <v>29579265</v>
      </c>
      <c r="H45" s="65">
        <f>'A4-FinPerf RE'!G5</f>
        <v>25976004.670000002</v>
      </c>
      <c r="I45" s="65">
        <f>'A4-FinPerf RE'!H5</f>
        <v>25976004.670000002</v>
      </c>
      <c r="J45" s="729">
        <f>'A4-FinPerf RE'!I5</f>
        <v>25976004.670000002</v>
      </c>
      <c r="K45" s="718">
        <f>'A4-FinPerf RE'!J5</f>
        <v>40992662.229999997</v>
      </c>
      <c r="L45" s="65">
        <f>'A4-FinPerf RE'!K5</f>
        <v>43452221.963799998</v>
      </c>
      <c r="M45" s="729">
        <f>'A4-FinPerf RE'!L5</f>
        <v>46059355.281628005</v>
      </c>
    </row>
    <row r="46" spans="1:18" x14ac:dyDescent="0.25">
      <c r="A46" s="355" t="s">
        <v>1583</v>
      </c>
      <c r="B46" s="356"/>
      <c r="C46" s="356"/>
      <c r="D46" s="718">
        <f>'A4-FinPerf RE'!C6</f>
        <v>0</v>
      </c>
      <c r="E46" s="65">
        <f>'A4-FinPerf RE'!D6</f>
        <v>85747062</v>
      </c>
      <c r="F46" s="729">
        <f>'A4-FinPerf RE'!E6</f>
        <v>99389627</v>
      </c>
      <c r="G46" s="718">
        <f>'A4-FinPerf RE'!F6</f>
        <v>101549211</v>
      </c>
      <c r="H46" s="65">
        <f>'A4-FinPerf RE'!G6</f>
        <v>115062061</v>
      </c>
      <c r="I46" s="65">
        <f>'A4-FinPerf RE'!H6</f>
        <v>115062061</v>
      </c>
      <c r="J46" s="729">
        <f>'A4-FinPerf RE'!I6</f>
        <v>115062061</v>
      </c>
      <c r="K46" s="718">
        <f>'A4-FinPerf RE'!J6</f>
        <v>130035817</v>
      </c>
      <c r="L46" s="65">
        <f>'A4-FinPerf RE'!K6</f>
        <v>137837966.02000001</v>
      </c>
      <c r="M46" s="729">
        <f>'A4-FinPerf RE'!L6</f>
        <v>146108243.98120001</v>
      </c>
    </row>
    <row r="47" spans="1:18" x14ac:dyDescent="0.25">
      <c r="A47" s="355" t="s">
        <v>1584</v>
      </c>
      <c r="B47" s="356"/>
      <c r="C47" s="356"/>
      <c r="D47" s="718">
        <f>'A4-FinPerf RE'!C7</f>
        <v>0</v>
      </c>
      <c r="E47" s="65">
        <f>'A4-FinPerf RE'!D7</f>
        <v>24228251</v>
      </c>
      <c r="F47" s="729">
        <f>'A4-FinPerf RE'!E7</f>
        <v>26572699</v>
      </c>
      <c r="G47" s="718">
        <f>'A4-FinPerf RE'!F7</f>
        <v>25470173</v>
      </c>
      <c r="H47" s="65">
        <f>'A4-FinPerf RE'!G7</f>
        <v>28701886</v>
      </c>
      <c r="I47" s="65">
        <f>'A4-FinPerf RE'!H7</f>
        <v>28701886</v>
      </c>
      <c r="J47" s="729">
        <f>'A4-FinPerf RE'!I7</f>
        <v>28701886</v>
      </c>
      <c r="K47" s="718">
        <f>'A4-FinPerf RE'!J7</f>
        <v>27543416</v>
      </c>
      <c r="L47" s="65">
        <f>'A4-FinPerf RE'!K7</f>
        <v>29196020.960000001</v>
      </c>
      <c r="M47" s="729">
        <f>'A4-FinPerf RE'!L7</f>
        <v>30947782.217599995</v>
      </c>
    </row>
    <row r="48" spans="1:18" x14ac:dyDescent="0.25">
      <c r="A48" s="355" t="s">
        <v>813</v>
      </c>
      <c r="B48" s="356"/>
      <c r="C48" s="356"/>
      <c r="D48" s="718">
        <f>'A4-FinPerf RE'!C8</f>
        <v>0</v>
      </c>
      <c r="E48" s="65">
        <f>'A4-FinPerf RE'!D8</f>
        <v>2030046</v>
      </c>
      <c r="F48" s="729">
        <f>'A4-FinPerf RE'!E8</f>
        <v>12557944</v>
      </c>
      <c r="G48" s="718">
        <f>'A4-FinPerf RE'!F8</f>
        <v>10300768</v>
      </c>
      <c r="H48" s="65">
        <f>'A4-FinPerf RE'!G8</f>
        <v>10300768</v>
      </c>
      <c r="I48" s="65">
        <f>'A4-FinPerf RE'!H8</f>
        <v>10300768</v>
      </c>
      <c r="J48" s="729">
        <f>'A4-FinPerf RE'!I8</f>
        <v>10300768</v>
      </c>
      <c r="K48" s="718">
        <f>'A4-FinPerf RE'!J8</f>
        <v>16385432</v>
      </c>
      <c r="L48" s="65">
        <f>'A4-FinPerf RE'!K8</f>
        <v>17368557.920000002</v>
      </c>
      <c r="M48" s="729">
        <f>'A4-FinPerf RE'!L8</f>
        <v>18410671.395200003</v>
      </c>
    </row>
    <row r="49" spans="1:13" x14ac:dyDescent="0.25">
      <c r="A49" s="355" t="s">
        <v>814</v>
      </c>
      <c r="B49" s="356"/>
      <c r="C49" s="356"/>
      <c r="D49" s="718">
        <f>'A4-FinPerf RE'!C9</f>
        <v>0</v>
      </c>
      <c r="E49" s="65">
        <f>'A4-FinPerf RE'!D9</f>
        <v>4257423</v>
      </c>
      <c r="F49" s="729">
        <f>'A4-FinPerf RE'!E9</f>
        <v>15384258.999999998</v>
      </c>
      <c r="G49" s="718">
        <f>'A4-FinPerf RE'!F9</f>
        <v>11463256</v>
      </c>
      <c r="H49" s="65">
        <f>'A4-FinPerf RE'!G9</f>
        <v>11810647</v>
      </c>
      <c r="I49" s="65">
        <f>'A4-FinPerf RE'!H9</f>
        <v>11810647</v>
      </c>
      <c r="J49" s="729">
        <f>'A4-FinPerf RE'!I9</f>
        <v>11810647</v>
      </c>
      <c r="K49" s="718">
        <f>'A4-FinPerf RE'!J9</f>
        <v>22906515</v>
      </c>
      <c r="L49" s="65">
        <f>'A4-FinPerf RE'!K9</f>
        <v>24280905.899999999</v>
      </c>
      <c r="M49" s="729">
        <f>'A4-FinPerf RE'!L9</f>
        <v>25737760.254000001</v>
      </c>
    </row>
    <row r="50" spans="1:13" x14ac:dyDescent="0.25">
      <c r="A50" s="355" t="s">
        <v>815</v>
      </c>
      <c r="B50" s="356"/>
      <c r="C50" s="356"/>
      <c r="D50" s="718">
        <f>'A4-FinPerf RE'!C10</f>
        <v>0</v>
      </c>
      <c r="E50" s="65">
        <f>'A4-FinPerf RE'!D10</f>
        <v>0</v>
      </c>
      <c r="F50" s="729">
        <f>'A4-FinPerf RE'!E10</f>
        <v>0</v>
      </c>
      <c r="G50" s="718">
        <f>'A4-FinPerf RE'!F10</f>
        <v>0</v>
      </c>
      <c r="H50" s="65">
        <f>'A4-FinPerf RE'!G10</f>
        <v>0</v>
      </c>
      <c r="I50" s="65">
        <f>'A4-FinPerf RE'!H10</f>
        <v>0</v>
      </c>
      <c r="J50" s="729">
        <f>'A4-FinPerf RE'!I10</f>
        <v>0</v>
      </c>
      <c r="K50" s="718">
        <f>'A4-FinPerf RE'!J10</f>
        <v>0</v>
      </c>
      <c r="L50" s="65">
        <f>'A4-FinPerf RE'!K10</f>
        <v>0</v>
      </c>
      <c r="M50" s="729">
        <f>'A4-FinPerf RE'!L10</f>
        <v>0</v>
      </c>
    </row>
    <row r="51" spans="1:13" x14ac:dyDescent="0.25">
      <c r="A51" s="355" t="str">
        <f>'A4-FinPerf RE'!A11</f>
        <v>Rental of facilities and equipment</v>
      </c>
      <c r="B51" s="356"/>
      <c r="C51" s="356"/>
      <c r="D51" s="718">
        <f>'A4-FinPerf RE'!C11</f>
        <v>0</v>
      </c>
      <c r="E51" s="65">
        <f>'A4-FinPerf RE'!D11</f>
        <v>591870</v>
      </c>
      <c r="F51" s="729">
        <f>'A4-FinPerf RE'!E11</f>
        <v>788339</v>
      </c>
      <c r="G51" s="718">
        <f>'A4-FinPerf RE'!F11</f>
        <v>849024.68</v>
      </c>
      <c r="H51" s="65">
        <f>'A4-FinPerf RE'!G11</f>
        <v>867417.68</v>
      </c>
      <c r="I51" s="65">
        <f>'A4-FinPerf RE'!H11</f>
        <v>867417.68</v>
      </c>
      <c r="J51" s="729">
        <f>'A4-FinPerf RE'!I11</f>
        <v>867417.68</v>
      </c>
      <c r="K51" s="718">
        <f>'A4-FinPerf RE'!J11</f>
        <v>929460.804</v>
      </c>
      <c r="L51" s="65">
        <f>'A4-FinPerf RE'!K11</f>
        <v>985228.45224000001</v>
      </c>
      <c r="M51" s="729">
        <f>'A4-FinPerf RE'!L11</f>
        <v>1044342.1593744</v>
      </c>
    </row>
    <row r="52" spans="1:13" x14ac:dyDescent="0.25">
      <c r="A52" s="355" t="s">
        <v>858</v>
      </c>
      <c r="B52" s="356"/>
      <c r="C52" s="356"/>
      <c r="D52" s="718">
        <f>'A5-Capex'!C40-'A5-Capex'!C70</f>
        <v>0</v>
      </c>
      <c r="E52" s="65">
        <f>'A5-Capex'!D40-'A5-Capex'!D70</f>
        <v>0</v>
      </c>
      <c r="F52" s="729">
        <f>'A5-Capex'!E40-'A5-Capex'!E70</f>
        <v>0</v>
      </c>
      <c r="G52" s="718">
        <f>'A5-Capex'!F40-'A5-Capex'!F70</f>
        <v>1321350</v>
      </c>
      <c r="H52" s="65">
        <f>'A5-Capex'!G40-'A5-Capex'!G70</f>
        <v>661750</v>
      </c>
      <c r="I52" s="65">
        <f>'A5-Capex'!H40-'A5-Capex'!H70</f>
        <v>661750</v>
      </c>
      <c r="J52" s="729">
        <f>'A5-Capex'!I40-'A5-Capex'!I70</f>
        <v>661750</v>
      </c>
      <c r="K52" s="718">
        <f>'A5-Capex'!J40-'A5-Capex'!J70</f>
        <v>0</v>
      </c>
      <c r="L52" s="65">
        <f>'A5-Capex'!K40-'A5-Capex'!K70</f>
        <v>0</v>
      </c>
      <c r="M52" s="729">
        <f>'A5-Capex'!L40-'A5-Capex'!L70</f>
        <v>0</v>
      </c>
    </row>
    <row r="53" spans="1:13" x14ac:dyDescent="0.25">
      <c r="A53" s="355" t="s">
        <v>857</v>
      </c>
      <c r="B53" s="356" t="s">
        <v>373</v>
      </c>
      <c r="C53" s="356"/>
      <c r="D53" s="79">
        <f>'A7-CFlow'!C6+'A7-CFlow'!C7+'A7-CFlow'!C8</f>
        <v>0</v>
      </c>
      <c r="E53" s="76">
        <f>'A7-CFlow'!D6+'A7-CFlow'!D7+'A7-CFlow'!D8</f>
        <v>138365202</v>
      </c>
      <c r="F53" s="333">
        <f>'A7-CFlow'!E6+'A7-CFlow'!E7+'A7-CFlow'!E8</f>
        <v>169637854</v>
      </c>
      <c r="G53" s="79">
        <f>'A7-CFlow'!F6+'A7-CFlow'!F7+'A7-CFlow'!F8</f>
        <v>175865795.5388</v>
      </c>
      <c r="H53" s="76">
        <f>'A7-CFlow'!G6+'A7-CFlow'!G7+'A7-CFlow'!G8</f>
        <v>189931062.63310003</v>
      </c>
      <c r="I53" s="76">
        <f>'A7-CFlow'!H6+'A7-CFlow'!H7+'A7-CFlow'!H8</f>
        <v>189931062.63310003</v>
      </c>
      <c r="J53" s="333">
        <f>'A7-CFlow'!I6+'A7-CFlow'!I7+'A7-CFlow'!I8</f>
        <v>189931062.63310003</v>
      </c>
      <c r="K53" s="79">
        <f>'A7-CFlow'!J6+'A7-CFlow'!J7+'A7-CFlow'!J8</f>
        <v>237595307.50309998</v>
      </c>
      <c r="L53" s="76">
        <f>'A7-CFlow'!K6+'A7-CFlow'!K7+'A7-CFlow'!K8</f>
        <v>251851025.95328602</v>
      </c>
      <c r="M53" s="729">
        <f>'A7-CFlow'!L6+'A7-CFlow'!L7+'A7-CFlow'!L8</f>
        <v>266962087.51048315</v>
      </c>
    </row>
    <row r="54" spans="1:13" x14ac:dyDescent="0.25">
      <c r="A54" s="360" t="s">
        <v>1579</v>
      </c>
      <c r="B54" s="356" t="s">
        <v>373</v>
      </c>
      <c r="C54" s="356"/>
      <c r="D54" s="79">
        <f>SUM('A4-FinPerf RE'!C5:C11)+'A4-FinPerf RE'!C13+SUM('A4-FinPerf RE'!C15:C17)+'A4-FinPerf RE'!C19</f>
        <v>0</v>
      </c>
      <c r="E54" s="76">
        <f>SUM('A4-FinPerf RE'!D5:D11)+'A4-FinPerf RE'!D13+SUM('A4-FinPerf RE'!D15:D17)+'A4-FinPerf RE'!D19</f>
        <v>149627933</v>
      </c>
      <c r="F54" s="333">
        <f>SUM('A4-FinPerf RE'!E5:E11)+'A4-FinPerf RE'!E13+SUM('A4-FinPerf RE'!E15:E17)+'A4-FinPerf RE'!E19</f>
        <v>204157191</v>
      </c>
      <c r="G54" s="79">
        <f>SUM('A4-FinPerf RE'!F5:F11)+'A4-FinPerf RE'!F13+SUM('A4-FinPerf RE'!F15:F17)+'A4-FinPerf RE'!F19</f>
        <v>198345396.34</v>
      </c>
      <c r="H54" s="76">
        <f>SUM('A4-FinPerf RE'!G5:G11)+'A4-FinPerf RE'!G13+SUM('A4-FinPerf RE'!G15:G17)+'A4-FinPerf RE'!G19</f>
        <v>207631195.51000002</v>
      </c>
      <c r="I54" s="76">
        <f>SUM('A4-FinPerf RE'!H5:H11)+'A4-FinPerf RE'!H13+SUM('A4-FinPerf RE'!H15:H17)+'A4-FinPerf RE'!H19</f>
        <v>207631195.51000002</v>
      </c>
      <c r="J54" s="333">
        <f>SUM('A4-FinPerf RE'!I5:I11)+'A4-FinPerf RE'!I13+SUM('A4-FinPerf RE'!I15:I17)+'A4-FinPerf RE'!I19</f>
        <v>207631195.51000002</v>
      </c>
      <c r="K54" s="79">
        <f>SUM('A4-FinPerf RE'!J5:J11)+'A4-FinPerf RE'!J13+SUM('A4-FinPerf RE'!J15:J17)+'A4-FinPerf RE'!J19</f>
        <v>253794115.53399998</v>
      </c>
      <c r="L54" s="76">
        <f>SUM('A4-FinPerf RE'!K5:K11)+'A4-FinPerf RE'!K13+SUM('A4-FinPerf RE'!K15:K17)+'A4-FinPerf RE'!K19</f>
        <v>269021762.46604002</v>
      </c>
      <c r="M54" s="333">
        <f>SUM('A4-FinPerf RE'!L5:L11)+'A4-FinPerf RE'!L13+SUM('A4-FinPerf RE'!L15:L17)+'A4-FinPerf RE'!L19</f>
        <v>285163068.21400249</v>
      </c>
    </row>
    <row r="55" spans="1:13" x14ac:dyDescent="0.25">
      <c r="A55" s="360" t="s">
        <v>576</v>
      </c>
      <c r="B55" s="356"/>
      <c r="C55" s="356"/>
      <c r="D55" s="79">
        <f>D84</f>
        <v>17770410.833333332</v>
      </c>
      <c r="E55" s="76">
        <f>(SUM('A6-FinPos'!D8:D10)+'A6-FinPos'!D15)-(SUM('A6-FinPos'!C8:C10)+'A6-FinPos'!C15)</f>
        <v>19050975</v>
      </c>
      <c r="F55" s="333">
        <f>(SUM('A6-FinPos'!E8:E10)+'A6-FinPos'!E15)-(SUM('A6-FinPos'!D8:D10)+'A6-FinPos'!D15)</f>
        <v>22024902</v>
      </c>
      <c r="G55" s="79">
        <f>(SUM('A6-FinPos'!F8:F10)+'A6-FinPos'!F15)-(SUM('A6-FinPos'!E8:E10)+'A6-FinPos'!E15)</f>
        <v>11245409</v>
      </c>
      <c r="H55" s="76">
        <f>(SUM('A6-FinPos'!G8:G10)+'A6-FinPos'!G15)-(SUM('A6-FinPos'!E8:E10)+'A6-FinPos'!E15)</f>
        <v>32682214</v>
      </c>
      <c r="I55" s="76">
        <f>(SUM('A6-FinPos'!H8:H10)+'A6-FinPos'!H15)-(SUM('A6-FinPos'!E8:E10)+'A6-FinPos'!E15)</f>
        <v>32682214</v>
      </c>
      <c r="J55" s="333">
        <f>(SUM('A6-FinPos'!I8:I10)+'A6-FinPos'!I15)-(SUM('A6-FinPos'!E8:E10)+'A6-FinPos'!E15)</f>
        <v>32682214</v>
      </c>
      <c r="K55" s="79">
        <f>(SUM('A6-FinPos'!J8:J10)+'A6-FinPos'!J15)-(SUM('A6-FinPos'!F8:F10)+'A6-FinPos'!F15)</f>
        <v>54700323.790000021</v>
      </c>
      <c r="L55" s="76">
        <f>(SUM('A6-FinPos'!K8:K10)+'A6-FinPos'!K15)-(SUM('A6-FinPos'!J8:J10)+'A6-FinPos'!J15)</f>
        <v>-3348420.2233999968</v>
      </c>
      <c r="M55" s="333">
        <f>(SUM('A6-FinPos'!L8:L10)+'A6-FinPos'!L15)-(SUM('A6-FinPos'!K8:K10)+'A6-FinPos'!K15)</f>
        <v>65113365.62075603</v>
      </c>
    </row>
    <row r="56" spans="1:13" x14ac:dyDescent="0.25">
      <c r="A56" s="360" t="s">
        <v>1074</v>
      </c>
      <c r="B56" s="356" t="s">
        <v>373</v>
      </c>
      <c r="C56" s="356"/>
      <c r="D56" s="79">
        <f>'A4-FinPerf RE'!C18+'A4-FinPerf RE'!C38</f>
        <v>0</v>
      </c>
      <c r="E56" s="76">
        <f>'A4-FinPerf RE'!D18+'A4-FinPerf RE'!D38</f>
        <v>175675720</v>
      </c>
      <c r="F56" s="333">
        <f>'A4-FinPerf RE'!E18+'A4-FinPerf RE'!E38</f>
        <v>170187176</v>
      </c>
      <c r="G56" s="79">
        <f>'A4-FinPerf RE'!F18+'A4-FinPerf RE'!F38</f>
        <v>141958111</v>
      </c>
      <c r="H56" s="76">
        <f>'A4-FinPerf RE'!G18+'A4-FinPerf RE'!G38</f>
        <v>165498830</v>
      </c>
      <c r="I56" s="76">
        <f>'A4-FinPerf RE'!H18+'A4-FinPerf RE'!H38</f>
        <v>165498830</v>
      </c>
      <c r="J56" s="333">
        <f>'A4-FinPerf RE'!I18+'A4-FinPerf RE'!I38</f>
        <v>165498830</v>
      </c>
      <c r="K56" s="79">
        <f>'A4-FinPerf RE'!J18+'A4-FinPerf RE'!J38</f>
        <v>136150054.5</v>
      </c>
      <c r="L56" s="76">
        <f>'A4-FinPerf RE'!K18+'A4-FinPerf RE'!K38</f>
        <v>144319057.77000001</v>
      </c>
      <c r="M56" s="333">
        <f>'A4-FinPerf RE'!L18+'A4-FinPerf RE'!L38</f>
        <v>152978201.23620003</v>
      </c>
    </row>
    <row r="57" spans="1:13" x14ac:dyDescent="0.25">
      <c r="A57" s="360" t="s">
        <v>1076</v>
      </c>
      <c r="B57" s="361" t="str">
        <f>B17</f>
        <v>20(1)(vi)</v>
      </c>
      <c r="C57" s="356"/>
      <c r="D57" s="79">
        <f>'A5-Capex'!C40</f>
        <v>0</v>
      </c>
      <c r="E57" s="76">
        <f>'A5-Capex'!D40</f>
        <v>62449782.710000001</v>
      </c>
      <c r="F57" s="333">
        <f>'A5-Capex'!E40</f>
        <v>53459027</v>
      </c>
      <c r="G57" s="79">
        <f>'A5-Capex'!F40</f>
        <v>44883600</v>
      </c>
      <c r="H57" s="76">
        <f>'A5-Capex'!G40</f>
        <v>60681889</v>
      </c>
      <c r="I57" s="76">
        <f>'A5-Capex'!H40</f>
        <v>60681889</v>
      </c>
      <c r="J57" s="333">
        <f>'A5-Capex'!I40</f>
        <v>60681889</v>
      </c>
      <c r="K57" s="79">
        <f>'A5-Capex'!J40</f>
        <v>32447438.100000001</v>
      </c>
      <c r="L57" s="76">
        <f>'A5-Capex'!K40</f>
        <v>49972500</v>
      </c>
      <c r="M57" s="333">
        <f>'A5-Capex'!L40</f>
        <v>0</v>
      </c>
    </row>
    <row r="58" spans="1:13" x14ac:dyDescent="0.25">
      <c r="A58" s="360" t="s">
        <v>1077</v>
      </c>
      <c r="B58" s="361" t="str">
        <f>B18</f>
        <v>20(1)(vi)</v>
      </c>
      <c r="C58" s="356"/>
      <c r="D58" s="79">
        <f>'A9-Asset'!C37</f>
        <v>0</v>
      </c>
      <c r="E58" s="76">
        <f>'A9-Asset'!D37</f>
        <v>0</v>
      </c>
      <c r="F58" s="333">
        <f>'A9-Asset'!E37</f>
        <v>0</v>
      </c>
      <c r="G58" s="79">
        <f>'A9-Asset'!F37</f>
        <v>4243623</v>
      </c>
      <c r="H58" s="76">
        <f>'A9-Asset'!G37</f>
        <v>486976</v>
      </c>
      <c r="I58" s="76">
        <f>'A9-Asset'!H37</f>
        <v>486976</v>
      </c>
      <c r="J58" s="76"/>
      <c r="K58" s="79">
        <f>'A9-Asset'!I37</f>
        <v>0</v>
      </c>
      <c r="L58" s="76">
        <f>'A9-Asset'!J37</f>
        <v>0</v>
      </c>
      <c r="M58" s="333">
        <f>'A9-Asset'!K37</f>
        <v>0</v>
      </c>
    </row>
    <row r="59" spans="1:13" ht="6" customHeight="1" x14ac:dyDescent="0.25">
      <c r="A59" s="360"/>
      <c r="B59" s="356"/>
      <c r="C59" s="356"/>
      <c r="D59" s="948"/>
      <c r="E59" s="55"/>
      <c r="F59" s="470"/>
      <c r="G59" s="211"/>
      <c r="H59" s="210"/>
      <c r="I59" s="210"/>
      <c r="J59" s="470"/>
      <c r="K59" s="211"/>
      <c r="L59" s="210"/>
      <c r="M59" s="470"/>
    </row>
    <row r="60" spans="1:13" x14ac:dyDescent="0.25">
      <c r="A60" s="354" t="s">
        <v>9</v>
      </c>
      <c r="B60" s="356"/>
      <c r="C60" s="356"/>
      <c r="D60" s="948"/>
      <c r="E60" s="55"/>
      <c r="F60" s="470"/>
      <c r="G60" s="211"/>
      <c r="H60" s="210"/>
      <c r="I60" s="210"/>
      <c r="J60" s="470"/>
      <c r="K60" s="211"/>
      <c r="L60" s="210"/>
      <c r="M60" s="470"/>
    </row>
    <row r="61" spans="1:13" x14ac:dyDescent="0.25">
      <c r="A61" s="360" t="s">
        <v>399</v>
      </c>
      <c r="B61" s="356"/>
      <c r="C61" s="356"/>
      <c r="D61" s="344">
        <v>0.06</v>
      </c>
      <c r="E61" s="391">
        <v>0.06</v>
      </c>
      <c r="F61" s="340">
        <v>0.06</v>
      </c>
      <c r="G61" s="344">
        <v>0.06</v>
      </c>
      <c r="H61" s="391">
        <v>0.06</v>
      </c>
      <c r="I61" s="391">
        <v>0.06</v>
      </c>
      <c r="J61" s="340">
        <v>0.06</v>
      </c>
      <c r="K61" s="344">
        <v>0.06</v>
      </c>
      <c r="L61" s="391">
        <v>0.06</v>
      </c>
      <c r="M61" s="340">
        <v>0.06</v>
      </c>
    </row>
    <row r="62" spans="1:13" x14ac:dyDescent="0.25">
      <c r="A62" s="360" t="s">
        <v>1841</v>
      </c>
      <c r="B62" s="356"/>
      <c r="C62" s="356"/>
      <c r="D62" s="344">
        <v>4.2999999999999997E-2</v>
      </c>
      <c r="E62" s="391">
        <v>3.9E-2</v>
      </c>
      <c r="F62" s="340">
        <v>4.5999999999999999E-2</v>
      </c>
      <c r="G62" s="344">
        <v>0.05</v>
      </c>
      <c r="H62" s="391">
        <v>0.05</v>
      </c>
      <c r="I62" s="391">
        <v>0.05</v>
      </c>
      <c r="J62" s="340">
        <v>0.05</v>
      </c>
      <c r="K62" s="344">
        <v>5.3999999999999999E-2</v>
      </c>
      <c r="L62" s="391">
        <v>5.6000000000000001E-2</v>
      </c>
      <c r="M62" s="340">
        <v>5.3999999999999999E-2</v>
      </c>
    </row>
    <row r="63" spans="1:13" x14ac:dyDescent="0.25">
      <c r="A63" s="360" t="s">
        <v>1333</v>
      </c>
      <c r="B63" s="356"/>
      <c r="C63" s="356"/>
      <c r="D63" s="1040"/>
      <c r="E63" s="1041"/>
      <c r="F63" s="1042"/>
      <c r="G63" s="1043"/>
      <c r="H63" s="1044"/>
      <c r="I63" s="1044"/>
      <c r="J63" s="1042"/>
      <c r="K63" s="1318"/>
      <c r="L63" s="1316"/>
      <c r="M63" s="1319"/>
    </row>
    <row r="64" spans="1:13" x14ac:dyDescent="0.25">
      <c r="A64" s="360" t="s">
        <v>1334</v>
      </c>
      <c r="B64" s="356"/>
      <c r="C64" s="356"/>
      <c r="D64" s="1040"/>
      <c r="E64" s="1041"/>
      <c r="F64" s="1042"/>
      <c r="G64" s="1043"/>
      <c r="H64" s="1044"/>
      <c r="I64" s="1044"/>
      <c r="J64" s="1042"/>
      <c r="K64" s="1318"/>
      <c r="L64" s="1316"/>
      <c r="M64" s="1319"/>
    </row>
    <row r="65" spans="1:13" x14ac:dyDescent="0.25">
      <c r="A65" s="360" t="s">
        <v>1335</v>
      </c>
      <c r="B65" s="356"/>
      <c r="C65" s="356"/>
      <c r="D65" s="1040"/>
      <c r="E65" s="1041"/>
      <c r="F65" s="1042"/>
      <c r="G65" s="1043"/>
      <c r="H65" s="1044"/>
      <c r="I65" s="1044"/>
      <c r="J65" s="1042"/>
      <c r="K65" s="1318"/>
      <c r="L65" s="1316"/>
      <c r="M65" s="1319"/>
    </row>
    <row r="66" spans="1:13" x14ac:dyDescent="0.25">
      <c r="A66" s="360" t="s">
        <v>1336</v>
      </c>
      <c r="B66" s="356"/>
      <c r="C66" s="356"/>
      <c r="D66" s="1040"/>
      <c r="E66" s="1041"/>
      <c r="F66" s="1042"/>
      <c r="G66" s="1043"/>
      <c r="H66" s="1044"/>
      <c r="I66" s="1044"/>
      <c r="J66" s="1042"/>
      <c r="K66" s="1318"/>
      <c r="L66" s="1316"/>
      <c r="M66" s="1319"/>
    </row>
    <row r="67" spans="1:13" x14ac:dyDescent="0.25">
      <c r="A67" s="360" t="s">
        <v>1073</v>
      </c>
      <c r="B67" s="356"/>
      <c r="C67" s="356"/>
      <c r="D67" s="1040"/>
      <c r="E67" s="1041"/>
      <c r="F67" s="1042"/>
      <c r="G67" s="1043"/>
      <c r="H67" s="1044"/>
      <c r="I67" s="1044"/>
      <c r="J67" s="1042"/>
      <c r="K67" s="1318"/>
      <c r="L67" s="1316"/>
      <c r="M67" s="1319"/>
    </row>
    <row r="68" spans="1:13" x14ac:dyDescent="0.25">
      <c r="A68" s="360" t="s">
        <v>1072</v>
      </c>
      <c r="B68" s="356"/>
      <c r="C68" s="356"/>
      <c r="D68" s="1043"/>
      <c r="E68" s="1044"/>
      <c r="F68" s="1042"/>
      <c r="G68" s="1043"/>
      <c r="H68" s="1044"/>
      <c r="I68" s="1044"/>
      <c r="J68" s="1042"/>
      <c r="K68" s="79">
        <f>SUM(K63:K67)</f>
        <v>0</v>
      </c>
      <c r="L68" s="76">
        <f>SUM(L63:L67)</f>
        <v>0</v>
      </c>
      <c r="M68" s="333">
        <f>SUM(M63:M67)</f>
        <v>0</v>
      </c>
    </row>
    <row r="69" spans="1:13" x14ac:dyDescent="0.25">
      <c r="A69" s="360" t="s">
        <v>10</v>
      </c>
      <c r="B69" s="356"/>
      <c r="C69" s="356"/>
      <c r="D69" s="946"/>
      <c r="E69" s="390"/>
      <c r="F69" s="340"/>
      <c r="G69" s="344"/>
      <c r="H69" s="391"/>
      <c r="I69" s="391"/>
      <c r="J69" s="340"/>
      <c r="K69" s="344"/>
      <c r="L69" s="391"/>
      <c r="M69" s="340"/>
    </row>
    <row r="70" spans="1:13" ht="13.5" thickBot="1" x14ac:dyDescent="0.3">
      <c r="A70" s="362"/>
      <c r="B70" s="363"/>
      <c r="C70" s="363"/>
      <c r="D70" s="1045"/>
      <c r="E70" s="1046"/>
      <c r="F70" s="1047"/>
      <c r="G70" s="1048"/>
      <c r="H70" s="1049"/>
      <c r="I70" s="1049"/>
      <c r="J70" s="1047"/>
      <c r="K70" s="1048"/>
      <c r="L70" s="1049"/>
      <c r="M70" s="1047"/>
    </row>
    <row r="71" spans="1:13" x14ac:dyDescent="0.25">
      <c r="A71" s="364" t="s">
        <v>1108</v>
      </c>
      <c r="J71" s="896"/>
      <c r="K71" s="1050"/>
      <c r="L71" s="1051"/>
      <c r="M71" s="1052"/>
    </row>
    <row r="72" spans="1:13" x14ac:dyDescent="0.25">
      <c r="A72" s="1544" t="s">
        <v>1419</v>
      </c>
      <c r="D72" s="1024"/>
      <c r="E72" s="1024"/>
      <c r="F72" s="1025"/>
      <c r="G72" s="1025"/>
      <c r="H72" s="1025"/>
      <c r="I72" s="1025"/>
      <c r="J72" s="1026"/>
      <c r="K72" s="1318"/>
      <c r="L72" s="1316"/>
      <c r="M72" s="1319"/>
    </row>
    <row r="73" spans="1:13" x14ac:dyDescent="0.25">
      <c r="A73" s="1350"/>
      <c r="D73" s="1024"/>
      <c r="E73" s="1024"/>
      <c r="F73" s="1025"/>
      <c r="G73" s="1025"/>
      <c r="H73" s="1025"/>
      <c r="I73" s="1025"/>
      <c r="J73" s="1026"/>
      <c r="K73" s="1318"/>
      <c r="L73" s="1316"/>
      <c r="M73" s="1319"/>
    </row>
    <row r="74" spans="1:13" x14ac:dyDescent="0.25">
      <c r="A74" s="1350"/>
      <c r="D74" s="1024"/>
      <c r="E74" s="1024"/>
      <c r="F74" s="1025"/>
      <c r="G74" s="1025"/>
      <c r="H74" s="1025"/>
      <c r="I74" s="1025"/>
      <c r="J74" s="1026"/>
      <c r="K74" s="1318"/>
      <c r="L74" s="1316"/>
      <c r="M74" s="1319"/>
    </row>
    <row r="75" spans="1:13" x14ac:dyDescent="0.25">
      <c r="A75" s="1350"/>
      <c r="D75" s="1024"/>
      <c r="E75" s="1024"/>
      <c r="F75" s="1025"/>
      <c r="G75" s="1025"/>
      <c r="H75" s="1025"/>
      <c r="I75" s="1025"/>
      <c r="J75" s="1026"/>
      <c r="K75" s="1318"/>
      <c r="L75" s="1316"/>
      <c r="M75" s="1319"/>
    </row>
    <row r="76" spans="1:13" ht="13.5" thickBot="1" x14ac:dyDescent="0.3">
      <c r="D76" s="1024"/>
      <c r="E76" s="1024"/>
      <c r="F76" s="1025"/>
      <c r="G76" s="1025"/>
      <c r="H76" s="1025"/>
      <c r="I76" s="1025"/>
      <c r="J76" s="1026"/>
      <c r="K76" s="1053">
        <f>SUM(K72:K75)</f>
        <v>0</v>
      </c>
      <c r="L76" s="1054">
        <f>SUM(L72:L75)</f>
        <v>0</v>
      </c>
      <c r="M76" s="1055">
        <f>SUM(M72:M75)</f>
        <v>0</v>
      </c>
    </row>
    <row r="77" spans="1:13" ht="13.5" thickTop="1" x14ac:dyDescent="0.25">
      <c r="A77" s="364" t="s">
        <v>237</v>
      </c>
      <c r="J77" s="896"/>
      <c r="K77" s="79"/>
      <c r="L77" s="76"/>
      <c r="M77" s="333"/>
    </row>
    <row r="78" spans="1:13" x14ac:dyDescent="0.25">
      <c r="A78" s="1544" t="s">
        <v>1420</v>
      </c>
      <c r="D78" s="1024"/>
      <c r="E78" s="1024"/>
      <c r="F78" s="1025"/>
      <c r="G78" s="1025"/>
      <c r="H78" s="1025"/>
      <c r="I78" s="1025"/>
      <c r="J78" s="1026"/>
      <c r="K78" s="1318"/>
      <c r="L78" s="1316"/>
      <c r="M78" s="1319"/>
    </row>
    <row r="79" spans="1:13" x14ac:dyDescent="0.25">
      <c r="A79" s="1350"/>
      <c r="D79" s="1024"/>
      <c r="E79" s="1024"/>
      <c r="F79" s="1025"/>
      <c r="G79" s="1025"/>
      <c r="H79" s="1025"/>
      <c r="I79" s="1025"/>
      <c r="J79" s="1026"/>
      <c r="K79" s="1318"/>
      <c r="L79" s="1316"/>
      <c r="M79" s="1319"/>
    </row>
    <row r="80" spans="1:13" x14ac:dyDescent="0.25">
      <c r="A80" s="1350"/>
      <c r="D80" s="1024"/>
      <c r="E80" s="1024"/>
      <c r="F80" s="1025"/>
      <c r="G80" s="1025"/>
      <c r="H80" s="1025"/>
      <c r="I80" s="1025"/>
      <c r="J80" s="1026"/>
      <c r="K80" s="1318"/>
      <c r="L80" s="1316"/>
      <c r="M80" s="1319"/>
    </row>
    <row r="81" spans="1:13" x14ac:dyDescent="0.25">
      <c r="A81" s="1350"/>
      <c r="D81" s="1024"/>
      <c r="E81" s="1024"/>
      <c r="F81" s="1025"/>
      <c r="G81" s="1025"/>
      <c r="H81" s="1025"/>
      <c r="I81" s="1025"/>
      <c r="J81" s="1026"/>
      <c r="K81" s="1318"/>
      <c r="L81" s="1316"/>
      <c r="M81" s="1319"/>
    </row>
    <row r="82" spans="1:13" ht="13.5" thickBot="1" x14ac:dyDescent="0.3">
      <c r="A82" s="904"/>
      <c r="B82" s="171"/>
      <c r="C82" s="171"/>
      <c r="D82" s="1027"/>
      <c r="E82" s="1027"/>
      <c r="F82" s="1028"/>
      <c r="G82" s="1028"/>
      <c r="H82" s="1028"/>
      <c r="I82" s="1028"/>
      <c r="J82" s="1029"/>
      <c r="K82" s="1053">
        <f>SUM(K78:K81)</f>
        <v>0</v>
      </c>
      <c r="L82" s="1054">
        <f>SUM(L78:L81)</f>
        <v>0</v>
      </c>
      <c r="M82" s="1055">
        <f>SUM(M78:M81)</f>
        <v>0</v>
      </c>
    </row>
    <row r="83" spans="1:13" ht="13.5" thickTop="1" x14ac:dyDescent="0.25">
      <c r="A83" s="364" t="s">
        <v>579</v>
      </c>
      <c r="M83" s="914"/>
    </row>
    <row r="84" spans="1:13" x14ac:dyDescent="0.25">
      <c r="A84" s="25" t="str">
        <f>A55</f>
        <v>Change in consumer debtors (current and non-current)</v>
      </c>
      <c r="D84" s="365">
        <f>TREND(E84:G84)</f>
        <v>17770410.833333332</v>
      </c>
      <c r="E84" s="365">
        <f>E55</f>
        <v>19050975</v>
      </c>
      <c r="F84" s="365">
        <f>F55</f>
        <v>22024902</v>
      </c>
      <c r="G84" s="75">
        <f>J55</f>
        <v>32682214</v>
      </c>
      <c r="H84" s="75">
        <f t="shared" ref="H84:M84" si="8">K55</f>
        <v>54700323.790000021</v>
      </c>
      <c r="I84" s="75">
        <f t="shared" si="8"/>
        <v>-3348420.2233999968</v>
      </c>
      <c r="J84" s="75">
        <f t="shared" si="8"/>
        <v>65113365.62075603</v>
      </c>
      <c r="K84" s="75">
        <f t="shared" si="8"/>
        <v>0</v>
      </c>
      <c r="L84" s="75">
        <f t="shared" si="8"/>
        <v>0</v>
      </c>
      <c r="M84" s="77">
        <f t="shared" si="8"/>
        <v>0</v>
      </c>
    </row>
    <row r="85" spans="1:13" ht="12" customHeight="1" x14ac:dyDescent="0.25">
      <c r="M85" s="905"/>
    </row>
    <row r="86" spans="1:13" x14ac:dyDescent="0.25">
      <c r="A86" s="902" t="s">
        <v>1636</v>
      </c>
      <c r="B86" s="900"/>
      <c r="C86" s="901"/>
      <c r="D86" s="1030">
        <f>'A1-Sum'!B10</f>
        <v>0</v>
      </c>
      <c r="E86" s="1031">
        <f>'A1-Sum'!C10</f>
        <v>263805323</v>
      </c>
      <c r="F86" s="1032">
        <f>'A1-Sum'!D10</f>
        <v>321267476</v>
      </c>
      <c r="G86" s="1030">
        <f>'A1-Sum'!E10</f>
        <v>297801905.33999997</v>
      </c>
      <c r="H86" s="1031">
        <f>'A1-Sum'!F10</f>
        <v>309419785.50999999</v>
      </c>
      <c r="I86" s="1031">
        <f>'A1-Sum'!G10</f>
        <v>309419785.50999999</v>
      </c>
      <c r="J86" s="1032">
        <f>'A1-Sum'!H10</f>
        <v>309419785.50999999</v>
      </c>
      <c r="K86" s="1030">
        <f>'A1-Sum'!I10</f>
        <v>359394328.03400004</v>
      </c>
      <c r="L86" s="1031">
        <f>'A1-Sum'!J10</f>
        <v>380957987.71604002</v>
      </c>
      <c r="M86" s="1033">
        <f>'A1-Sum'!K10</f>
        <v>403815466.97900248</v>
      </c>
    </row>
    <row r="87" spans="1:13" x14ac:dyDescent="0.25">
      <c r="A87" s="364" t="s">
        <v>1637</v>
      </c>
      <c r="B87" s="899"/>
      <c r="C87" s="356"/>
      <c r="D87" s="936">
        <f>'A1-Sum'!B18</f>
        <v>0</v>
      </c>
      <c r="E87" s="162">
        <f>'A1-Sum'!C18</f>
        <v>374167586</v>
      </c>
      <c r="F87" s="939">
        <f>'A1-Sum'!D18</f>
        <v>419517289</v>
      </c>
      <c r="G87" s="936">
        <f>'A1-Sum'!E18</f>
        <v>366051098.66309154</v>
      </c>
      <c r="H87" s="162">
        <f>'A1-Sum'!F18</f>
        <v>381311977.60509163</v>
      </c>
      <c r="I87" s="162">
        <f>'A1-Sum'!G18</f>
        <v>381311977.60509163</v>
      </c>
      <c r="J87" s="939">
        <f>'A1-Sum'!H18</f>
        <v>381311977.60509163</v>
      </c>
      <c r="K87" s="936">
        <f>'A1-Sum'!I18</f>
        <v>392659855.6297999</v>
      </c>
      <c r="L87" s="162">
        <f>'A1-Sum'!J18</f>
        <v>416219446.96758795</v>
      </c>
      <c r="M87" s="915">
        <f>'A1-Sum'!K18</f>
        <v>441192613.78564334</v>
      </c>
    </row>
    <row r="88" spans="1:13" x14ac:dyDescent="0.25">
      <c r="A88" s="364" t="s">
        <v>1638</v>
      </c>
      <c r="B88" s="899"/>
      <c r="C88" s="356"/>
      <c r="D88" s="936">
        <f>D86-D87</f>
        <v>0</v>
      </c>
      <c r="E88" s="162">
        <f t="shared" ref="E88:M88" si="9">E86-E87</f>
        <v>-110362263</v>
      </c>
      <c r="F88" s="939">
        <f t="shared" si="9"/>
        <v>-98249813</v>
      </c>
      <c r="G88" s="936">
        <f t="shared" si="9"/>
        <v>-68249193.323091567</v>
      </c>
      <c r="H88" s="162">
        <f t="shared" si="9"/>
        <v>-71892192.095091641</v>
      </c>
      <c r="I88" s="162">
        <f t="shared" si="9"/>
        <v>-71892192.095091641</v>
      </c>
      <c r="J88" s="939">
        <f t="shared" si="9"/>
        <v>-71892192.095091641</v>
      </c>
      <c r="K88" s="936">
        <f>K86-K87</f>
        <v>-33265527.595799863</v>
      </c>
      <c r="L88" s="162">
        <f t="shared" si="9"/>
        <v>-35261459.251547933</v>
      </c>
      <c r="M88" s="915">
        <f t="shared" si="9"/>
        <v>-37377146.806640863</v>
      </c>
    </row>
    <row r="89" spans="1:13" x14ac:dyDescent="0.25">
      <c r="A89" s="364" t="s">
        <v>1717</v>
      </c>
      <c r="B89" s="899"/>
      <c r="C89" s="356"/>
      <c r="D89" s="1034"/>
      <c r="E89" s="1035"/>
      <c r="F89" s="1036"/>
      <c r="G89" s="723"/>
      <c r="H89" s="229"/>
      <c r="I89" s="229"/>
      <c r="J89" s="1036"/>
      <c r="K89" s="1034">
        <f>'A7-CFlow'!J40</f>
        <v>131332.16330000013</v>
      </c>
      <c r="L89" s="229"/>
      <c r="M89" s="1004"/>
    </row>
    <row r="90" spans="1:13" x14ac:dyDescent="0.25">
      <c r="A90" s="539" t="s">
        <v>1639</v>
      </c>
      <c r="B90" s="903"/>
      <c r="C90" s="228"/>
      <c r="D90" s="136"/>
      <c r="E90" s="136"/>
      <c r="F90" s="328"/>
      <c r="G90" s="330"/>
      <c r="H90" s="912"/>
      <c r="I90" s="912"/>
      <c r="J90" s="328"/>
      <c r="K90" s="330"/>
      <c r="L90" s="912"/>
      <c r="M90" s="329"/>
    </row>
    <row r="91" spans="1:13" x14ac:dyDescent="0.25">
      <c r="A91" s="74" t="s">
        <v>1640</v>
      </c>
      <c r="B91" s="355"/>
      <c r="D91" s="390"/>
      <c r="E91" s="390">
        <f>IF(ISERROR(('A1-Sum'!C10-'A1-Sum'!B10)/'A1-Sum'!B10),0,(('A1-Sum'!C10-'A1-Sum'!B10)/'A1-Sum'!B10))</f>
        <v>0</v>
      </c>
      <c r="F91" s="339">
        <f>IF(ISERROR(('A1-Sum'!D10-'A1-Sum'!C10)/'A1-Sum'!C10),0,(('A1-Sum'!D10-'A1-Sum'!C10)/'A1-Sum'!C10))</f>
        <v>0.21782029394456154</v>
      </c>
      <c r="G91" s="946">
        <f>IF(ISERROR(('A1-Sum'!E10-'A1-Sum'!D10)/'A1-Sum'!D10),0,(('A1-Sum'!E10-'A1-Sum'!D10)/'A1-Sum'!D10))</f>
        <v>-7.304060452107522E-2</v>
      </c>
      <c r="H91" s="390">
        <f>IF(ISERROR(('A1-Sum'!F10-'A1-Sum'!E10)/'A1-Sum'!E10),0,(('A1-Sum'!F10-'A1-Sum'!E10)/'A1-Sum'!E10))</f>
        <v>3.9012108256110387E-2</v>
      </c>
      <c r="I91" s="390">
        <f>IF(ISERROR(('A1-Sum'!G10-'A1-Sum'!F10)/'A1-Sum'!F10),0,(('A1-Sum'!G10-'A1-Sum'!F10)/'A1-Sum'!F10))</f>
        <v>0</v>
      </c>
      <c r="J91" s="339">
        <f>IF(ISERROR(('A1-Sum'!H10-'A1-Sum'!G10)/'A1-Sum'!G10),0,(('A1-Sum'!H10-'A1-Sum'!G10)/'A1-Sum'!G10))</f>
        <v>0</v>
      </c>
      <c r="K91" s="946">
        <f>IF(ISERROR(('A1-Sum'!I10-'A1-Sum'!F10)/'A1-Sum'!F10),0,(('A1-Sum'!I10-'A1-Sum'!F10)/'A1-Sum'!F10))</f>
        <v>0.16151049436489556</v>
      </c>
      <c r="L91" s="390">
        <f>IF(ISERROR(('A1-Sum'!J10-'A1-Sum'!I10)/'A1-Sum'!I10),0,(('A1-Sum'!J10-'A1-Sum'!I10)/'A1-Sum'!I10))</f>
        <v>5.9999999999999928E-2</v>
      </c>
      <c r="M91" s="933">
        <f>IF(ISERROR(('A1-Sum'!K10-'A1-Sum'!J10)/'A1-Sum'!J10),0,(('A1-Sum'!K10-'A1-Sum'!J10)/'A1-Sum'!J10))</f>
        <v>6.0000000000000157E-2</v>
      </c>
    </row>
    <row r="92" spans="1:13" x14ac:dyDescent="0.25">
      <c r="A92" s="74" t="s">
        <v>1641</v>
      </c>
      <c r="B92" s="355"/>
      <c r="D92" s="390"/>
      <c r="E92" s="390">
        <f>IF(ISERROR(('A4-FinPerf RE'!D5-'A4-FinPerf RE'!C5)/'A4-FinPerf RE'!C5),0,(('A4-FinPerf RE'!D5-'A4-FinPerf RE'!C5)/'A4-FinPerf RE'!C5))</f>
        <v>0</v>
      </c>
      <c r="F92" s="339">
        <f>IF(ISERROR(('A4-FinPerf RE'!E5-'A4-FinPerf RE'!D5)/'A4-FinPerf RE'!D5),0,(('A4-FinPerf RE'!E5-'A4-FinPerf RE'!D5)/'A4-FinPerf RE'!D5))</f>
        <v>0.47090644061090842</v>
      </c>
      <c r="G92" s="946">
        <f>IF(ISERROR(('A4-FinPerf RE'!F5-'A4-FinPerf RE'!E5)/'A4-FinPerf RE'!E5),0,(('A4-FinPerf RE'!F5-'A4-FinPerf RE'!E5)/'A4-FinPerf RE'!E5))</f>
        <v>-7.0108634947487342E-2</v>
      </c>
      <c r="H92" s="390">
        <f>IF(ISERROR(('A4-FinPerf RE'!G5-'A4-FinPerf RE'!F5)/'A4-FinPerf RE'!F5),0,(('A4-FinPerf RE'!G5-'A4-FinPerf RE'!F5)/'A4-FinPerf RE'!F5))</f>
        <v>-0.12181710160817039</v>
      </c>
      <c r="I92" s="390">
        <f>IF(ISERROR(('A4-FinPerf RE'!H5-'A4-FinPerf RE'!G5)/'A4-FinPerf RE'!G5),0,(('A4-FinPerf RE'!H5-'A4-FinPerf RE'!G5)/'A4-FinPerf RE'!G5))</f>
        <v>0</v>
      </c>
      <c r="J92" s="339">
        <f>IF(ISERROR(('A4-FinPerf RE'!I5-'A4-FinPerf RE'!H5)/'A4-FinPerf RE'!H5),0,(('A4-FinPerf RE'!I5-'A4-FinPerf RE'!H5)/'A4-FinPerf RE'!H5))</f>
        <v>0</v>
      </c>
      <c r="K92" s="946">
        <f>IF(ISERROR(('A4-FinPerf RE'!J5-'A4-FinPerf RE'!G5)/'A4-FinPerf RE'!G5),0,(('A4-FinPerf RE'!J5-'A4-FinPerf RE'!G5)/'A4-FinPerf RE'!G5))</f>
        <v>0.57809727672796862</v>
      </c>
      <c r="L92" s="390">
        <f>IF(ISERROR(('A4-FinPerf RE'!K5-'A4-FinPerf RE'!J5)/'A4-FinPerf RE'!J5),0,(('A4-FinPerf RE'!K5-'A4-FinPerf RE'!J5)/'A4-FinPerf RE'!J5))</f>
        <v>6.0000000000000039E-2</v>
      </c>
      <c r="M92" s="933">
        <f>IF(ISERROR(('A4-FinPerf RE'!L5-'A4-FinPerf RE'!K5)/'A4-FinPerf RE'!K5),0,(('A4-FinPerf RE'!L5-'A4-FinPerf RE'!K5)/'A4-FinPerf RE'!K5))</f>
        <v>6.0000000000000164E-2</v>
      </c>
    </row>
    <row r="93" spans="1:13" x14ac:dyDescent="0.25">
      <c r="A93" s="74" t="s">
        <v>1642</v>
      </c>
      <c r="B93" s="355"/>
      <c r="D93" s="390"/>
      <c r="E93" s="390">
        <f>IF(ISERROR(('A4-FinPerf RE'!D6-'A4-FinPerf RE'!C6)/'A4-FinPerf RE'!C6),0,(('A4-FinPerf RE'!D6-'A4-FinPerf RE'!C6)/'A4-FinPerf RE'!C6))</f>
        <v>0</v>
      </c>
      <c r="F93" s="339">
        <f>IF(ISERROR(('A4-FinPerf RE'!E6-'A4-FinPerf RE'!D6)/'A4-FinPerf RE'!D6),0,(('A4-FinPerf RE'!E6-'A4-FinPerf RE'!D6)/'A4-FinPerf RE'!D6))</f>
        <v>0.15910241915927101</v>
      </c>
      <c r="G93" s="946">
        <f>IF(ISERROR(('A4-FinPerf RE'!F6-'A4-FinPerf RE'!E6)/'A4-FinPerf RE'!E6),0,(('A4-FinPerf RE'!F6-'A4-FinPerf RE'!E6)/'A4-FinPerf RE'!E6))</f>
        <v>2.1728464681731827E-2</v>
      </c>
      <c r="H93" s="390">
        <f>IF(ISERROR(('A4-FinPerf RE'!G6-'A4-FinPerf RE'!F6)/'A4-FinPerf RE'!F6),0,(('A4-FinPerf RE'!G6-'A4-FinPerf RE'!F6)/'A4-FinPerf RE'!F6))</f>
        <v>0.13306701122473516</v>
      </c>
      <c r="I93" s="390">
        <f>IF(ISERROR(('A4-FinPerf RE'!H6-'A4-FinPerf RE'!G6)/'A4-FinPerf RE'!G6),0,(('A4-FinPerf RE'!H6-'A4-FinPerf RE'!G6)/'A4-FinPerf RE'!G6))</f>
        <v>0</v>
      </c>
      <c r="J93" s="339">
        <f>IF(ISERROR(('A4-FinPerf RE'!I6-'A4-FinPerf RE'!H6)/'A4-FinPerf RE'!H6),0,(('A4-FinPerf RE'!I6-'A4-FinPerf RE'!H6)/'A4-FinPerf RE'!H6))</f>
        <v>0</v>
      </c>
      <c r="K93" s="946">
        <f>IF(ISERROR(('A4-FinPerf RE'!J6-'A4-FinPerf RE'!G6)/'A4-FinPerf RE'!G6),0,(('A4-FinPerf RE'!J6-'A4-FinPerf RE'!G6)/'A4-FinPerf RE'!G6))</f>
        <v>0.1301363444202516</v>
      </c>
      <c r="L93" s="390">
        <f>IF(ISERROR(('A4-FinPerf RE'!K6-'A4-FinPerf RE'!J6)/'A4-FinPerf RE'!J6),0,(('A4-FinPerf RE'!K6-'A4-FinPerf RE'!J6)/'A4-FinPerf RE'!J6))</f>
        <v>6.0000000000000081E-2</v>
      </c>
      <c r="M93" s="933">
        <f>IF(ISERROR(('A4-FinPerf RE'!L6-'A4-FinPerf RE'!K6)/'A4-FinPerf RE'!K6),0,(('A4-FinPerf RE'!L6-'A4-FinPerf RE'!K6)/'A4-FinPerf RE'!K6))</f>
        <v>5.9999999999999984E-2</v>
      </c>
    </row>
    <row r="94" spans="1:13" x14ac:dyDescent="0.25">
      <c r="A94" s="170" t="s">
        <v>1643</v>
      </c>
      <c r="B94" s="564"/>
      <c r="C94" s="171"/>
      <c r="D94" s="910"/>
      <c r="E94" s="910">
        <f>IF(ISERROR((('A1-Sum'!C5+'A1-Sum'!C6)-('A1-Sum'!B5+'A1-Sum'!B6))/('A1-Sum'!B5+'A1-Sum'!B6)),0,((('A1-Sum'!C5+'A1-Sum'!C6)-('A1-Sum'!B5+'A1-Sum'!B6))/('A1-Sum'!B5+'A1-Sum'!B6)))</f>
        <v>0</v>
      </c>
      <c r="F94" s="937">
        <f>IF(ISERROR((('A1-Sum'!D5+'A1-Sum'!D6)-('A1-Sum'!C5+'A1-Sum'!C6))/('A1-Sum'!C5+'A1-Sum'!C6)),0,((('A1-Sum'!D5+'A1-Sum'!D6)-('A1-Sum'!C5+'A1-Sum'!C6))/('A1-Sum'!C5+'A1-Sum'!C6)))</f>
        <v>0.34684135575967878</v>
      </c>
      <c r="G94" s="942">
        <f>IF(ISERROR((('A1-Sum'!E5+'A1-Sum'!E6)-('A1-Sum'!D5+'A1-Sum'!D6))/('A1-Sum'!D5+'A1-Sum'!D6)),0,((('A1-Sum'!E5+'A1-Sum'!E6)-('A1-Sum'!D5+'A1-Sum'!D6))/('A1-Sum'!D5+'A1-Sum'!D6)))</f>
        <v>-3.9583643241018256E-2</v>
      </c>
      <c r="H94" s="910">
        <f>IF(ISERROR((('A1-Sum'!F5+'A1-Sum'!F6)-('A1-Sum'!E5+'A1-Sum'!E6))/('A1-Sum'!E5+'A1-Sum'!E6)),0,((('A1-Sum'!F5+'A1-Sum'!F6)-('A1-Sum'!E5+'A1-Sum'!E6))/('A1-Sum'!E5+'A1-Sum'!E6)))</f>
        <v>7.5625092644804756E-2</v>
      </c>
      <c r="I94" s="910">
        <f>IF(ISERROR((('A1-Sum'!G5+'A1-Sum'!G6)-('A1-Sum'!F5+'A1-Sum'!F6))/('A1-Sum'!F5+'A1-Sum'!F6)),0,((('A1-Sum'!G5+'A1-Sum'!G6)-('A1-Sum'!F5+'A1-Sum'!F6))/('A1-Sum'!F5+'A1-Sum'!F6)))</f>
        <v>0</v>
      </c>
      <c r="J94" s="937">
        <f>IF(ISERROR((('A1-Sum'!H5+'A1-Sum'!H6)-('A1-Sum'!G5+'A1-Sum'!G6))/('A1-Sum'!G5+'A1-Sum'!G6)),0,((('A1-Sum'!H5+'A1-Sum'!H6)-('A1-Sum'!G5+'A1-Sum'!G6))/('A1-Sum'!G5+'A1-Sum'!G6)))</f>
        <v>0</v>
      </c>
      <c r="K94" s="942">
        <f>IF(ISERROR((('A1-Sum'!I5+'A1-Sum'!I6)-('A1-Sum'!F5+'A1-Sum'!F6))/('A1-Sum'!F5+'A1-Sum'!F6)),0,((('A1-Sum'!I5+'A1-Sum'!I6)-('A1-Sum'!F5+'A1-Sum'!F6))/('A1-Sum'!F5+'A1-Sum'!F6)))</f>
        <v>0.23983397334429823</v>
      </c>
      <c r="L94" s="910">
        <f>IF(ISERROR((('A1-Sum'!J5+'A1-Sum'!J6)-('A1-Sum'!I5+'A1-Sum'!I6))/('A1-Sum'!I5+'A1-Sum'!I6)),0,((('A1-Sum'!J5+'A1-Sum'!J6)-('A1-Sum'!I5+'A1-Sum'!I6))/('A1-Sum'!I5+'A1-Sum'!I6)))</f>
        <v>6.000000000000015E-2</v>
      </c>
      <c r="M94" s="917">
        <f>IF(ISERROR((('A1-Sum'!K5+'A1-Sum'!K6)-('A1-Sum'!J5+'A1-Sum'!J6))/('A1-Sum'!J5+'A1-Sum'!J6)),0,((('A1-Sum'!K5+'A1-Sum'!K6)-('A1-Sum'!J5+'A1-Sum'!J6))/('A1-Sum'!J5+'A1-Sum'!J6)))</f>
        <v>6.0000000000000026E-2</v>
      </c>
    </row>
    <row r="95" spans="1:13" x14ac:dyDescent="0.25">
      <c r="A95" s="364" t="s">
        <v>1644</v>
      </c>
      <c r="B95" s="355"/>
      <c r="D95" s="55"/>
      <c r="E95" s="55"/>
      <c r="F95" s="938"/>
      <c r="G95" s="829"/>
      <c r="H95" s="601"/>
      <c r="I95" s="601"/>
      <c r="J95" s="938"/>
      <c r="K95" s="829"/>
      <c r="L95" s="601"/>
      <c r="M95" s="909"/>
    </row>
    <row r="96" spans="1:13" x14ac:dyDescent="0.25">
      <c r="A96" s="74" t="s">
        <v>1645</v>
      </c>
      <c r="B96" s="355"/>
      <c r="D96" s="390"/>
      <c r="E96" s="390">
        <f>IF(ISERROR(('A1-Sum'!C18-'A1-Sum'!B18)/'A1-Sum'!B18),0,(('A1-Sum'!C18-'A1-Sum'!B18)/'A1-Sum'!B18))</f>
        <v>0</v>
      </c>
      <c r="F96" s="339">
        <f>IF(ISERROR(('A1-Sum'!D18-'A1-Sum'!C18)/'A1-Sum'!C18),0,(('A1-Sum'!D18-'A1-Sum'!C18)/'A1-Sum'!C18))</f>
        <v>0.12120158104769663</v>
      </c>
      <c r="G96" s="946">
        <f>IF(ISERROR(('A1-Sum'!E18-'A1-Sum'!D18)/'A1-Sum'!D18),0,(('A1-Sum'!E18-'A1-Sum'!D18)/'A1-Sum'!D18))</f>
        <v>-0.12744692945636493</v>
      </c>
      <c r="H96" s="390">
        <f>IF(ISERROR(('A1-Sum'!F18-'A1-Sum'!E18)/'A1-Sum'!E18),0,(('A1-Sum'!F18-'A1-Sum'!E18)/'A1-Sum'!E18))</f>
        <v>4.1690569971614799E-2</v>
      </c>
      <c r="I96" s="390">
        <f>IF(ISERROR(('A1-Sum'!G18-'A1-Sum'!F18)/'A1-Sum'!F18),0,(('A1-Sum'!G18-'A1-Sum'!F18)/'A1-Sum'!F18))</f>
        <v>0</v>
      </c>
      <c r="J96" s="339">
        <f>IF(ISERROR(('A1-Sum'!H18-'A1-Sum'!G18)/'A1-Sum'!G18),0,(('A1-Sum'!H18-'A1-Sum'!G18)/'A1-Sum'!G18))</f>
        <v>0</v>
      </c>
      <c r="K96" s="946">
        <f>IF(ISERROR(('A1-Sum'!I18-'A1-Sum'!F18)/'A1-Sum'!F18),0,(('A1-Sum'!I18-'A1-Sum'!F18)/'A1-Sum'!F18))</f>
        <v>2.9760088041243696E-2</v>
      </c>
      <c r="L96" s="390">
        <f>IF(ISERROR(('A1-Sum'!J18-'A1-Sum'!I18)/'A1-Sum'!I18),0,(('A1-Sum'!J18-'A1-Sum'!I18)/'A1-Sum'!I18))</f>
        <v>6.000000000000013E-2</v>
      </c>
      <c r="M96" s="933">
        <f>IF(ISERROR(('A1-Sum'!K18-'A1-Sum'!J18)/'A1-Sum'!J18),0,(('A1-Sum'!K18-'A1-Sum'!J18)/'A1-Sum'!J18))</f>
        <v>6.0000000000000275E-2</v>
      </c>
    </row>
    <row r="97" spans="1:13" x14ac:dyDescent="0.25">
      <c r="A97" s="74" t="s">
        <v>1646</v>
      </c>
      <c r="B97" s="355"/>
      <c r="D97" s="390"/>
      <c r="E97" s="390">
        <f>IF(ISERROR(('A1-Sum'!C11-'A1-Sum'!B11)/'A1-Sum'!B11),0,(('A1-Sum'!C11-'A1-Sum'!B11)/'A1-Sum'!B11))</f>
        <v>0</v>
      </c>
      <c r="F97" s="339">
        <f>IF(ISERROR(('A1-Sum'!D11-'A1-Sum'!C11)/'A1-Sum'!C11),0,(('A1-Sum'!D11-'A1-Sum'!C11)/'A1-Sum'!C11))</f>
        <v>0.27790719250815432</v>
      </c>
      <c r="G97" s="946">
        <f>IF(ISERROR(('A1-Sum'!E11-'A1-Sum'!D11)/'A1-Sum'!D11),0,(('A1-Sum'!E11-'A1-Sum'!D11)/'A1-Sum'!D11))</f>
        <v>-1.1245382371074466E-2</v>
      </c>
      <c r="H97" s="390">
        <f>IF(ISERROR(('A1-Sum'!F11-'A1-Sum'!E11)/'A1-Sum'!E11),0,(('A1-Sum'!F11-'A1-Sum'!E11)/'A1-Sum'!E11))</f>
        <v>0.12697031307160045</v>
      </c>
      <c r="I97" s="390">
        <f>IF(ISERROR(('A1-Sum'!G11-'A1-Sum'!F11)/'A1-Sum'!F11),0,(('A1-Sum'!G11-'A1-Sum'!F11)/'A1-Sum'!F11))</f>
        <v>0</v>
      </c>
      <c r="J97" s="339">
        <f>IF(ISERROR(('A1-Sum'!H11-'A1-Sum'!G11)/'A1-Sum'!G11),0,(('A1-Sum'!H11-'A1-Sum'!G11)/'A1-Sum'!G11))</f>
        <v>0</v>
      </c>
      <c r="K97" s="946">
        <f>IF(ISERROR(('A1-Sum'!I11-'A1-Sum'!F11)/'A1-Sum'!F11),0,(('A1-Sum'!I11-'A1-Sum'!F11)/'A1-Sum'!F11))</f>
        <v>1.7977955664389925E-2</v>
      </c>
      <c r="L97" s="390">
        <f>IF(ISERROR(('A1-Sum'!J11-'A1-Sum'!I11)/'A1-Sum'!I11),0,(('A1-Sum'!J11-'A1-Sum'!I11)/'A1-Sum'!I11))</f>
        <v>6.0000000000000039E-2</v>
      </c>
      <c r="M97" s="933">
        <f>IF(ISERROR(('A1-Sum'!K11-'A1-Sum'!J11)/'A1-Sum'!J11),0,(('A1-Sum'!K11-'A1-Sum'!J11)/'A1-Sum'!J11))</f>
        <v>6.0000000000000137E-2</v>
      </c>
    </row>
    <row r="98" spans="1:13" x14ac:dyDescent="0.25">
      <c r="A98" s="74" t="s">
        <v>1647</v>
      </c>
      <c r="B98" s="355"/>
      <c r="D98" s="390"/>
      <c r="E98" s="390">
        <f>IF(ISERROR(('SA1'!D86-'SA1'!C86)/'SA1'!C86),0,(('SA1'!D86-'SA1'!C86)/'SA1'!C86))</f>
        <v>0</v>
      </c>
      <c r="F98" s="339">
        <f>IF(ISERROR(('SA1'!E86-'SA1'!D86)/'SA1'!D86),0,(('SA1'!E86-'SA1'!D86)/'SA1'!D86))</f>
        <v>0.17535406524523192</v>
      </c>
      <c r="G98" s="946">
        <f>IF(ISERROR(('SA1'!F86-'SA1'!E86)/'SA1'!E86),0,(('SA1'!F86-'SA1'!E86)/'SA1'!E86))</f>
        <v>1.4289997309735982E-2</v>
      </c>
      <c r="H98" s="390">
        <f>IF(ISERROR(('SA1'!G86-'SA1'!F86)/'SA1'!F86),0,(('SA1'!G86-'SA1'!F86)/'SA1'!F86))</f>
        <v>0</v>
      </c>
      <c r="I98" s="390">
        <f>IF(ISERROR(('SA1'!H86-'SA1'!G86)/'SA1'!G86),0,(('SA1'!H86-'SA1'!G86)/'SA1'!G86))</f>
        <v>0</v>
      </c>
      <c r="J98" s="339">
        <f>IF(ISERROR(('SA1'!I86-'SA1'!H86)/'SA1'!H86),0,(('SA1'!I86-'SA1'!H86)/'SA1'!H86))</f>
        <v>0</v>
      </c>
      <c r="K98" s="946">
        <f>IF(ISERROR(('SA1'!J86-'SA1'!G86)/'SA1'!G86),0,(('SA1'!J86-'SA1'!G86)/'SA1'!G86))</f>
        <v>0.1</v>
      </c>
      <c r="L98" s="390">
        <f>IF(ISERROR(('SA1'!K86-'SA1'!J86)/'SA1'!J86),0,(('SA1'!K86-'SA1'!J86)/'SA1'!J86))</f>
        <v>6.0000000000000102E-2</v>
      </c>
      <c r="M98" s="933">
        <f>IF(ISERROR(('SA1'!L86-'SA1'!K86)/'SA1'!K86),0,(('SA1'!L86-'SA1'!K86)/'SA1'!K86))</f>
        <v>6.0000000000000081E-2</v>
      </c>
    </row>
    <row r="99" spans="1:13" x14ac:dyDescent="0.25">
      <c r="A99" s="74" t="s">
        <v>1730</v>
      </c>
      <c r="B99" s="355"/>
      <c r="D99" s="55"/>
      <c r="E99" s="55"/>
      <c r="F99" s="331">
        <f>IF(ISERROR('A1-Sum'!D11/('SA24'!D36+'SA24'!E36-'SA24'!C5)),0,('A1-Sum'!D11/('SA24'!D36+'SA24'!E36-'SA24'!C5)))</f>
        <v>0</v>
      </c>
      <c r="G99" s="948">
        <f>IF(ISERROR('A1-Sum'!E11/('SA24'!F36-'SA24'!F5)),0,('A1-Sum'!E11/('SA24'!F36-'SA24'!F5)))</f>
        <v>0</v>
      </c>
      <c r="H99" s="601"/>
      <c r="I99" s="601"/>
      <c r="J99" s="938"/>
      <c r="K99" s="948">
        <f>IF(ISERROR('A1-Sum'!I11/('SA24'!I36-'SA24'!I5)),0,('A1-Sum'!I11/('SA24'!I36-'SA24'!I5)))</f>
        <v>0</v>
      </c>
      <c r="L99" s="601"/>
      <c r="M99" s="909"/>
    </row>
    <row r="100" spans="1:13" x14ac:dyDescent="0.25">
      <c r="A100" s="74" t="s">
        <v>1648</v>
      </c>
      <c r="B100" s="355"/>
      <c r="D100" s="55"/>
      <c r="E100" s="55"/>
      <c r="F100" s="331">
        <f>IF(ISERROR('A1-Sum'!D12/'SA24'!C5),0,('A1-Sum'!D12/'SA24'!C5))</f>
        <v>0</v>
      </c>
      <c r="G100" s="948">
        <f>IF(ISERROR('A1-Sum'!E12/'SA24'!F5),0,('A1-Sum'!E12/'SA24'!F5))</f>
        <v>0</v>
      </c>
      <c r="H100" s="601"/>
      <c r="I100" s="601"/>
      <c r="J100" s="938"/>
      <c r="K100" s="948">
        <f>IF(ISERROR('A1-Sum'!I12/'SA24'!I5),0,('A1-Sum'!I12/'SA24'!I5))</f>
        <v>0</v>
      </c>
      <c r="L100" s="601"/>
      <c r="M100" s="909"/>
    </row>
    <row r="101" spans="1:13" x14ac:dyDescent="0.25">
      <c r="A101" s="74" t="s">
        <v>1649</v>
      </c>
      <c r="B101" s="897"/>
      <c r="D101" s="390">
        <f>'A9-Asset'!C205</f>
        <v>0</v>
      </c>
      <c r="E101" s="390">
        <f>'A9-Asset'!D205</f>
        <v>5.0000000000000001E-3</v>
      </c>
      <c r="F101" s="339">
        <f>'A9-Asset'!E205</f>
        <v>7.0000000000000001E-3</v>
      </c>
      <c r="G101" s="946">
        <f>'A9-Asset'!F205</f>
        <v>0.01</v>
      </c>
      <c r="H101" s="390">
        <f>'A9-Asset'!G205</f>
        <v>6.0000000000000001E-3</v>
      </c>
      <c r="I101" s="390">
        <f>'A9-Asset'!H205</f>
        <v>6.0000000000000001E-3</v>
      </c>
      <c r="J101" s="339"/>
      <c r="K101" s="946">
        <f>'A9-Asset'!I205</f>
        <v>8.9999999999999993E-3</v>
      </c>
      <c r="L101" s="390">
        <f>'A9-Asset'!J205</f>
        <v>0.01</v>
      </c>
      <c r="M101" s="933">
        <f>'A9-Asset'!K205</f>
        <v>1.2E-2</v>
      </c>
    </row>
    <row r="102" spans="1:13" x14ac:dyDescent="0.25">
      <c r="A102" s="74" t="s">
        <v>1650</v>
      </c>
      <c r="B102" s="897"/>
      <c r="D102" s="390">
        <f>'A9-Asset'!C206</f>
        <v>0</v>
      </c>
      <c r="E102" s="390">
        <f>'A9-Asset'!D206</f>
        <v>0</v>
      </c>
      <c r="F102" s="339">
        <f>'A9-Asset'!E206</f>
        <v>0</v>
      </c>
      <c r="G102" s="946">
        <f>'A9-Asset'!F206</f>
        <v>0.03</v>
      </c>
      <c r="H102" s="390">
        <f>'A9-Asset'!G206</f>
        <v>0.02</v>
      </c>
      <c r="I102" s="390">
        <f>'A9-Asset'!H206</f>
        <v>0.02</v>
      </c>
      <c r="J102" s="339"/>
      <c r="K102" s="946">
        <f>'A9-Asset'!I206</f>
        <v>0</v>
      </c>
      <c r="L102" s="390">
        <f>'A9-Asset'!J206</f>
        <v>0</v>
      </c>
      <c r="M102" s="933">
        <f>'A9-Asset'!K206</f>
        <v>0</v>
      </c>
    </row>
    <row r="103" spans="1:13" x14ac:dyDescent="0.25">
      <c r="A103" s="170" t="s">
        <v>1740</v>
      </c>
      <c r="B103" s="906"/>
      <c r="C103" s="171"/>
      <c r="D103" s="910">
        <f>'SA10'!D11</f>
        <v>0</v>
      </c>
      <c r="E103" s="910">
        <f>'SA10'!E11</f>
        <v>0.26237470499620202</v>
      </c>
      <c r="F103" s="937">
        <f>'SA10'!F11</f>
        <v>3.0292152705032223E-2</v>
      </c>
      <c r="G103" s="942">
        <f>'SA10'!G11</f>
        <v>1.9622939828895701E-2</v>
      </c>
      <c r="H103" s="910">
        <f>'SA10'!H11</f>
        <v>2.8997421788342789E-2</v>
      </c>
      <c r="I103" s="910">
        <f>'SA10'!I11</f>
        <v>2.8997421788342789E-2</v>
      </c>
      <c r="J103" s="910">
        <f>'SA10'!J11</f>
        <v>2.8997421788342789E-2</v>
      </c>
      <c r="K103" s="942">
        <f>'SA10'!K11</f>
        <v>1.6371703464852418E-2</v>
      </c>
      <c r="L103" s="910">
        <f>'SA10'!L11</f>
        <v>1.6371703464852422E-2</v>
      </c>
      <c r="M103" s="917">
        <f>'SA10'!M11</f>
        <v>1.6371703464852422E-2</v>
      </c>
    </row>
    <row r="104" spans="1:13" x14ac:dyDescent="0.25">
      <c r="A104" s="364" t="s">
        <v>1651</v>
      </c>
      <c r="B104" s="355"/>
      <c r="D104" s="55"/>
      <c r="E104" s="55"/>
      <c r="F104" s="938"/>
      <c r="G104" s="829"/>
      <c r="H104" s="601"/>
      <c r="I104" s="601"/>
      <c r="J104" s="938"/>
      <c r="K104" s="829"/>
      <c r="L104" s="601"/>
      <c r="M104" s="909"/>
    </row>
    <row r="105" spans="1:13" x14ac:dyDescent="0.25">
      <c r="A105" s="74" t="s">
        <v>1652</v>
      </c>
      <c r="B105" s="359"/>
      <c r="D105" s="936">
        <f>'A1-Sum'!B29+'A1-Sum'!B31</f>
        <v>0</v>
      </c>
      <c r="E105" s="162">
        <f>'A1-Sum'!C29+'A1-Sum'!C31</f>
        <v>0</v>
      </c>
      <c r="F105" s="939">
        <f>'A1-Sum'!D29+'A1-Sum'!D31</f>
        <v>0</v>
      </c>
      <c r="G105" s="936">
        <f>'A1-Sum'!E29+'A1-Sum'!E31</f>
        <v>1321350</v>
      </c>
      <c r="H105" s="162">
        <f>'A1-Sum'!F29+'A1-Sum'!F31</f>
        <v>661750</v>
      </c>
      <c r="I105" s="162">
        <f>'A1-Sum'!G29+'A1-Sum'!G31</f>
        <v>661750</v>
      </c>
      <c r="J105" s="939">
        <f>'A1-Sum'!H29+'A1-Sum'!H31</f>
        <v>661750</v>
      </c>
      <c r="K105" s="936">
        <f>'A1-Sum'!I29+'A1-Sum'!I31</f>
        <v>0</v>
      </c>
      <c r="L105" s="162">
        <f>'A1-Sum'!J29+'A1-Sum'!J31</f>
        <v>0</v>
      </c>
      <c r="M105" s="915">
        <f>'A1-Sum'!K29+'A1-Sum'!K31</f>
        <v>0</v>
      </c>
    </row>
    <row r="106" spans="1:13" x14ac:dyDescent="0.25">
      <c r="A106" s="74" t="s">
        <v>1653</v>
      </c>
      <c r="B106" s="359"/>
      <c r="D106" s="936">
        <f>'A1-Sum'!B30</f>
        <v>0</v>
      </c>
      <c r="E106" s="162">
        <f>'A1-Sum'!C30</f>
        <v>0</v>
      </c>
      <c r="F106" s="939">
        <f>'A1-Sum'!D30</f>
        <v>0</v>
      </c>
      <c r="G106" s="936">
        <f>'A1-Sum'!E30</f>
        <v>0</v>
      </c>
      <c r="H106" s="162">
        <f>'A1-Sum'!F30</f>
        <v>0</v>
      </c>
      <c r="I106" s="162">
        <f>'A1-Sum'!G30</f>
        <v>0</v>
      </c>
      <c r="J106" s="939">
        <f>'A1-Sum'!H30</f>
        <v>0</v>
      </c>
      <c r="K106" s="936">
        <f>'A1-Sum'!I30</f>
        <v>0</v>
      </c>
      <c r="L106" s="162">
        <f>'A1-Sum'!J30</f>
        <v>0</v>
      </c>
      <c r="M106" s="915">
        <f>'A1-Sum'!K30</f>
        <v>0</v>
      </c>
    </row>
    <row r="107" spans="1:13" x14ac:dyDescent="0.25">
      <c r="A107" s="74" t="s">
        <v>1654</v>
      </c>
      <c r="B107" s="359"/>
      <c r="D107" s="936">
        <f>'A1-Sum'!B28</f>
        <v>0</v>
      </c>
      <c r="E107" s="162">
        <f>'A1-Sum'!C28</f>
        <v>62449782.710000001</v>
      </c>
      <c r="F107" s="939">
        <f>'A1-Sum'!D28</f>
        <v>53459027</v>
      </c>
      <c r="G107" s="936">
        <f>'A1-Sum'!E28</f>
        <v>43562250</v>
      </c>
      <c r="H107" s="162">
        <f>'A1-Sum'!F28</f>
        <v>60020139</v>
      </c>
      <c r="I107" s="162">
        <f>'A1-Sum'!G28</f>
        <v>60020139</v>
      </c>
      <c r="J107" s="939">
        <f>'A1-Sum'!H28</f>
        <v>60020139</v>
      </c>
      <c r="K107" s="936">
        <f>'A1-Sum'!I28</f>
        <v>32447438.100000001</v>
      </c>
      <c r="L107" s="162">
        <f>'A1-Sum'!J28</f>
        <v>49972500</v>
      </c>
      <c r="M107" s="915">
        <f>'A1-Sum'!K28</f>
        <v>0</v>
      </c>
    </row>
    <row r="108" spans="1:13" x14ac:dyDescent="0.25">
      <c r="A108" s="74" t="s">
        <v>1655</v>
      </c>
      <c r="B108" s="897"/>
      <c r="D108" s="911">
        <f>IF(ISERROR(('A1-Sum'!B29+'A1-Sum'!B31)/('A1-Sum'!B32-'A1-Sum'!B28)),0,(('A1-Sum'!B29+'A1-Sum'!B31)/('A1-Sum'!B32-'A1-Sum'!B28)))</f>
        <v>0</v>
      </c>
      <c r="E108" s="911">
        <f>IF(ISERROR(('A1-Sum'!C29+'A1-Sum'!C31)/('A1-Sum'!C32-'A1-Sum'!C28)),0,(('A1-Sum'!C29+'A1-Sum'!C31)/('A1-Sum'!C32-'A1-Sum'!C28)))</f>
        <v>0</v>
      </c>
      <c r="F108" s="940">
        <f>IF(ISERROR(('A1-Sum'!D29+'A1-Sum'!D31)/('A1-Sum'!D32-'A1-Sum'!D28)),0,(('A1-Sum'!D29+'A1-Sum'!D31)/('A1-Sum'!D32-'A1-Sum'!D28)))</f>
        <v>0</v>
      </c>
      <c r="G108" s="943">
        <f>IF(ISERROR(('A1-Sum'!E29+'A1-Sum'!E31)/('A1-Sum'!E32-'A1-Sum'!E28)),0,(('A1-Sum'!E29+'A1-Sum'!E31)/('A1-Sum'!E32-'A1-Sum'!E28)))</f>
        <v>1</v>
      </c>
      <c r="H108" s="911">
        <f>IF(ISERROR(('A1-Sum'!F29+'A1-Sum'!F31)/('A1-Sum'!F32-'A1-Sum'!F28)),0,(('A1-Sum'!F29+'A1-Sum'!F31)/('A1-Sum'!F32-'A1-Sum'!F28)))</f>
        <v>1</v>
      </c>
      <c r="I108" s="911">
        <f>IF(ISERROR(('A1-Sum'!G29+'A1-Sum'!G31)/('A1-Sum'!G32-'A1-Sum'!G28)),0,(('A1-Sum'!G29+'A1-Sum'!G31)/('A1-Sum'!G32-'A1-Sum'!G28)))</f>
        <v>1</v>
      </c>
      <c r="J108" s="940">
        <f>IF(ISERROR(('A1-Sum'!H29+'A1-Sum'!H31)/('A1-Sum'!H32-'A1-Sum'!H28)),0,(('A1-Sum'!H29+'A1-Sum'!H31)/('A1-Sum'!H32-'A1-Sum'!H28)))</f>
        <v>1</v>
      </c>
      <c r="K108" s="943">
        <f>IF(ISERROR(('A1-Sum'!I29+'A1-Sum'!I31)/('A1-Sum'!I32-'A1-Sum'!I28)),0,(('A1-Sum'!I29+'A1-Sum'!I31)/('A1-Sum'!I32-'A1-Sum'!I28)))</f>
        <v>0</v>
      </c>
      <c r="L108" s="911">
        <f>IF(ISERROR(('A1-Sum'!J29+'A1-Sum'!J31)/('A1-Sum'!J32-'A1-Sum'!J28)),0,(('A1-Sum'!J29+'A1-Sum'!J31)/('A1-Sum'!J32-'A1-Sum'!J28)))</f>
        <v>0</v>
      </c>
      <c r="M108" s="918">
        <f>IF(ISERROR(('A1-Sum'!K29+'A1-Sum'!K31)/('A1-Sum'!K32-'A1-Sum'!K28)),0,(('A1-Sum'!K29+'A1-Sum'!K31)/('A1-Sum'!K32-'A1-Sum'!K28)))</f>
        <v>0</v>
      </c>
    </row>
    <row r="109" spans="1:13" x14ac:dyDescent="0.25">
      <c r="A109" s="74" t="s">
        <v>1656</v>
      </c>
      <c r="B109" s="897"/>
      <c r="D109" s="911">
        <f>IF(ISERROR('A1-Sum'!B30/('A1-Sum'!B32-'A1-Sum'!B28)),0,('A1-Sum'!B30/('A1-Sum'!B32-'A1-Sum'!B28)))</f>
        <v>0</v>
      </c>
      <c r="E109" s="911">
        <f>IF(ISERROR('A1-Sum'!C30/('A1-Sum'!C32-'A1-Sum'!C28)),0,('A1-Sum'!C30/('A1-Sum'!C32-'A1-Sum'!C28)))</f>
        <v>0</v>
      </c>
      <c r="F109" s="940">
        <f>IF(ISERROR('A1-Sum'!D30/('A1-Sum'!D32-'A1-Sum'!D28)),0,('A1-Sum'!D30/('A1-Sum'!D32-'A1-Sum'!D28)))</f>
        <v>0</v>
      </c>
      <c r="G109" s="943">
        <f>IF(ISERROR('A1-Sum'!E30/('A1-Sum'!E32-'A1-Sum'!E28)),0,('A1-Sum'!E30/('A1-Sum'!E32-'A1-Sum'!E28)))</f>
        <v>0</v>
      </c>
      <c r="H109" s="911">
        <f>IF(ISERROR('A1-Sum'!F30/('A1-Sum'!F32-'A1-Sum'!F28)),0,('A1-Sum'!F30/('A1-Sum'!F32-'A1-Sum'!F28)))</f>
        <v>0</v>
      </c>
      <c r="I109" s="911">
        <f>IF(ISERROR('A1-Sum'!G30/('A1-Sum'!G32-'A1-Sum'!G28)),0,('A1-Sum'!G30/('A1-Sum'!G32-'A1-Sum'!G28)))</f>
        <v>0</v>
      </c>
      <c r="J109" s="940">
        <f>IF(ISERROR('A1-Sum'!H30/('A1-Sum'!H32-'A1-Sum'!H28)),0,('A1-Sum'!H30/('A1-Sum'!H32-'A1-Sum'!H28)))</f>
        <v>0</v>
      </c>
      <c r="K109" s="943">
        <f>IF(ISERROR('A1-Sum'!I30/('A1-Sum'!I32-'A1-Sum'!I28)),0,('A1-Sum'!I30/('A1-Sum'!I32-'A1-Sum'!I28)))</f>
        <v>0</v>
      </c>
      <c r="L109" s="911">
        <f>IF(ISERROR('A1-Sum'!J30/('A1-Sum'!J32-'A1-Sum'!J28)),0,('A1-Sum'!J30/('A1-Sum'!J32-'A1-Sum'!J28)))</f>
        <v>0</v>
      </c>
      <c r="M109" s="918">
        <f>IF(ISERROR('A1-Sum'!K30/('A1-Sum'!K32-'A1-Sum'!K28)),0,('A1-Sum'!K30/('A1-Sum'!K32-'A1-Sum'!K28)))</f>
        <v>0</v>
      </c>
    </row>
    <row r="110" spans="1:13" x14ac:dyDescent="0.25">
      <c r="A110" s="904" t="s">
        <v>1657</v>
      </c>
      <c r="B110" s="906"/>
      <c r="C110" s="171"/>
      <c r="D110" s="934">
        <f>IF(ISERROR('A1-Sum'!B28/'A1-Sum'!B32),0,('A1-Sum'!B28/'A1-Sum'!B32))</f>
        <v>0</v>
      </c>
      <c r="E110" s="934">
        <f>IF(ISERROR('A1-Sum'!C28/'A1-Sum'!C32),0,('A1-Sum'!C28/'A1-Sum'!C32))</f>
        <v>1</v>
      </c>
      <c r="F110" s="941">
        <f>IF(ISERROR('A1-Sum'!D28/'A1-Sum'!D32),0,('A1-Sum'!D28/'A1-Sum'!D32))</f>
        <v>1</v>
      </c>
      <c r="G110" s="944">
        <f>IF(ISERROR('A1-Sum'!E28/'A1-Sum'!E32),0,('A1-Sum'!E28/'A1-Sum'!E32))</f>
        <v>0.97056051653610675</v>
      </c>
      <c r="H110" s="934">
        <f>IF(ISERROR('A1-Sum'!F28/'A1-Sum'!F32),0,('A1-Sum'!F28/'A1-Sum'!F32))</f>
        <v>0.98909476928116069</v>
      </c>
      <c r="I110" s="934">
        <f>IF(ISERROR('A1-Sum'!G28/'A1-Sum'!G32),0,('A1-Sum'!G28/'A1-Sum'!G32))</f>
        <v>0.98909476928116069</v>
      </c>
      <c r="J110" s="941">
        <f>IF(ISERROR('A1-Sum'!H28/'A1-Sum'!H32),0,('A1-Sum'!H28/'A1-Sum'!H32))</f>
        <v>0.98909476928116069</v>
      </c>
      <c r="K110" s="944">
        <f>IF(ISERROR('A1-Sum'!I28/'A1-Sum'!I32),0,('A1-Sum'!I28/'A1-Sum'!I32))</f>
        <v>1</v>
      </c>
      <c r="L110" s="934">
        <f>IF(ISERROR('A1-Sum'!J28/'A1-Sum'!J32),0,('A1-Sum'!J28/'A1-Sum'!J32))</f>
        <v>1</v>
      </c>
      <c r="M110" s="935">
        <f>IF(ISERROR('A1-Sum'!K28/'A1-Sum'!K32),0,('A1-Sum'!K28/'A1-Sum'!K32))</f>
        <v>0</v>
      </c>
    </row>
    <row r="111" spans="1:13" x14ac:dyDescent="0.25">
      <c r="A111" s="364" t="s">
        <v>1658</v>
      </c>
      <c r="B111" s="355"/>
      <c r="D111" s="55"/>
      <c r="E111" s="55"/>
      <c r="F111" s="938"/>
      <c r="G111" s="829"/>
      <c r="H111" s="601"/>
      <c r="I111" s="601"/>
      <c r="J111" s="938"/>
      <c r="K111" s="829"/>
      <c r="L111" s="601"/>
      <c r="M111" s="909"/>
    </row>
    <row r="112" spans="1:13" x14ac:dyDescent="0.25">
      <c r="A112" s="25" t="s">
        <v>1659</v>
      </c>
      <c r="B112" s="359"/>
      <c r="D112" s="936">
        <f>'A1-Sum'!B27</f>
        <v>0</v>
      </c>
      <c r="E112" s="162">
        <f>'A1-Sum'!C27</f>
        <v>62449782.710000001</v>
      </c>
      <c r="F112" s="939">
        <f>'A1-Sum'!D27</f>
        <v>53459027</v>
      </c>
      <c r="G112" s="936">
        <f>'A1-Sum'!E27</f>
        <v>44883600</v>
      </c>
      <c r="H112" s="162">
        <f>'A1-Sum'!F27</f>
        <v>60681889</v>
      </c>
      <c r="I112" s="162">
        <f>'A1-Sum'!G27</f>
        <v>60681889</v>
      </c>
      <c r="J112" s="939">
        <f>'A1-Sum'!H27</f>
        <v>60681889</v>
      </c>
      <c r="K112" s="936">
        <f>'A1-Sum'!I27</f>
        <v>32447438.100000001</v>
      </c>
      <c r="L112" s="162">
        <f>'A1-Sum'!J27</f>
        <v>49972500</v>
      </c>
      <c r="M112" s="915">
        <f>'A1-Sum'!K27</f>
        <v>0</v>
      </c>
    </row>
    <row r="113" spans="1:13" x14ac:dyDescent="0.25">
      <c r="A113" s="25" t="s">
        <v>1660</v>
      </c>
      <c r="B113" s="359"/>
      <c r="D113" s="936">
        <f>'A1-Sum'!B55</f>
        <v>0</v>
      </c>
      <c r="E113" s="162">
        <f>'A1-Sum'!C55</f>
        <v>0</v>
      </c>
      <c r="F113" s="939">
        <f>'A1-Sum'!D55</f>
        <v>0</v>
      </c>
      <c r="G113" s="936">
        <f>'A1-Sum'!E55</f>
        <v>29284050</v>
      </c>
      <c r="H113" s="162">
        <f>'A1-Sum'!F55</f>
        <v>20817524</v>
      </c>
      <c r="I113" s="162">
        <f>'A1-Sum'!G55</f>
        <v>20817524</v>
      </c>
      <c r="J113" s="939">
        <f>'A1-Sum'!H55</f>
        <v>20817524</v>
      </c>
      <c r="K113" s="936">
        <f>'A1-Sum'!I55</f>
        <v>16340973</v>
      </c>
      <c r="L113" s="162">
        <f>'A1-Sum'!J55</f>
        <v>18922359</v>
      </c>
      <c r="M113" s="915">
        <f>'A1-Sum'!K55</f>
        <v>0</v>
      </c>
    </row>
    <row r="114" spans="1:13" x14ac:dyDescent="0.25">
      <c r="A114" s="904" t="s">
        <v>1661</v>
      </c>
      <c r="B114" s="906"/>
      <c r="C114" s="171"/>
      <c r="D114" s="910">
        <f>IF(ISERROR('A1-Sum'!B55/'A1-Sum'!B32),0,('A1-Sum'!B55/'A1-Sum'!B32))</f>
        <v>0</v>
      </c>
      <c r="E114" s="910">
        <f>IF(ISERROR('A1-Sum'!C55/'A1-Sum'!C32),0,('A1-Sum'!C55/'A1-Sum'!C32))</f>
        <v>0</v>
      </c>
      <c r="F114" s="937">
        <f>IF(ISERROR('A1-Sum'!D55/'A1-Sum'!D32),0,('A1-Sum'!D55/'A1-Sum'!D32))</f>
        <v>0</v>
      </c>
      <c r="G114" s="942">
        <f>IF(ISERROR('A1-Sum'!E55/'A1-Sum'!E32),0,('A1-Sum'!E55/'A1-Sum'!E32))</f>
        <v>0.65244432264791596</v>
      </c>
      <c r="H114" s="910">
        <f>IF(ISERROR('A1-Sum'!F55/'A1-Sum'!F32),0,('A1-Sum'!F55/'A1-Sum'!F32))</f>
        <v>0.34305992023419046</v>
      </c>
      <c r="I114" s="910">
        <f>IF(ISERROR('A1-Sum'!G55/'A1-Sum'!G32),0,('A1-Sum'!G55/'A1-Sum'!G32))</f>
        <v>0.34305992023419046</v>
      </c>
      <c r="J114" s="917">
        <f>IF(ISERROR('A1-Sum'!H55/'A1-Sum'!H32),0,('A1-Sum'!H55/'A1-Sum'!H32))</f>
        <v>0.34305992023419046</v>
      </c>
      <c r="K114" s="1304">
        <f>IF(ISERROR('A1-Sum'!I55/'A1-Sum'!I32),0,('A1-Sum'!I55/'A1-Sum'!I32))</f>
        <v>0.50361365817660653</v>
      </c>
      <c r="L114" s="910">
        <f>IF(ISERROR('A1-Sum'!J55/'A1-Sum'!J32),0,('A1-Sum'!J55/'A1-Sum'!J32))</f>
        <v>0.37865544049227073</v>
      </c>
      <c r="M114" s="910">
        <f>IF(ISERROR('A1-Sum'!K55/'A1-Sum'!K32),0,('A1-Sum'!K55/'A1-Sum'!K32))</f>
        <v>0</v>
      </c>
    </row>
    <row r="115" spans="1:13" x14ac:dyDescent="0.25">
      <c r="A115" s="364" t="s">
        <v>606</v>
      </c>
      <c r="B115" s="355"/>
      <c r="D115" s="55"/>
      <c r="E115" s="55"/>
      <c r="F115" s="938"/>
      <c r="G115" s="829"/>
      <c r="H115" s="601"/>
      <c r="I115" s="601"/>
      <c r="J115" s="938"/>
      <c r="K115" s="829"/>
      <c r="L115" s="601"/>
      <c r="M115" s="909"/>
    </row>
    <row r="116" spans="1:13" x14ac:dyDescent="0.25">
      <c r="A116" s="25" t="s">
        <v>1662</v>
      </c>
      <c r="B116" s="897"/>
      <c r="D116" s="911">
        <f>'SA10'!D10</f>
        <v>0</v>
      </c>
      <c r="E116" s="911">
        <f>'SA10'!E10</f>
        <v>0.92472841952578466</v>
      </c>
      <c r="F116" s="940">
        <f>'SA10'!F10</f>
        <v>0.83091784898235599</v>
      </c>
      <c r="G116" s="943">
        <f>'SA10'!G10</f>
        <v>0.88666436823839412</v>
      </c>
      <c r="H116" s="911">
        <f>'SA10'!H10</f>
        <v>0.91475205431715823</v>
      </c>
      <c r="I116" s="911">
        <f>'SA10'!I10</f>
        <v>0.91475205431715823</v>
      </c>
      <c r="J116" s="940">
        <f>'SA10'!J10</f>
        <v>0.91475205431715823</v>
      </c>
      <c r="K116" s="943">
        <f>'SA10'!K10</f>
        <v>0.93617342940825632</v>
      </c>
      <c r="L116" s="911">
        <f>'SA10'!L10</f>
        <v>0.93617342940825632</v>
      </c>
      <c r="M116" s="918">
        <f>'SA10'!M10</f>
        <v>0.93617342940825599</v>
      </c>
    </row>
    <row r="117" spans="1:13" x14ac:dyDescent="0.25">
      <c r="A117" s="904" t="s">
        <v>1663</v>
      </c>
      <c r="B117" s="907"/>
      <c r="C117" s="171"/>
      <c r="D117" s="913">
        <f>'SA10'!D7</f>
        <v>0</v>
      </c>
      <c r="E117" s="913">
        <f>'SA10'!E7</f>
        <v>1.2671440098271645</v>
      </c>
      <c r="F117" s="945">
        <f>'SA10'!F7</f>
        <v>-0.45094124302429633</v>
      </c>
      <c r="G117" s="947">
        <f>'SA10'!G7</f>
        <v>7.6775248664179271E-2</v>
      </c>
      <c r="H117" s="913">
        <f>'SA10'!H7</f>
        <v>0.12046424046171701</v>
      </c>
      <c r="I117" s="913">
        <f>'SA10'!I7</f>
        <v>0.12046424046171701</v>
      </c>
      <c r="J117" s="945">
        <f>'SA10'!J7</f>
        <v>0.12046424046171701</v>
      </c>
      <c r="K117" s="947">
        <f>'SA10'!K7</f>
        <v>5.3943301850698502E-3</v>
      </c>
      <c r="L117" s="913">
        <f>'SA10'!L7</f>
        <v>0.10626335672208317</v>
      </c>
      <c r="M117" s="919">
        <f>'SA10'!M7</f>
        <v>3.4098189540748836E-2</v>
      </c>
    </row>
    <row r="118" spans="1:13" x14ac:dyDescent="0.25">
      <c r="A118" s="364" t="s">
        <v>1132</v>
      </c>
      <c r="B118" s="355"/>
      <c r="D118" s="55"/>
      <c r="E118" s="55"/>
      <c r="F118" s="938"/>
      <c r="G118" s="829"/>
      <c r="H118" s="601"/>
      <c r="I118" s="601"/>
      <c r="J118" s="938"/>
      <c r="K118" s="829"/>
      <c r="L118" s="601"/>
      <c r="M118" s="909"/>
    </row>
    <row r="119" spans="1:13" ht="4.9000000000000004" customHeight="1" x14ac:dyDescent="0.25">
      <c r="B119" s="897"/>
      <c r="D119" s="390"/>
      <c r="E119" s="390"/>
      <c r="F119" s="339"/>
      <c r="G119" s="946"/>
      <c r="H119" s="390"/>
      <c r="I119" s="390"/>
      <c r="J119" s="339"/>
      <c r="K119" s="946"/>
      <c r="L119" s="390"/>
      <c r="M119" s="933"/>
    </row>
    <row r="120" spans="1:13" x14ac:dyDescent="0.25">
      <c r="A120" s="25" t="s">
        <v>1664</v>
      </c>
      <c r="B120" s="355"/>
      <c r="D120" s="916"/>
      <c r="E120" s="55"/>
      <c r="F120" s="938"/>
      <c r="G120" s="829"/>
      <c r="H120" s="601"/>
      <c r="I120" s="601"/>
      <c r="J120" s="938"/>
      <c r="K120" s="948">
        <f>'SA8'!F6</f>
        <v>0</v>
      </c>
      <c r="L120" s="601"/>
      <c r="M120" s="909"/>
    </row>
    <row r="121" spans="1:13" x14ac:dyDescent="0.25">
      <c r="A121" s="25" t="s">
        <v>1665</v>
      </c>
      <c r="B121" s="897"/>
      <c r="D121" s="390">
        <f>'SA8'!C7</f>
        <v>0</v>
      </c>
      <c r="E121" s="390">
        <f>'SA8'!D7</f>
        <v>1.6463561330510336E-2</v>
      </c>
      <c r="F121" s="339">
        <f>'SA8'!E7</f>
        <v>1.7231134900855063E-2</v>
      </c>
      <c r="G121" s="946">
        <f>'SA8'!F7</f>
        <v>1.5231753217961806E-2</v>
      </c>
      <c r="H121" s="390">
        <f>'SA8'!G7</f>
        <v>7.3110737761487368E-3</v>
      </c>
      <c r="I121" s="390">
        <f>'SA8'!H7</f>
        <v>7.3110737761487368E-3</v>
      </c>
      <c r="J121" s="339">
        <f>'SA8'!I7</f>
        <v>7.3110737761487368E-3</v>
      </c>
      <c r="K121" s="946">
        <f>'SA8'!J7</f>
        <v>9.6465170699067872E-3</v>
      </c>
      <c r="L121" s="390">
        <f>'SA8'!K7</f>
        <v>9.6465170699067872E-3</v>
      </c>
      <c r="M121" s="933">
        <f>'SA8'!L7</f>
        <v>9.6465170699067872E-3</v>
      </c>
    </row>
    <row r="122" spans="1:13" x14ac:dyDescent="0.25">
      <c r="A122" s="904" t="s">
        <v>1666</v>
      </c>
      <c r="B122" s="906"/>
      <c r="C122" s="171"/>
      <c r="D122" s="910">
        <f>'SA10'!D13</f>
        <v>0</v>
      </c>
      <c r="E122" s="910">
        <f>'SA10'!E13</f>
        <v>0</v>
      </c>
      <c r="F122" s="937">
        <f>'SA10'!F13</f>
        <v>0</v>
      </c>
      <c r="G122" s="942">
        <f>'SA10'!G13</f>
        <v>0</v>
      </c>
      <c r="H122" s="910">
        <f>'SA10'!H13</f>
        <v>0</v>
      </c>
      <c r="I122" s="910">
        <f>'SA10'!I13</f>
        <v>0</v>
      </c>
      <c r="J122" s="937">
        <f>'SA10'!J13</f>
        <v>0</v>
      </c>
      <c r="K122" s="942">
        <f>'SA10'!K13</f>
        <v>0</v>
      </c>
      <c r="L122" s="910">
        <f>'SA10'!L13</f>
        <v>0</v>
      </c>
      <c r="M122" s="917">
        <f>'SA10'!M13</f>
        <v>0</v>
      </c>
    </row>
    <row r="123" spans="1:13" x14ac:dyDescent="0.25">
      <c r="A123" s="364" t="s">
        <v>647</v>
      </c>
      <c r="B123" s="355"/>
      <c r="D123" s="55"/>
      <c r="E123" s="55"/>
      <c r="F123" s="938"/>
      <c r="G123" s="829"/>
      <c r="H123" s="601"/>
      <c r="I123" s="601"/>
      <c r="J123" s="938"/>
      <c r="K123" s="829"/>
      <c r="L123" s="601"/>
      <c r="M123" s="329"/>
    </row>
    <row r="124" spans="1:13" x14ac:dyDescent="0.25">
      <c r="A124" s="904" t="s">
        <v>1514</v>
      </c>
      <c r="B124" s="908"/>
      <c r="C124" s="171"/>
      <c r="D124" s="913">
        <f>'A8-ResRecon'!C19</f>
        <v>0</v>
      </c>
      <c r="E124" s="913">
        <f>'A8-ResRecon'!D19</f>
        <v>-78666214</v>
      </c>
      <c r="F124" s="945">
        <f>'A8-ResRecon'!E19</f>
        <v>-109183994</v>
      </c>
      <c r="G124" s="947">
        <f>'A8-ResRecon'!F19</f>
        <v>-37776916.859791577</v>
      </c>
      <c r="H124" s="913">
        <f>'A8-ResRecon'!G19</f>
        <v>-38418916.859791577</v>
      </c>
      <c r="I124" s="913">
        <f>'A8-ResRecon'!H19</f>
        <v>-38418916.859791577</v>
      </c>
      <c r="J124" s="945">
        <f>'A8-ResRecon'!I19</f>
        <v>-38418916.859791577</v>
      </c>
      <c r="K124" s="947">
        <f>'A8-ResRecon'!J19</f>
        <v>53720332.1633</v>
      </c>
      <c r="L124" s="913">
        <f>'A8-ResRecon'!K19</f>
        <v>59196350.54239808</v>
      </c>
      <c r="M124" s="919">
        <f>'A8-ResRecon'!L19</f>
        <v>115688774.41024201</v>
      </c>
    </row>
    <row r="125" spans="1:13" x14ac:dyDescent="0.25">
      <c r="A125" s="364" t="s">
        <v>1667</v>
      </c>
      <c r="B125" s="355"/>
      <c r="D125" s="55"/>
      <c r="E125" s="55"/>
      <c r="F125" s="938"/>
      <c r="G125" s="829"/>
      <c r="H125" s="601"/>
      <c r="I125" s="601"/>
      <c r="J125" s="329"/>
      <c r="K125" s="916"/>
      <c r="L125" s="601"/>
      <c r="M125" s="909"/>
    </row>
    <row r="126" spans="1:13" x14ac:dyDescent="0.25">
      <c r="A126" s="25" t="s">
        <v>1668</v>
      </c>
      <c r="B126" s="898"/>
      <c r="D126" s="390">
        <f>IF(ISERROR('A10-SerDel'!C60/'SA18'!C8),0,('A10-SerDel'!C60/'SA18'!C8))</f>
        <v>0</v>
      </c>
      <c r="E126" s="390">
        <f>IF(ISERROR('A10-SerDel'!D60/'SA18'!D8),0,('A10-SerDel'!D60/'SA18'!D8))</f>
        <v>0</v>
      </c>
      <c r="F126" s="339">
        <f>IF(ISERROR('A10-SerDel'!E60/'SA18'!E8),0,('A10-SerDel'!E60/'SA18'!E8))</f>
        <v>0</v>
      </c>
      <c r="G126" s="946">
        <f>IF(ISERROR('A10-SerDel'!F60/'SA18'!F8),0,('A10-SerDel'!F60/'SA18'!F8))</f>
        <v>0.26150431086241266</v>
      </c>
      <c r="H126" s="390">
        <f>IF(ISERROR('A10-SerDel'!G60/'SA18'!G8),0,('A10-SerDel'!G60/'SA18'!G8))</f>
        <v>0.22567184610581426</v>
      </c>
      <c r="I126" s="390">
        <f>IF(ISERROR('A10-SerDel'!H60/'SA18'!H8),0,('A10-SerDel'!H60/'SA18'!H8))</f>
        <v>0.22567184610581426</v>
      </c>
      <c r="J126" s="933"/>
      <c r="K126" s="949">
        <f>IF(ISERROR('A10-SerDel'!I60/'SA18'!I8),0,('A10-SerDel'!I60/'SA18'!I8))</f>
        <v>0.22774011840309874</v>
      </c>
      <c r="L126" s="390">
        <f>IF(ISERROR('A10-SerDel'!J60/'SA18'!J8),0,('A10-SerDel'!J60/'SA18'!J8))</f>
        <v>0.22663799146667774</v>
      </c>
      <c r="M126" s="933">
        <f>IF(ISERROR('A10-SerDel'!K60/'SA18'!K8),0,('A10-SerDel'!K60/'SA18'!K8))</f>
        <v>0.2250387125205644</v>
      </c>
    </row>
    <row r="127" spans="1:13" ht="25.5" x14ac:dyDescent="0.25">
      <c r="A127" s="888" t="s">
        <v>1669</v>
      </c>
      <c r="B127" s="897"/>
      <c r="D127" s="390">
        <f>IF(ISERROR('A10-SerDel'!C79/('A1-Sum'!B10-'A1-Sum'!B8)),0,('A10-SerDel'!C79/('A1-Sum'!B10-'A1-Sum'!B8)))</f>
        <v>0</v>
      </c>
      <c r="E127" s="390">
        <f>IF(ISERROR('A10-SerDel'!D79/('A1-Sum'!C10-'A1-Sum'!C8)),0,('A10-SerDel'!D79/('A1-Sum'!C10-'A1-Sum'!C8)))</f>
        <v>0</v>
      </c>
      <c r="F127" s="933">
        <f>IF(ISERROR('A10-SerDel'!E79/('A1-Sum'!D10-'A1-Sum'!D8)),0,('A10-SerDel'!E79/('A1-Sum'!D10-'A1-Sum'!D8)))</f>
        <v>0</v>
      </c>
      <c r="G127" s="949">
        <f>IF(ISERROR('A10-SerDel'!F79/('A1-Sum'!E10-'A1-Sum'!E8)),0,('A10-SerDel'!F79/('A1-Sum'!E10-'A1-Sum'!E8)))</f>
        <v>2.5618839338845879E-2</v>
      </c>
      <c r="H127" s="390">
        <f>IF(ISERROR('A10-SerDel'!G79/('A1-Sum'!F10-'A1-Sum'!F8)),0,('A10-SerDel'!G79/('A1-Sum'!F10-'A1-Sum'!F8)))</f>
        <v>4.2107453360164158E-2</v>
      </c>
      <c r="I127" s="390">
        <f>IF(ISERROR('A10-SerDel'!H79/('A1-Sum'!G10-'A1-Sum'!G8)),0,('A10-SerDel'!H79/('A1-Sum'!G10-'A1-Sum'!G8)))</f>
        <v>4.2107453360164158E-2</v>
      </c>
      <c r="J127" s="933"/>
      <c r="K127" s="949">
        <f>IF(ISERROR('A10-SerDel'!I79/('A1-Sum'!I10-'A1-Sum'!I8)),0,('A10-SerDel'!I79/('A1-Sum'!I10-'A1-Sum'!I8)))</f>
        <v>1.7079130047526436E-2</v>
      </c>
      <c r="L127" s="390">
        <f>IF(ISERROR('A10-SerDel'!J79/('A1-Sum'!J10-'A1-Sum'!J8)),0,('A10-SerDel'!J79/('A1-Sum'!J10-'A1-Sum'!J8)))</f>
        <v>1.7079130047526439E-2</v>
      </c>
      <c r="M127" s="390">
        <f>IF(ISERROR('A10-SerDel'!K79/('A1-Sum'!K10-'A1-Sum'!K8)),0,('A10-SerDel'!K79/('A1-Sum'!K10-'A1-Sum'!K8)))</f>
        <v>1.7079130047526439E-2</v>
      </c>
    </row>
    <row r="128" spans="1:13" ht="5.25" customHeight="1" x14ac:dyDescent="0.25">
      <c r="A128" s="888"/>
      <c r="B128" s="897"/>
      <c r="D128" s="949"/>
      <c r="E128" s="390"/>
      <c r="F128" s="917"/>
      <c r="G128" s="949"/>
      <c r="H128" s="390"/>
      <c r="I128" s="390"/>
      <c r="J128" s="933"/>
      <c r="K128" s="949"/>
      <c r="L128" s="390"/>
      <c r="M128" s="933"/>
    </row>
    <row r="129" spans="1:13" ht="18" customHeight="1" x14ac:dyDescent="0.25">
      <c r="A129" s="950" t="s">
        <v>1710</v>
      </c>
      <c r="B129" s="953"/>
      <c r="C129" s="954"/>
      <c r="D129" s="955"/>
      <c r="E129" s="956"/>
      <c r="F129" s="957"/>
      <c r="G129" s="958"/>
      <c r="H129" s="959"/>
      <c r="I129" s="959"/>
      <c r="J129" s="957"/>
      <c r="K129" s="958"/>
      <c r="L129" s="959"/>
      <c r="M129" s="957"/>
    </row>
    <row r="130" spans="1:13" ht="13.5" x14ac:dyDescent="0.25">
      <c r="A130" s="951" t="s">
        <v>1636</v>
      </c>
      <c r="B130" s="960"/>
      <c r="C130" s="961"/>
      <c r="D130" s="962">
        <f>D86</f>
        <v>0</v>
      </c>
      <c r="E130" s="962">
        <f t="shared" ref="E130:M130" si="10">E86</f>
        <v>263805323</v>
      </c>
      <c r="F130" s="971">
        <f t="shared" si="10"/>
        <v>321267476</v>
      </c>
      <c r="G130" s="962">
        <f t="shared" si="10"/>
        <v>297801905.33999997</v>
      </c>
      <c r="H130" s="962">
        <f t="shared" si="10"/>
        <v>309419785.50999999</v>
      </c>
      <c r="I130" s="962">
        <f t="shared" si="10"/>
        <v>309419785.50999999</v>
      </c>
      <c r="J130" s="971">
        <f>J86</f>
        <v>309419785.50999999</v>
      </c>
      <c r="K130" s="962">
        <f t="shared" si="10"/>
        <v>359394328.03400004</v>
      </c>
      <c r="L130" s="962">
        <f t="shared" si="10"/>
        <v>380957987.71604002</v>
      </c>
      <c r="M130" s="971">
        <f t="shared" si="10"/>
        <v>403815466.97900248</v>
      </c>
    </row>
    <row r="131" spans="1:13" ht="13.5" x14ac:dyDescent="0.25">
      <c r="A131" s="951" t="s">
        <v>1637</v>
      </c>
      <c r="B131" s="960"/>
      <c r="C131" s="961"/>
      <c r="D131" s="962">
        <f t="shared" ref="D131:M132" si="11">D87</f>
        <v>0</v>
      </c>
      <c r="E131" s="962">
        <f t="shared" si="11"/>
        <v>374167586</v>
      </c>
      <c r="F131" s="971">
        <f t="shared" si="11"/>
        <v>419517289</v>
      </c>
      <c r="G131" s="962">
        <f t="shared" si="11"/>
        <v>366051098.66309154</v>
      </c>
      <c r="H131" s="962">
        <f t="shared" si="11"/>
        <v>381311977.60509163</v>
      </c>
      <c r="I131" s="962">
        <f t="shared" si="11"/>
        <v>381311977.60509163</v>
      </c>
      <c r="J131" s="971">
        <f t="shared" si="11"/>
        <v>381311977.60509163</v>
      </c>
      <c r="K131" s="962">
        <f t="shared" si="11"/>
        <v>392659855.6297999</v>
      </c>
      <c r="L131" s="962">
        <f t="shared" si="11"/>
        <v>416219446.96758795</v>
      </c>
      <c r="M131" s="971">
        <f t="shared" si="11"/>
        <v>441192613.78564334</v>
      </c>
    </row>
    <row r="132" spans="1:13" ht="13.5" x14ac:dyDescent="0.25">
      <c r="A132" s="951" t="s">
        <v>1711</v>
      </c>
      <c r="B132" s="960"/>
      <c r="C132" s="961"/>
      <c r="D132" s="962">
        <f t="shared" si="11"/>
        <v>0</v>
      </c>
      <c r="E132" s="962">
        <f t="shared" si="11"/>
        <v>-110362263</v>
      </c>
      <c r="F132" s="971">
        <f t="shared" si="11"/>
        <v>-98249813</v>
      </c>
      <c r="G132" s="962">
        <f t="shared" si="11"/>
        <v>-68249193.323091567</v>
      </c>
      <c r="H132" s="962">
        <f t="shared" si="11"/>
        <v>-71892192.095091641</v>
      </c>
      <c r="I132" s="962">
        <f t="shared" si="11"/>
        <v>-71892192.095091641</v>
      </c>
      <c r="J132" s="971">
        <f t="shared" si="11"/>
        <v>-71892192.095091641</v>
      </c>
      <c r="K132" s="962">
        <f t="shared" si="11"/>
        <v>-33265527.595799863</v>
      </c>
      <c r="L132" s="962">
        <f t="shared" si="11"/>
        <v>-35261459.251547933</v>
      </c>
      <c r="M132" s="971">
        <f t="shared" si="11"/>
        <v>-37377146.806640863</v>
      </c>
    </row>
    <row r="133" spans="1:13" ht="13.5" x14ac:dyDescent="0.25">
      <c r="A133" s="951" t="s">
        <v>1713</v>
      </c>
      <c r="B133" s="960"/>
      <c r="C133" s="961"/>
      <c r="D133" s="962">
        <f>'A8-ResRecon'!C19</f>
        <v>0</v>
      </c>
      <c r="E133" s="962">
        <f>'A8-ResRecon'!D19</f>
        <v>-78666214</v>
      </c>
      <c r="F133" s="971">
        <f>'A8-ResRecon'!E19</f>
        <v>-109183994</v>
      </c>
      <c r="G133" s="962">
        <f>'A8-ResRecon'!F19</f>
        <v>-37776916.859791577</v>
      </c>
      <c r="H133" s="962">
        <f>'A8-ResRecon'!G19</f>
        <v>-38418916.859791577</v>
      </c>
      <c r="I133" s="962">
        <f>'A8-ResRecon'!H19</f>
        <v>-38418916.859791577</v>
      </c>
      <c r="J133" s="971">
        <f>'A8-ResRecon'!I19</f>
        <v>-38418916.859791577</v>
      </c>
      <c r="K133" s="962">
        <f>'A8-ResRecon'!J19</f>
        <v>53720332.1633</v>
      </c>
      <c r="L133" s="962">
        <f>'A8-ResRecon'!K19</f>
        <v>59196350.54239808</v>
      </c>
      <c r="M133" s="971">
        <f>'A8-ResRecon'!L19</f>
        <v>115688774.41024201</v>
      </c>
    </row>
    <row r="134" spans="1:13" ht="13.5" x14ac:dyDescent="0.25">
      <c r="A134" s="952" t="s">
        <v>1712</v>
      </c>
      <c r="B134" s="951"/>
      <c r="C134" s="1238">
        <v>15</v>
      </c>
      <c r="D134" s="972">
        <f>IF(D133&gt;=0,1,0)</f>
        <v>1</v>
      </c>
      <c r="E134" s="972">
        <f t="shared" ref="E134:M134" si="12">IF(E133&gt;=0,1,0)</f>
        <v>0</v>
      </c>
      <c r="F134" s="973">
        <f t="shared" si="12"/>
        <v>0</v>
      </c>
      <c r="G134" s="972">
        <f t="shared" si="12"/>
        <v>0</v>
      </c>
      <c r="H134" s="972">
        <f t="shared" si="12"/>
        <v>0</v>
      </c>
      <c r="I134" s="972">
        <f t="shared" si="12"/>
        <v>0</v>
      </c>
      <c r="J134" s="973">
        <f t="shared" si="12"/>
        <v>0</v>
      </c>
      <c r="K134" s="972">
        <f t="shared" si="12"/>
        <v>1</v>
      </c>
      <c r="L134" s="972">
        <f t="shared" si="12"/>
        <v>1</v>
      </c>
      <c r="M134" s="973">
        <f t="shared" si="12"/>
        <v>1</v>
      </c>
    </row>
    <row r="135" spans="1:13" s="1017" customFormat="1" ht="13.5" x14ac:dyDescent="0.25">
      <c r="A135" s="1013" t="s">
        <v>1720</v>
      </c>
      <c r="B135" s="1014"/>
      <c r="C135" s="961">
        <v>15</v>
      </c>
      <c r="D135" s="1015" t="str">
        <f>IF(D134=1,"ü","û")</f>
        <v>ü</v>
      </c>
      <c r="E135" s="1015" t="str">
        <f t="shared" ref="E135:M135" si="13">IF(E134=1,"ü","û")</f>
        <v>û</v>
      </c>
      <c r="F135" s="1016" t="str">
        <f t="shared" si="13"/>
        <v>û</v>
      </c>
      <c r="G135" s="1015" t="str">
        <f t="shared" si="13"/>
        <v>û</v>
      </c>
      <c r="H135" s="1015" t="str">
        <f t="shared" si="13"/>
        <v>û</v>
      </c>
      <c r="I135" s="1015" t="str">
        <f t="shared" si="13"/>
        <v>û</v>
      </c>
      <c r="J135" s="1016" t="str">
        <f t="shared" si="13"/>
        <v>û</v>
      </c>
      <c r="K135" s="1015" t="str">
        <f t="shared" si="13"/>
        <v>ü</v>
      </c>
      <c r="L135" s="1015" t="str">
        <f t="shared" si="13"/>
        <v>ü</v>
      </c>
      <c r="M135" s="1016" t="str">
        <f t="shared" si="13"/>
        <v>ü</v>
      </c>
    </row>
    <row r="136" spans="1:13" ht="13.5" x14ac:dyDescent="0.25">
      <c r="A136" s="963"/>
      <c r="B136" s="964"/>
      <c r="C136" s="965"/>
      <c r="D136" s="966"/>
      <c r="E136" s="967"/>
      <c r="F136" s="968"/>
      <c r="G136" s="969"/>
      <c r="H136" s="970"/>
      <c r="I136" s="970"/>
      <c r="J136" s="968"/>
      <c r="K136" s="969"/>
      <c r="L136" s="970"/>
      <c r="M136" s="968"/>
    </row>
    <row r="137" spans="1:13" x14ac:dyDescent="0.25">
      <c r="A137" s="715" t="str">
        <f>head27a</f>
        <v>References</v>
      </c>
    </row>
    <row r="138" spans="1:13" x14ac:dyDescent="0.25">
      <c r="A138" s="132" t="s">
        <v>1989</v>
      </c>
    </row>
  </sheetData>
  <mergeCells count="5">
    <mergeCell ref="A2:A3"/>
    <mergeCell ref="K2:M2"/>
    <mergeCell ref="B2:B3"/>
    <mergeCell ref="C2:C3"/>
    <mergeCell ref="G2:J2"/>
  </mergeCells>
  <phoneticPr fontId="3" type="noConversion"/>
  <dataValidations count="1">
    <dataValidation type="decimal" allowBlank="1" showInputMessage="1" showErrorMessage="1" sqref="K63:M67 K72:M75 K78:M81" xr:uid="{00000000-0002-0000-1D00-000000000000}">
      <formula1>-9999999999999990</formula1>
      <formula2>99999999999999900</formula2>
    </dataValidation>
  </dataValidations>
  <printOptions horizontalCentered="1"/>
  <pageMargins left="0" right="0" top="0.78740157480314965" bottom="0.59055118110236227" header="0.51181102362204722" footer="0.39"/>
  <pageSetup paperSize="9" scale="43" orientation="portrait" horizontalDpi="300" verticalDpi="300"/>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0">
    <tabColor rgb="FF92D050"/>
    <pageSetUpPr fitToPage="1"/>
  </sheetPr>
  <dimension ref="A1:J183"/>
  <sheetViews>
    <sheetView topLeftCell="C1" zoomScaleNormal="100" workbookViewId="0">
      <pane ySplit="1" topLeftCell="A152" activePane="bottomLeft" state="frozen"/>
      <selection pane="bottomLeft" activeCell="E161" sqref="E161"/>
    </sheetView>
  </sheetViews>
  <sheetFormatPr defaultRowHeight="11.25" x14ac:dyDescent="0.2"/>
  <cols>
    <col min="1" max="1" width="23.140625" style="805" customWidth="1"/>
    <col min="2" max="2" width="92.140625" style="804" customWidth="1"/>
    <col min="3" max="3" width="17.42578125" style="804" customWidth="1"/>
    <col min="4" max="4" width="10.42578125" style="804" bestFit="1" customWidth="1"/>
    <col min="5" max="5" width="87.7109375" style="804" customWidth="1"/>
    <col min="6" max="6" width="78.140625" style="804" customWidth="1"/>
    <col min="7" max="10" width="9.140625" style="805"/>
    <col min="11" max="16384" width="9.140625" style="804"/>
  </cols>
  <sheetData>
    <row r="1" spans="1:4" x14ac:dyDescent="0.2">
      <c r="A1" s="1874" t="s">
        <v>851</v>
      </c>
      <c r="B1" s="1875"/>
      <c r="C1" s="1875"/>
      <c r="D1" s="1876"/>
    </row>
    <row r="2" spans="1:4" x14ac:dyDescent="0.2">
      <c r="A2" s="1306" t="s">
        <v>648</v>
      </c>
      <c r="B2" s="1844" t="str">
        <f>HLOOKUP(MTREF,Headings,2)</f>
        <v>2017/18</v>
      </c>
      <c r="C2" s="1307" t="s">
        <v>106</v>
      </c>
      <c r="D2" s="1308"/>
    </row>
    <row r="3" spans="1:4" x14ac:dyDescent="0.2">
      <c r="A3" s="1309" t="s">
        <v>345</v>
      </c>
      <c r="B3" s="1845" t="str">
        <f>HLOOKUP(MTREF,Headings,3)</f>
        <v>2016/17</v>
      </c>
      <c r="C3" s="1310" t="s">
        <v>107</v>
      </c>
      <c r="D3" s="1311"/>
    </row>
    <row r="4" spans="1:4" x14ac:dyDescent="0.2">
      <c r="A4" s="1309" t="s">
        <v>701</v>
      </c>
      <c r="B4" s="1845" t="str">
        <f>HLOOKUP(MTREF,Headings,4)</f>
        <v>2015/16</v>
      </c>
      <c r="C4" s="1310" t="s">
        <v>108</v>
      </c>
      <c r="D4" s="1311"/>
    </row>
    <row r="5" spans="1:4" x14ac:dyDescent="0.2">
      <c r="A5" s="1309" t="s">
        <v>1433</v>
      </c>
      <c r="B5" s="1310" t="str">
        <f>HLOOKUP(MTREF,Headings,5)</f>
        <v>Current Year 2018/19</v>
      </c>
      <c r="C5" s="1310" t="s">
        <v>773</v>
      </c>
      <c r="D5" s="1311"/>
    </row>
    <row r="6" spans="1:4" x14ac:dyDescent="0.2">
      <c r="A6" s="1309" t="s">
        <v>676</v>
      </c>
      <c r="B6" s="1845" t="str">
        <f>HLOOKUP(MTREF,Headings,6)</f>
        <v>2018/19</v>
      </c>
      <c r="C6" s="1310" t="s">
        <v>773</v>
      </c>
      <c r="D6" s="1311"/>
    </row>
    <row r="7" spans="1:4" x14ac:dyDescent="0.2">
      <c r="A7" s="1309" t="s">
        <v>1434</v>
      </c>
      <c r="B7" s="1310" t="str">
        <f>HLOOKUP(MTREF,Headings,7)</f>
        <v>2019/20 Medium Term Revenue &amp; Expenditure Framework</v>
      </c>
      <c r="C7" s="1310" t="s">
        <v>774</v>
      </c>
      <c r="D7" s="1311"/>
    </row>
    <row r="8" spans="1:4" x14ac:dyDescent="0.2">
      <c r="A8" s="4" t="s">
        <v>1435</v>
      </c>
      <c r="B8" s="2" t="s">
        <v>476</v>
      </c>
      <c r="C8" s="2" t="s">
        <v>775</v>
      </c>
      <c r="D8" s="807"/>
    </row>
    <row r="9" spans="1:4" x14ac:dyDescent="0.2">
      <c r="A9" s="4" t="s">
        <v>1436</v>
      </c>
      <c r="B9" s="2" t="s">
        <v>935</v>
      </c>
      <c r="D9" s="807"/>
    </row>
    <row r="10" spans="1:4" x14ac:dyDescent="0.2">
      <c r="A10" s="4" t="s">
        <v>270</v>
      </c>
      <c r="B10" s="2" t="s">
        <v>271</v>
      </c>
      <c r="D10" s="807"/>
    </row>
    <row r="11" spans="1:4" x14ac:dyDescent="0.2">
      <c r="A11" s="4" t="s">
        <v>577</v>
      </c>
      <c r="B11" s="2" t="s">
        <v>578</v>
      </c>
      <c r="D11" s="807"/>
    </row>
    <row r="12" spans="1:4" x14ac:dyDescent="0.2">
      <c r="A12" s="4" t="s">
        <v>1437</v>
      </c>
      <c r="B12" s="2" t="s">
        <v>398</v>
      </c>
      <c r="D12" s="807"/>
    </row>
    <row r="13" spans="1:4" x14ac:dyDescent="0.2">
      <c r="A13" s="4" t="s">
        <v>1438</v>
      </c>
      <c r="B13" s="2" t="s">
        <v>1581</v>
      </c>
      <c r="D13" s="807"/>
    </row>
    <row r="14" spans="1:4" x14ac:dyDescent="0.2">
      <c r="A14" s="4" t="s">
        <v>1439</v>
      </c>
      <c r="B14" s="2" t="s">
        <v>1582</v>
      </c>
      <c r="D14" s="807"/>
    </row>
    <row r="15" spans="1:4" x14ac:dyDescent="0.2">
      <c r="A15" s="1309" t="s">
        <v>1440</v>
      </c>
      <c r="B15" s="1310" t="str">
        <f>HLOOKUP(MTREF,Headings,8)</f>
        <v>Budget Year 2019/20</v>
      </c>
      <c r="C15" s="1310" t="s">
        <v>776</v>
      </c>
      <c r="D15" s="850" t="s">
        <v>1500</v>
      </c>
    </row>
    <row r="16" spans="1:4" x14ac:dyDescent="0.2">
      <c r="A16" s="1309" t="s">
        <v>1441</v>
      </c>
      <c r="B16" s="1310" t="str">
        <f>HLOOKUP(MTREF,Headings,9)</f>
        <v>Budget Year +1 2020/21</v>
      </c>
      <c r="C16" s="1310" t="s">
        <v>777</v>
      </c>
      <c r="D16" s="850" t="s">
        <v>1501</v>
      </c>
    </row>
    <row r="17" spans="1:4" x14ac:dyDescent="0.2">
      <c r="A17" s="1309" t="s">
        <v>1446</v>
      </c>
      <c r="B17" s="1310" t="str">
        <f>HLOOKUP(MTREF,Headings,10)</f>
        <v>Budget Year +2 2021/22</v>
      </c>
      <c r="C17" s="1310" t="s">
        <v>778</v>
      </c>
      <c r="D17" s="850" t="s">
        <v>1502</v>
      </c>
    </row>
    <row r="18" spans="1:4" x14ac:dyDescent="0.2">
      <c r="A18" s="1309" t="s">
        <v>1447</v>
      </c>
      <c r="B18" s="1310" t="str">
        <f>HLOOKUP(MTREF,Headings,11)</f>
        <v>Forecast 2022/23</v>
      </c>
      <c r="C18" s="1310" t="s">
        <v>972</v>
      </c>
      <c r="D18" s="850" t="s">
        <v>1503</v>
      </c>
    </row>
    <row r="19" spans="1:4" x14ac:dyDescent="0.2">
      <c r="A19" s="1309" t="s">
        <v>1448</v>
      </c>
      <c r="B19" s="1310" t="str">
        <f>HLOOKUP(MTREF,Headings,12)</f>
        <v>Forecast 2023/24</v>
      </c>
      <c r="C19" s="1310" t="s">
        <v>973</v>
      </c>
      <c r="D19" s="850" t="s">
        <v>1504</v>
      </c>
    </row>
    <row r="20" spans="1:4" x14ac:dyDescent="0.2">
      <c r="A20" s="1309" t="s">
        <v>1449</v>
      </c>
      <c r="B20" s="1310" t="str">
        <f>HLOOKUP(MTREF,Headings,13)</f>
        <v>Forecast 2024/25</v>
      </c>
      <c r="C20" s="1310" t="s">
        <v>973</v>
      </c>
      <c r="D20" s="850" t="s">
        <v>1505</v>
      </c>
    </row>
    <row r="21" spans="1:4" x14ac:dyDescent="0.2">
      <c r="A21" s="1309" t="s">
        <v>1450</v>
      </c>
      <c r="B21" s="1310" t="str">
        <f>HLOOKUP(MTREF,Headings,14)</f>
        <v>Forecast 2025/26</v>
      </c>
      <c r="C21" s="1310" t="s">
        <v>973</v>
      </c>
      <c r="D21" s="850" t="s">
        <v>1506</v>
      </c>
    </row>
    <row r="22" spans="1:4" x14ac:dyDescent="0.2">
      <c r="A22" s="1309" t="s">
        <v>1451</v>
      </c>
      <c r="B22" s="1310" t="str">
        <f>HLOOKUP(MTREF,Headings,15)</f>
        <v>Forecast 2026/27</v>
      </c>
      <c r="C22" s="1310" t="s">
        <v>973</v>
      </c>
      <c r="D22" s="850" t="s">
        <v>1507</v>
      </c>
    </row>
    <row r="23" spans="1:4" x14ac:dyDescent="0.2">
      <c r="A23" s="1309" t="s">
        <v>1452</v>
      </c>
      <c r="B23" s="1310" t="str">
        <f>HLOOKUP(MTREF,Headings,16)</f>
        <v>Forecast 2027/28</v>
      </c>
      <c r="C23" s="1310" t="s">
        <v>973</v>
      </c>
      <c r="D23" s="850" t="s">
        <v>1508</v>
      </c>
    </row>
    <row r="24" spans="1:4" x14ac:dyDescent="0.2">
      <c r="A24" s="1309" t="s">
        <v>1453</v>
      </c>
      <c r="B24" s="1310" t="str">
        <f>HLOOKUP(MTREF,Headings,17)</f>
        <v>Forecast 2028/29</v>
      </c>
      <c r="C24" s="1310" t="s">
        <v>973</v>
      </c>
      <c r="D24" s="850" t="s">
        <v>561</v>
      </c>
    </row>
    <row r="25" spans="1:4" x14ac:dyDescent="0.2">
      <c r="A25" s="1309" t="s">
        <v>1454</v>
      </c>
      <c r="B25" s="1310" t="str">
        <f>HLOOKUP(MTREF,Headings,18)</f>
        <v>Forecast 2029/30</v>
      </c>
      <c r="C25" s="1310" t="s">
        <v>973</v>
      </c>
      <c r="D25" s="850" t="s">
        <v>562</v>
      </c>
    </row>
    <row r="26" spans="1:4" x14ac:dyDescent="0.2">
      <c r="A26" s="1309" t="s">
        <v>1455</v>
      </c>
      <c r="B26" s="1310" t="str">
        <f>HLOOKUP(MTREF,Headings,19)</f>
        <v>Forecast 2030/31</v>
      </c>
      <c r="C26" s="1310" t="s">
        <v>973</v>
      </c>
      <c r="D26" s="850" t="s">
        <v>563</v>
      </c>
    </row>
    <row r="27" spans="1:4" x14ac:dyDescent="0.2">
      <c r="A27" s="1309" t="s">
        <v>1456</v>
      </c>
      <c r="B27" s="1310" t="str">
        <f>HLOOKUP(MTREF,Headings,20)</f>
        <v>Forecast 2031/32</v>
      </c>
      <c r="C27" s="1310" t="s">
        <v>973</v>
      </c>
      <c r="D27" s="850" t="s">
        <v>564</v>
      </c>
    </row>
    <row r="28" spans="1:4" x14ac:dyDescent="0.2">
      <c r="A28" s="1309" t="s">
        <v>1457</v>
      </c>
      <c r="B28" s="1310" t="str">
        <f>HLOOKUP(MTREF,Headings,21)</f>
        <v>Forecast 2032/33</v>
      </c>
      <c r="C28" s="1310" t="s">
        <v>973</v>
      </c>
      <c r="D28" s="850" t="s">
        <v>565</v>
      </c>
    </row>
    <row r="29" spans="1:4" x14ac:dyDescent="0.2">
      <c r="A29" s="1309" t="s">
        <v>1458</v>
      </c>
      <c r="B29" s="1310" t="str">
        <f>HLOOKUP(MTREF,Headings,22)</f>
        <v>Forecast 2033/34</v>
      </c>
      <c r="C29" s="1310" t="s">
        <v>973</v>
      </c>
      <c r="D29" s="850" t="s">
        <v>566</v>
      </c>
    </row>
    <row r="30" spans="1:4" x14ac:dyDescent="0.2">
      <c r="A30" s="4" t="s">
        <v>954</v>
      </c>
      <c r="B30" s="2" t="s">
        <v>669</v>
      </c>
      <c r="D30" s="808"/>
    </row>
    <row r="31" spans="1:4" x14ac:dyDescent="0.2">
      <c r="A31" s="4" t="s">
        <v>900</v>
      </c>
      <c r="D31" s="808"/>
    </row>
    <row r="32" spans="1:4" x14ac:dyDescent="0.2">
      <c r="A32" s="4" t="s">
        <v>702</v>
      </c>
      <c r="B32" s="2" t="s">
        <v>703</v>
      </c>
      <c r="D32" s="808"/>
    </row>
    <row r="33" spans="1:4" x14ac:dyDescent="0.2">
      <c r="A33" s="4" t="s">
        <v>704</v>
      </c>
      <c r="B33" s="2" t="s">
        <v>366</v>
      </c>
      <c r="D33" s="808"/>
    </row>
    <row r="34" spans="1:4" x14ac:dyDescent="0.2">
      <c r="A34" s="4" t="s">
        <v>859</v>
      </c>
      <c r="B34" s="2" t="s">
        <v>860</v>
      </c>
      <c r="D34" s="808"/>
    </row>
    <row r="35" spans="1:4" x14ac:dyDescent="0.2">
      <c r="A35" s="4" t="s">
        <v>803</v>
      </c>
      <c r="B35" s="2" t="s">
        <v>779</v>
      </c>
      <c r="D35" s="850" t="s">
        <v>804</v>
      </c>
    </row>
    <row r="36" spans="1:4" x14ac:dyDescent="0.2">
      <c r="A36" s="1309" t="s">
        <v>1520</v>
      </c>
      <c r="B36" s="1310" t="str">
        <f>HLOOKUP(MTREF,Headings,23)</f>
        <v>Annual target 2019/20</v>
      </c>
      <c r="C36" s="1310"/>
      <c r="D36" s="808"/>
    </row>
    <row r="37" spans="1:4" x14ac:dyDescent="0.2">
      <c r="A37" s="1309" t="s">
        <v>1521</v>
      </c>
      <c r="B37" s="1310" t="str">
        <f>HLOOKUP(MTREF,Headings,24)</f>
        <v>Revised target 2019/20</v>
      </c>
      <c r="C37" s="1310"/>
      <c r="D37" s="808"/>
    </row>
    <row r="38" spans="1:4" x14ac:dyDescent="0.2">
      <c r="A38" s="4" t="s">
        <v>1522</v>
      </c>
      <c r="B38" s="2" t="s">
        <v>551</v>
      </c>
      <c r="D38" s="808"/>
    </row>
    <row r="39" spans="1:4" x14ac:dyDescent="0.2">
      <c r="A39" s="4" t="s">
        <v>1523</v>
      </c>
      <c r="B39" s="2" t="s">
        <v>552</v>
      </c>
      <c r="D39" s="808"/>
    </row>
    <row r="40" spans="1:4" x14ac:dyDescent="0.2">
      <c r="A40" s="4" t="s">
        <v>1524</v>
      </c>
      <c r="B40" s="2" t="s">
        <v>553</v>
      </c>
      <c r="D40" s="808"/>
    </row>
    <row r="41" spans="1:4" x14ac:dyDescent="0.2">
      <c r="A41" s="4" t="s">
        <v>1525</v>
      </c>
      <c r="B41" s="2" t="s">
        <v>549</v>
      </c>
      <c r="D41" s="808"/>
    </row>
    <row r="42" spans="1:4" x14ac:dyDescent="0.2">
      <c r="A42" s="4" t="s">
        <v>550</v>
      </c>
      <c r="B42" s="2" t="s">
        <v>1343</v>
      </c>
      <c r="D42" s="808"/>
    </row>
    <row r="43" spans="1:4" x14ac:dyDescent="0.2">
      <c r="A43" s="4" t="s">
        <v>299</v>
      </c>
      <c r="B43" s="2" t="s">
        <v>671</v>
      </c>
      <c r="D43" s="808"/>
    </row>
    <row r="44" spans="1:4" x14ac:dyDescent="0.2">
      <c r="A44" s="4" t="s">
        <v>300</v>
      </c>
      <c r="B44" s="2" t="s">
        <v>672</v>
      </c>
      <c r="D44" s="808"/>
    </row>
    <row r="45" spans="1:4" x14ac:dyDescent="0.2">
      <c r="A45" s="4" t="s">
        <v>301</v>
      </c>
      <c r="B45" s="2" t="s">
        <v>1146</v>
      </c>
      <c r="D45" s="808"/>
    </row>
    <row r="46" spans="1:4" x14ac:dyDescent="0.2">
      <c r="A46" s="4" t="s">
        <v>1145</v>
      </c>
      <c r="B46" s="2" t="s">
        <v>1194</v>
      </c>
      <c r="D46" s="808"/>
    </row>
    <row r="47" spans="1:4" x14ac:dyDescent="0.2">
      <c r="A47" s="4" t="s">
        <v>1147</v>
      </c>
      <c r="B47" s="5" t="s">
        <v>79</v>
      </c>
      <c r="D47" s="808"/>
    </row>
    <row r="48" spans="1:4" x14ac:dyDescent="0.2">
      <c r="A48" s="4" t="s">
        <v>1148</v>
      </c>
      <c r="B48" s="5" t="s">
        <v>81</v>
      </c>
      <c r="D48" s="808"/>
    </row>
    <row r="49" spans="1:4" x14ac:dyDescent="0.2">
      <c r="A49" s="4" t="s">
        <v>1149</v>
      </c>
      <c r="B49" s="5" t="s">
        <v>1063</v>
      </c>
      <c r="D49" s="808"/>
    </row>
    <row r="50" spans="1:4" x14ac:dyDescent="0.2">
      <c r="A50" s="4" t="s">
        <v>80</v>
      </c>
      <c r="B50" s="5" t="str">
        <f>Head3&amp;" Summary"</f>
        <v>2019/20 Medium Term Revenue &amp; Expenditure Framework Summary</v>
      </c>
      <c r="D50" s="808"/>
    </row>
    <row r="51" spans="1:4" x14ac:dyDescent="0.2">
      <c r="A51" s="4" t="s">
        <v>555</v>
      </c>
      <c r="B51" s="5" t="s">
        <v>557</v>
      </c>
      <c r="D51" s="808"/>
    </row>
    <row r="52" spans="1:4" x14ac:dyDescent="0.2">
      <c r="A52" s="4" t="s">
        <v>556</v>
      </c>
      <c r="B52" s="5" t="s">
        <v>2034</v>
      </c>
      <c r="D52" s="808"/>
    </row>
    <row r="53" spans="1:4" x14ac:dyDescent="0.2">
      <c r="A53" s="4" t="s">
        <v>1362</v>
      </c>
      <c r="B53" s="851" t="s">
        <v>1363</v>
      </c>
      <c r="C53" s="810"/>
      <c r="D53" s="808"/>
    </row>
    <row r="54" spans="1:4" x14ac:dyDescent="0.2">
      <c r="A54" s="4" t="s">
        <v>854</v>
      </c>
      <c r="B54" s="5" t="s">
        <v>1467</v>
      </c>
      <c r="D54" s="808"/>
    </row>
    <row r="55" spans="1:4" x14ac:dyDescent="0.2">
      <c r="A55" s="4" t="s">
        <v>337</v>
      </c>
      <c r="B55" s="5" t="s">
        <v>761</v>
      </c>
      <c r="D55" s="808"/>
    </row>
    <row r="56" spans="1:4" x14ac:dyDescent="0.2">
      <c r="A56" s="4" t="s">
        <v>1201</v>
      </c>
      <c r="B56" s="809"/>
      <c r="D56" s="808"/>
    </row>
    <row r="57" spans="1:4" x14ac:dyDescent="0.2">
      <c r="A57" s="4" t="s">
        <v>1202</v>
      </c>
      <c r="B57" s="5" t="s">
        <v>523</v>
      </c>
      <c r="D57" s="808"/>
    </row>
    <row r="58" spans="1:4" x14ac:dyDescent="0.2">
      <c r="A58" s="4" t="s">
        <v>518</v>
      </c>
      <c r="B58" s="5" t="s">
        <v>522</v>
      </c>
      <c r="D58" s="808"/>
    </row>
    <row r="59" spans="1:4" x14ac:dyDescent="0.2">
      <c r="A59" s="4" t="s">
        <v>519</v>
      </c>
      <c r="B59" s="5" t="s">
        <v>397</v>
      </c>
      <c r="D59" s="808"/>
    </row>
    <row r="60" spans="1:4" x14ac:dyDescent="0.2">
      <c r="A60" s="4" t="s">
        <v>520</v>
      </c>
      <c r="B60" s="5" t="s">
        <v>524</v>
      </c>
      <c r="D60" s="808"/>
    </row>
    <row r="61" spans="1:4" x14ac:dyDescent="0.2">
      <c r="A61" s="4" t="s">
        <v>521</v>
      </c>
      <c r="B61" s="5" t="s">
        <v>403</v>
      </c>
      <c r="D61" s="808"/>
    </row>
    <row r="62" spans="1:4" x14ac:dyDescent="0.2">
      <c r="A62" s="4" t="s">
        <v>1330</v>
      </c>
      <c r="B62" s="5" t="s">
        <v>396</v>
      </c>
      <c r="D62" s="808"/>
    </row>
    <row r="63" spans="1:4" x14ac:dyDescent="0.2">
      <c r="A63" s="4" t="s">
        <v>1481</v>
      </c>
      <c r="B63" s="5" t="s">
        <v>1482</v>
      </c>
      <c r="D63" s="808"/>
    </row>
    <row r="64" spans="1:4" x14ac:dyDescent="0.2">
      <c r="A64" s="4" t="s">
        <v>417</v>
      </c>
      <c r="B64" s="5" t="s">
        <v>415</v>
      </c>
      <c r="D64" s="808"/>
    </row>
    <row r="65" spans="1:4" x14ac:dyDescent="0.2">
      <c r="A65" s="4" t="s">
        <v>418</v>
      </c>
      <c r="B65" s="5" t="s">
        <v>416</v>
      </c>
      <c r="D65" s="808"/>
    </row>
    <row r="66" spans="1:4" x14ac:dyDescent="0.2">
      <c r="A66" s="4" t="s">
        <v>419</v>
      </c>
      <c r="B66" s="5" t="s">
        <v>421</v>
      </c>
      <c r="D66" s="808"/>
    </row>
    <row r="67" spans="1:4" x14ac:dyDescent="0.2">
      <c r="A67" s="4" t="s">
        <v>420</v>
      </c>
      <c r="B67" s="5" t="s">
        <v>697</v>
      </c>
      <c r="D67" s="808"/>
    </row>
    <row r="68" spans="1:4" x14ac:dyDescent="0.2">
      <c r="A68" s="4" t="s">
        <v>698</v>
      </c>
      <c r="B68" s="5" t="s">
        <v>812</v>
      </c>
      <c r="D68" s="808"/>
    </row>
    <row r="69" spans="1:4" x14ac:dyDescent="0.2">
      <c r="A69" s="4" t="s">
        <v>699</v>
      </c>
      <c r="B69" s="5" t="s">
        <v>1110</v>
      </c>
      <c r="D69" s="808"/>
    </row>
    <row r="70" spans="1:4" x14ac:dyDescent="0.2">
      <c r="A70" s="4" t="s">
        <v>1309</v>
      </c>
      <c r="B70" s="5" t="s">
        <v>1308</v>
      </c>
      <c r="D70" s="808"/>
    </row>
    <row r="71" spans="1:4" x14ac:dyDescent="0.2">
      <c r="A71" s="4" t="s">
        <v>1310</v>
      </c>
      <c r="B71" s="5" t="s">
        <v>1098</v>
      </c>
      <c r="D71" s="850" t="s">
        <v>1529</v>
      </c>
    </row>
    <row r="72" spans="1:4" x14ac:dyDescent="0.2">
      <c r="A72" s="4" t="s">
        <v>1311</v>
      </c>
      <c r="B72" s="5" t="s">
        <v>1099</v>
      </c>
      <c r="D72" s="850" t="s">
        <v>1530</v>
      </c>
    </row>
    <row r="73" spans="1:4" x14ac:dyDescent="0.2">
      <c r="A73" s="4" t="s">
        <v>1312</v>
      </c>
      <c r="B73" s="5" t="s">
        <v>1100</v>
      </c>
      <c r="D73" s="850" t="s">
        <v>1531</v>
      </c>
    </row>
    <row r="74" spans="1:4" x14ac:dyDescent="0.2">
      <c r="A74" s="4" t="s">
        <v>1313</v>
      </c>
      <c r="B74" s="5" t="s">
        <v>1101</v>
      </c>
      <c r="D74" s="850" t="s">
        <v>1532</v>
      </c>
    </row>
    <row r="75" spans="1:4" x14ac:dyDescent="0.2">
      <c r="A75" s="4" t="s">
        <v>1314</v>
      </c>
      <c r="B75" s="5" t="s">
        <v>1102</v>
      </c>
      <c r="D75" s="850" t="s">
        <v>1533</v>
      </c>
    </row>
    <row r="76" spans="1:4" x14ac:dyDescent="0.2">
      <c r="A76" s="4" t="s">
        <v>1154</v>
      </c>
      <c r="B76" s="5" t="s">
        <v>1103</v>
      </c>
      <c r="D76" s="850" t="s">
        <v>1534</v>
      </c>
    </row>
    <row r="77" spans="1:4" x14ac:dyDescent="0.2">
      <c r="A77" s="4" t="s">
        <v>1155</v>
      </c>
      <c r="B77" s="5" t="s">
        <v>1104</v>
      </c>
      <c r="D77" s="850" t="s">
        <v>1535</v>
      </c>
    </row>
    <row r="78" spans="1:4" x14ac:dyDescent="0.2">
      <c r="A78" s="4" t="s">
        <v>1156</v>
      </c>
      <c r="B78" s="5" t="s">
        <v>1105</v>
      </c>
      <c r="D78" s="850" t="s">
        <v>1536</v>
      </c>
    </row>
    <row r="79" spans="1:4" x14ac:dyDescent="0.2">
      <c r="A79" s="4" t="s">
        <v>1157</v>
      </c>
      <c r="B79" s="5" t="s">
        <v>1106</v>
      </c>
      <c r="D79" s="850" t="s">
        <v>1537</v>
      </c>
    </row>
    <row r="80" spans="1:4" x14ac:dyDescent="0.2">
      <c r="A80" s="4" t="s">
        <v>1158</v>
      </c>
      <c r="B80" s="5" t="s">
        <v>926</v>
      </c>
      <c r="D80" s="850" t="s">
        <v>1164</v>
      </c>
    </row>
    <row r="81" spans="1:4" x14ac:dyDescent="0.2">
      <c r="A81" s="4" t="s">
        <v>1159</v>
      </c>
      <c r="B81" s="5" t="s">
        <v>927</v>
      </c>
      <c r="D81" s="850" t="s">
        <v>1165</v>
      </c>
    </row>
    <row r="82" spans="1:4" x14ac:dyDescent="0.2">
      <c r="A82" s="4" t="s">
        <v>1160</v>
      </c>
      <c r="B82" s="5" t="s">
        <v>928</v>
      </c>
      <c r="D82" s="850" t="s">
        <v>1166</v>
      </c>
    </row>
    <row r="83" spans="1:4" x14ac:dyDescent="0.2">
      <c r="A83" s="4" t="s">
        <v>1161</v>
      </c>
      <c r="B83" s="5" t="s">
        <v>929</v>
      </c>
      <c r="D83" s="850" t="s">
        <v>1167</v>
      </c>
    </row>
    <row r="84" spans="1:4" x14ac:dyDescent="0.2">
      <c r="A84" s="4" t="s">
        <v>1528</v>
      </c>
      <c r="B84" s="5" t="s">
        <v>1591</v>
      </c>
      <c r="D84" s="850" t="s">
        <v>1168</v>
      </c>
    </row>
    <row r="85" spans="1:4" x14ac:dyDescent="0.2">
      <c r="A85" s="811"/>
      <c r="B85" s="812"/>
      <c r="C85" s="813"/>
      <c r="D85" s="814"/>
    </row>
    <row r="86" spans="1:4" x14ac:dyDescent="0.2">
      <c r="A86" s="815"/>
      <c r="B86" s="813"/>
      <c r="D86" s="805"/>
    </row>
    <row r="87" spans="1:4" x14ac:dyDescent="0.2">
      <c r="A87" s="1877" t="s">
        <v>965</v>
      </c>
      <c r="B87" s="1878"/>
      <c r="C87" s="816"/>
    </row>
    <row r="88" spans="1:4" x14ac:dyDescent="0.2">
      <c r="A88" s="12" t="s">
        <v>427</v>
      </c>
      <c r="B88" s="852" t="s">
        <v>428</v>
      </c>
    </row>
    <row r="89" spans="1:4" x14ac:dyDescent="0.2">
      <c r="A89" s="818"/>
      <c r="B89" s="853" t="s">
        <v>624</v>
      </c>
    </row>
    <row r="90" spans="1:4" x14ac:dyDescent="0.2">
      <c r="A90" s="815"/>
      <c r="B90" s="854" t="s">
        <v>625</v>
      </c>
    </row>
    <row r="92" spans="1:4" x14ac:dyDescent="0.2">
      <c r="A92" s="1877" t="s">
        <v>371</v>
      </c>
      <c r="B92" s="1883"/>
      <c r="C92" s="1883"/>
      <c r="D92" s="1878"/>
    </row>
    <row r="93" spans="1:4" x14ac:dyDescent="0.2">
      <c r="A93" s="1312" t="s">
        <v>700</v>
      </c>
      <c r="B93" s="1846" t="str">
        <f>'Lookup and lists'!B28</f>
        <v>EC101 Dr Beyers Naude</v>
      </c>
      <c r="C93" s="1310"/>
      <c r="D93" s="805"/>
    </row>
    <row r="94" spans="1:4" x14ac:dyDescent="0.2">
      <c r="A94" s="1312" t="s">
        <v>768</v>
      </c>
      <c r="B94" s="1313">
        <v>2</v>
      </c>
      <c r="C94" s="1310" t="s">
        <v>769</v>
      </c>
      <c r="D94" s="855">
        <v>2</v>
      </c>
    </row>
    <row r="95" spans="1:4" x14ac:dyDescent="0.2">
      <c r="A95" s="856" t="str">
        <f>IF((MuniEntities=1)*(MuniType=2),"YES","NO")</f>
        <v>NO</v>
      </c>
      <c r="B95" s="2" t="s">
        <v>903</v>
      </c>
      <c r="D95" s="805"/>
    </row>
    <row r="96" spans="1:4" x14ac:dyDescent="0.2">
      <c r="A96" s="855" t="s">
        <v>1480</v>
      </c>
      <c r="B96" s="2" t="s">
        <v>1305</v>
      </c>
      <c r="D96" s="855" t="s">
        <v>1357</v>
      </c>
    </row>
    <row r="97" spans="1:6" x14ac:dyDescent="0.2">
      <c r="A97" s="855" t="s">
        <v>1111</v>
      </c>
      <c r="B97" s="2" t="s">
        <v>1306</v>
      </c>
      <c r="D97" s="855" t="s">
        <v>1113</v>
      </c>
    </row>
    <row r="98" spans="1:6" x14ac:dyDescent="0.2">
      <c r="A98" s="855" t="s">
        <v>1112</v>
      </c>
      <c r="B98" s="2" t="s">
        <v>1307</v>
      </c>
      <c r="D98" s="855" t="s">
        <v>1114</v>
      </c>
    </row>
    <row r="99" spans="1:6" x14ac:dyDescent="0.2">
      <c r="A99" s="1881" t="s">
        <v>966</v>
      </c>
      <c r="B99" s="1882"/>
      <c r="C99" s="857" t="s">
        <v>1199</v>
      </c>
      <c r="D99" s="858" t="s">
        <v>1198</v>
      </c>
      <c r="E99" s="857" t="s">
        <v>1174</v>
      </c>
      <c r="F99" s="858" t="s">
        <v>1174</v>
      </c>
    </row>
    <row r="100" spans="1:6" x14ac:dyDescent="0.2">
      <c r="A100" s="818"/>
      <c r="B100" s="2" t="str">
        <f t="shared" ref="B100:B109" si="0">IF(Consolques="YES",E100,F100)</f>
        <v>Table A1 Budget Summary</v>
      </c>
      <c r="C100" s="817"/>
      <c r="D100" s="4" t="s">
        <v>1601</v>
      </c>
      <c r="E100" s="2" t="str">
        <f>D100&amp;"Consolidated Budget Summary"</f>
        <v>Table A1 Consolidated Budget Summary</v>
      </c>
      <c r="F100" s="2" t="str">
        <f>D100&amp;"Budget Summary"</f>
        <v>Table A1 Budget Summary</v>
      </c>
    </row>
    <row r="101" spans="1:6" x14ac:dyDescent="0.2">
      <c r="A101" s="818"/>
      <c r="B101" s="2" t="str">
        <f t="shared" si="0"/>
        <v>Table A2 Budgeted Financial Performance (revenue and expenditure by functional classification)</v>
      </c>
      <c r="C101" s="853" t="s">
        <v>546</v>
      </c>
      <c r="D101" s="4" t="s">
        <v>1602</v>
      </c>
      <c r="E101" s="2" t="str">
        <f>D101&amp;"Consolidated Budgeted Financial Performance (revenue and expenditure by functional classification)"</f>
        <v>Table A2 Consolidated Budgeted Financial Performance (revenue and expenditure by functional classification)</v>
      </c>
      <c r="F101" s="2" t="str">
        <f>D101&amp;"Budgeted Financial Performance (revenue and expenditure by functional classification)"</f>
        <v>Table A2 Budgeted Financial Performance (revenue and expenditure by functional classification)</v>
      </c>
    </row>
    <row r="102" spans="1:6" x14ac:dyDescent="0.2">
      <c r="A102" s="818"/>
      <c r="B102" s="2" t="str">
        <f t="shared" si="0"/>
        <v>Table A3 Budgeted Financial Performance (revenue and expenditure by municipal vote)</v>
      </c>
      <c r="C102" s="807"/>
      <c r="D102" s="4" t="s">
        <v>1603</v>
      </c>
      <c r="E102" s="2" t="str">
        <f>D102&amp;"Consolidated Budgeted Financial Performance (revenue and expenditure by municipal vote)"</f>
        <v>Table A3 Consolidated Budgeted Financial Performance (revenue and expenditure by municipal vote)</v>
      </c>
      <c r="F102" s="2" t="str">
        <f>D102&amp;"Budgeted Financial Performance (revenue and expenditure by municipal vote)"</f>
        <v>Table A3 Budgeted Financial Performance (revenue and expenditure by municipal vote)</v>
      </c>
    </row>
    <row r="103" spans="1:6" x14ac:dyDescent="0.2">
      <c r="A103" s="818"/>
      <c r="B103" s="2" t="str">
        <f t="shared" si="0"/>
        <v>Table A4 Budgeted Financial Performance (revenue and expenditure)</v>
      </c>
      <c r="C103" s="853" t="s">
        <v>545</v>
      </c>
      <c r="D103" s="4" t="s">
        <v>1604</v>
      </c>
      <c r="E103" s="2" t="str">
        <f>D103&amp;"Consolidated Budgeted Financial Performance (revenue and expenditure)"</f>
        <v>Table A4 Consolidated Budgeted Financial Performance (revenue and expenditure)</v>
      </c>
      <c r="F103" s="2" t="str">
        <f>D103&amp;"Budgeted Financial Performance (revenue and expenditure)"</f>
        <v>Table A4 Budgeted Financial Performance (revenue and expenditure)</v>
      </c>
    </row>
    <row r="104" spans="1:6" x14ac:dyDescent="0.2">
      <c r="A104" s="818"/>
      <c r="B104" s="2" t="str">
        <f t="shared" si="0"/>
        <v>Table A5 Budgeted Capital Expenditure by vote, functional classification and funding</v>
      </c>
      <c r="C104" s="853" t="s">
        <v>548</v>
      </c>
      <c r="D104" s="4" t="s">
        <v>1605</v>
      </c>
      <c r="E104" s="2" t="str">
        <f>D104&amp;"Consolidated Budgeted Capital Expenditure by vote, functional classification and funding"</f>
        <v>Table A5 Consolidated Budgeted Capital Expenditure by vote, functional classification and funding</v>
      </c>
      <c r="F104" s="2" t="str">
        <f>D104&amp;"Budgeted Capital Expenditure by vote, functional classification and funding"</f>
        <v>Table A5 Budgeted Capital Expenditure by vote, functional classification and funding</v>
      </c>
    </row>
    <row r="105" spans="1:6" x14ac:dyDescent="0.2">
      <c r="A105" s="818"/>
      <c r="B105" s="2" t="str">
        <f t="shared" si="0"/>
        <v>Table A6 Budgeted Financial Position</v>
      </c>
      <c r="C105" s="807"/>
      <c r="D105" s="4" t="s">
        <v>1606</v>
      </c>
      <c r="E105" s="2" t="str">
        <f>D105&amp;"Consolidated Budgeted Financial Position"</f>
        <v>Table A6 Consolidated Budgeted Financial Position</v>
      </c>
      <c r="F105" s="2" t="str">
        <f>D105&amp;"Budgeted Financial Position"</f>
        <v>Table A6 Budgeted Financial Position</v>
      </c>
    </row>
    <row r="106" spans="1:6" x14ac:dyDescent="0.2">
      <c r="A106" s="818"/>
      <c r="B106" s="2" t="str">
        <f t="shared" si="0"/>
        <v>Table A7 Budgeted Cash Flows</v>
      </c>
      <c r="C106" s="807"/>
      <c r="D106" s="4" t="s">
        <v>1607</v>
      </c>
      <c r="E106" s="2" t="str">
        <f>D106&amp;"Consolidated Budgeted Cash Flows"</f>
        <v>Table A7 Consolidated Budgeted Cash Flows</v>
      </c>
      <c r="F106" s="2" t="str">
        <f>D106&amp;"Budgeted Cash Flows"</f>
        <v>Table A7 Budgeted Cash Flows</v>
      </c>
    </row>
    <row r="107" spans="1:6" x14ac:dyDescent="0.2">
      <c r="A107" s="818"/>
      <c r="B107" s="2" t="str">
        <f t="shared" si="0"/>
        <v>Table A8 Cash backed reserves/accumulated surplus reconciliation</v>
      </c>
      <c r="C107" s="807"/>
      <c r="D107" s="4" t="s">
        <v>1608</v>
      </c>
      <c r="E107" s="1" t="str">
        <f>D107&amp;"Consolidated Cash backed reserves/accumulated surplus reconciliation"</f>
        <v>Table A8 Consolidated Cash backed reserves/accumulated surplus reconciliation</v>
      </c>
      <c r="F107" s="1" t="str">
        <f>D107&amp;"Cash backed reserves/accumulated surplus reconciliation"</f>
        <v>Table A8 Cash backed reserves/accumulated surplus reconciliation</v>
      </c>
    </row>
    <row r="108" spans="1:6" x14ac:dyDescent="0.2">
      <c r="A108" s="818"/>
      <c r="B108" s="2" t="str">
        <f t="shared" si="0"/>
        <v>Table A9 Asset Management</v>
      </c>
      <c r="C108" s="807"/>
      <c r="D108" s="4" t="s">
        <v>1609</v>
      </c>
      <c r="E108" s="2" t="str">
        <f>D108&amp;"Consolidated Asset Management"</f>
        <v>Table A9 Consolidated Asset Management</v>
      </c>
      <c r="F108" s="2" t="str">
        <f>D108&amp;"Asset Management"</f>
        <v>Table A9 Asset Management</v>
      </c>
    </row>
    <row r="109" spans="1:6" x14ac:dyDescent="0.2">
      <c r="A109" s="818"/>
      <c r="B109" s="9" t="str">
        <f t="shared" si="0"/>
        <v>Table A10 Basic service delivery measurement</v>
      </c>
      <c r="C109" s="819"/>
      <c r="D109" s="11" t="s">
        <v>1610</v>
      </c>
      <c r="E109" s="2" t="str">
        <f>D109&amp;"Consolidated basic service delivery measurement"</f>
        <v>Table A10 Consolidated basic service delivery measurement</v>
      </c>
      <c r="F109" s="2" t="str">
        <f>D109&amp;"Basic service delivery measurement"</f>
        <v>Table A10 Basic service delivery measurement</v>
      </c>
    </row>
    <row r="110" spans="1:6" x14ac:dyDescent="0.2">
      <c r="A110" s="1879" t="s">
        <v>1217</v>
      </c>
      <c r="B110" s="1880"/>
      <c r="C110" s="859" t="str">
        <f>$C$99</f>
        <v>Chart x-ref</v>
      </c>
      <c r="D110" s="859" t="str">
        <f>$D$99</f>
        <v>Sch/Tab/Ch</v>
      </c>
    </row>
    <row r="111" spans="1:6" x14ac:dyDescent="0.2">
      <c r="A111" s="10" t="s">
        <v>1218</v>
      </c>
      <c r="B111" s="860" t="str">
        <f>A111&amp;" Supportinging detail to 'Budgeted Financial Performance'"</f>
        <v>Supporting Table SA1 Supportinging detail to 'Budgeted Financial Performance'</v>
      </c>
      <c r="C111" s="820"/>
      <c r="D111" s="820"/>
    </row>
    <row r="112" spans="1:6" x14ac:dyDescent="0.2">
      <c r="A112" s="4" t="s">
        <v>1219</v>
      </c>
      <c r="B112" s="2" t="str">
        <f>IF(Consolques="YES",E112,F112)</f>
        <v>Supporting Table SA2 Matrix Financial Performance Budget (revenue source/expenditure type and dept.)</v>
      </c>
      <c r="C112" s="808"/>
      <c r="D112" s="808"/>
      <c r="E112" s="2" t="str">
        <f>A112&amp;"Consolidated Matrix Financial Performance Budget (revenue source/expenditure type &amp; dept.)"</f>
        <v>Supporting Table SA2 Consolidated Matrix Financial Performance Budget (revenue source/expenditure type &amp; dept.)</v>
      </c>
      <c r="F112" s="2" t="str">
        <f>A112&amp;"Matrix Financial Performance Budget (revenue source/expenditure type and dept.)"</f>
        <v>Supporting Table SA2 Matrix Financial Performance Budget (revenue source/expenditure type and dept.)</v>
      </c>
    </row>
    <row r="113" spans="1:4" x14ac:dyDescent="0.2">
      <c r="A113" s="4" t="s">
        <v>1220</v>
      </c>
      <c r="B113" s="2" t="str">
        <f>A113&amp;"Supportinging detail to 'Budgeted Financial Position'"</f>
        <v>Supporting Table SA3 Supportinging detail to 'Budgeted Financial Position'</v>
      </c>
      <c r="C113" s="808"/>
      <c r="D113" s="808"/>
    </row>
    <row r="114" spans="1:4" x14ac:dyDescent="0.2">
      <c r="A114" s="4" t="s">
        <v>1221</v>
      </c>
      <c r="B114" s="2" t="str">
        <f>A114&amp;"Reconciliation of IDP strategic objectives and budget (revenue)"</f>
        <v>Supporting Table SA4 Reconciliation of IDP strategic objectives and budget (revenue)</v>
      </c>
      <c r="C114" s="850" t="s">
        <v>1184</v>
      </c>
      <c r="D114" s="808"/>
    </row>
    <row r="115" spans="1:4" x14ac:dyDescent="0.2">
      <c r="A115" s="4" t="s">
        <v>35</v>
      </c>
      <c r="B115" s="2" t="str">
        <f>A115&amp;"Reconciliation of IDP strategic objectives and budget (operating expenditure)"</f>
        <v>Supporting Table SA5 Reconciliation of IDP strategic objectives and budget (operating expenditure)</v>
      </c>
      <c r="C115" s="850" t="s">
        <v>1185</v>
      </c>
      <c r="D115" s="808"/>
    </row>
    <row r="116" spans="1:4" x14ac:dyDescent="0.2">
      <c r="A116" s="4" t="s">
        <v>36</v>
      </c>
      <c r="B116" s="2" t="str">
        <f>A116&amp;"Reconciliation of IDP strategic objectives and budget (capital expenditure)"</f>
        <v>Supporting Table SA6 Reconciliation of IDP strategic objectives and budget (capital expenditure)</v>
      </c>
      <c r="C116" s="850" t="s">
        <v>1186</v>
      </c>
      <c r="D116" s="808"/>
    </row>
    <row r="117" spans="1:4" x14ac:dyDescent="0.2">
      <c r="A117" s="4" t="s">
        <v>37</v>
      </c>
      <c r="B117" s="2" t="str">
        <f>A117&amp;" Measureable performance objectives"</f>
        <v>Supporting Table SA7 Measureable performance objectives</v>
      </c>
      <c r="C117" s="808"/>
      <c r="D117" s="808"/>
    </row>
    <row r="118" spans="1:4" x14ac:dyDescent="0.2">
      <c r="A118" s="4" t="s">
        <v>38</v>
      </c>
      <c r="B118" s="2" t="str">
        <f>A118&amp;" Performance indicators and benchmarks"</f>
        <v>Supporting Table SA8 Performance indicators and benchmarks</v>
      </c>
      <c r="C118" s="850" t="s">
        <v>547</v>
      </c>
      <c r="D118" s="808"/>
    </row>
    <row r="119" spans="1:4" x14ac:dyDescent="0.2">
      <c r="A119" s="4" t="s">
        <v>39</v>
      </c>
      <c r="B119" s="2" t="str">
        <f>A119&amp;" Social, economic and demographic statistics and assumptions"</f>
        <v>Supporting Table SA9 Social, economic and demographic statistics and assumptions</v>
      </c>
      <c r="C119" s="808"/>
      <c r="D119" s="808"/>
    </row>
    <row r="120" spans="1:4" x14ac:dyDescent="0.2">
      <c r="A120" s="4" t="s">
        <v>869</v>
      </c>
      <c r="B120" s="2" t="str">
        <f>A120&amp;" Funding measurement"</f>
        <v>Supporting Table SA10 Funding measurement</v>
      </c>
      <c r="C120" s="850" t="s">
        <v>1187</v>
      </c>
      <c r="D120" s="808"/>
    </row>
    <row r="121" spans="1:4" x14ac:dyDescent="0.2">
      <c r="A121" s="4" t="s">
        <v>870</v>
      </c>
      <c r="B121" s="2" t="str">
        <f>A121&amp;" Property rates summary"</f>
        <v>Supporting Table SA11 Property rates summary</v>
      </c>
      <c r="C121" s="808"/>
      <c r="D121" s="808"/>
    </row>
    <row r="122" spans="1:4" x14ac:dyDescent="0.2">
      <c r="A122" s="4" t="s">
        <v>1820</v>
      </c>
      <c r="B122" s="2" t="str">
        <f>A122&amp;" Property rates by category (current year)"</f>
        <v>Supporting Table SA12a Property rates by category (current year)</v>
      </c>
      <c r="C122" s="808"/>
      <c r="D122" s="808"/>
    </row>
    <row r="123" spans="1:4" x14ac:dyDescent="0.2">
      <c r="A123" s="4" t="s">
        <v>1821</v>
      </c>
      <c r="B123" s="2" t="str">
        <f>A123&amp;" Property rates by category (budget year)"</f>
        <v>Supporting Table SA12b Property rates by category (budget year)</v>
      </c>
      <c r="C123" s="808"/>
      <c r="D123" s="808"/>
    </row>
    <row r="124" spans="1:4" x14ac:dyDescent="0.2">
      <c r="A124" s="4" t="s">
        <v>2027</v>
      </c>
      <c r="B124" s="2" t="str">
        <f>A124&amp;" Service Tariffs by category"</f>
        <v>Supporting Table SA13a Service Tariffs by category</v>
      </c>
      <c r="C124" s="808"/>
      <c r="D124" s="808"/>
    </row>
    <row r="125" spans="1:4" x14ac:dyDescent="0.2">
      <c r="A125" s="4" t="s">
        <v>2028</v>
      </c>
      <c r="B125" s="2" t="str">
        <f>A125&amp;" Service Tariffs by category - explanatory"</f>
        <v>Supporting Table SA13b Service Tariffs by category - explanatory</v>
      </c>
      <c r="C125" s="808"/>
      <c r="D125" s="808"/>
    </row>
    <row r="126" spans="1:4" x14ac:dyDescent="0.2">
      <c r="A126" s="4" t="s">
        <v>871</v>
      </c>
      <c r="B126" s="2" t="str">
        <f>A126&amp;" Household bills"</f>
        <v>Supporting Table SA14 Household bills</v>
      </c>
      <c r="C126" s="808"/>
      <c r="D126" s="808"/>
    </row>
    <row r="127" spans="1:4" x14ac:dyDescent="0.2">
      <c r="A127" s="4" t="s">
        <v>872</v>
      </c>
      <c r="B127" s="2" t="str">
        <f>A127&amp;" Investment particulars by type"</f>
        <v>Supporting Table SA15 Investment particulars by type</v>
      </c>
      <c r="C127" s="808"/>
      <c r="D127" s="808"/>
    </row>
    <row r="128" spans="1:4" x14ac:dyDescent="0.2">
      <c r="A128" s="4" t="s">
        <v>873</v>
      </c>
      <c r="B128" s="2" t="str">
        <f>A128&amp;" Investment particulars by maturity"</f>
        <v>Supporting Table SA16 Investment particulars by maturity</v>
      </c>
      <c r="C128" s="808"/>
      <c r="D128" s="808"/>
    </row>
    <row r="129" spans="1:6" x14ac:dyDescent="0.2">
      <c r="A129" s="4" t="s">
        <v>874</v>
      </c>
      <c r="B129" s="2" t="str">
        <f>A129&amp;" Borrowing"</f>
        <v>Supporting Table SA17 Borrowing</v>
      </c>
      <c r="C129" s="808"/>
      <c r="D129" s="821"/>
    </row>
    <row r="130" spans="1:6" x14ac:dyDescent="0.2">
      <c r="A130" s="4" t="s">
        <v>875</v>
      </c>
      <c r="B130" s="2" t="str">
        <f>A130&amp;" Transfers and grant receipts"</f>
        <v>Supporting Table SA18 Transfers and grant receipts</v>
      </c>
      <c r="C130" s="808"/>
      <c r="D130" s="808"/>
    </row>
    <row r="131" spans="1:6" x14ac:dyDescent="0.2">
      <c r="A131" s="4" t="s">
        <v>876</v>
      </c>
      <c r="B131" s="2" t="str">
        <f>A131&amp;" Expenditure on transfers and grant programme"</f>
        <v>Supporting Table SA19 Expenditure on transfers and grant programme</v>
      </c>
      <c r="C131" s="808"/>
      <c r="D131" s="808"/>
    </row>
    <row r="132" spans="1:6" x14ac:dyDescent="0.2">
      <c r="A132" s="4" t="s">
        <v>877</v>
      </c>
      <c r="B132" s="2" t="str">
        <f>A132&amp;" Reconciliation of transfers, grant receipts and unspent funds"</f>
        <v>Supporting Table SA20 Reconciliation of transfers, grant receipts and unspent funds</v>
      </c>
      <c r="C132" s="808"/>
      <c r="D132" s="808"/>
    </row>
    <row r="133" spans="1:6" x14ac:dyDescent="0.2">
      <c r="A133" s="4" t="s">
        <v>878</v>
      </c>
      <c r="B133" s="2" t="str">
        <f>A133&amp;" Transfers and grants made by the municipality"</f>
        <v>Supporting Table SA21 Transfers and grants made by the municipality</v>
      </c>
      <c r="C133" s="808"/>
      <c r="D133" s="808"/>
    </row>
    <row r="134" spans="1:6" x14ac:dyDescent="0.2">
      <c r="A134" s="4" t="s">
        <v>879</v>
      </c>
      <c r="B134" s="2" t="str">
        <f>A134&amp;" Summary councillor and staff benefits"</f>
        <v>Supporting Table SA22 Summary councillor and staff benefits</v>
      </c>
      <c r="C134" s="808"/>
      <c r="D134" s="821"/>
    </row>
    <row r="135" spans="1:6" x14ac:dyDescent="0.2">
      <c r="A135" s="4" t="s">
        <v>880</v>
      </c>
      <c r="B135" s="2" t="str">
        <f>A135&amp;" Salaries, allowances &amp; benefits (political office bearers/councillors/senior managers)"</f>
        <v>Supporting Table SA23 Salaries, allowances &amp; benefits (political office bearers/councillors/senior managers)</v>
      </c>
      <c r="C135" s="808"/>
      <c r="D135" s="821"/>
    </row>
    <row r="136" spans="1:6" x14ac:dyDescent="0.2">
      <c r="A136" s="4" t="s">
        <v>881</v>
      </c>
      <c r="B136" s="2" t="str">
        <f>A136&amp;" Summary of personnel numbers"</f>
        <v>Supporting Table SA24 Summary of personnel numbers</v>
      </c>
      <c r="C136" s="808"/>
      <c r="D136" s="808"/>
    </row>
    <row r="137" spans="1:6" x14ac:dyDescent="0.2">
      <c r="A137" s="4" t="s">
        <v>882</v>
      </c>
      <c r="B137" s="2" t="str">
        <f t="shared" ref="B137:B143" si="1">IF(Consolques="YES",E137,F137)</f>
        <v>Supporting Table SA25 Budgeted monthly revenue and expenditure</v>
      </c>
      <c r="C137" s="808"/>
      <c r="D137" s="808"/>
      <c r="E137" s="2" t="str">
        <f>A137&amp;" Consolidated budgeted monthly revenue and expenditure"</f>
        <v>Supporting Table SA25 Consolidated budgeted monthly revenue and expenditure</v>
      </c>
      <c r="F137" s="2" t="str">
        <f>A137&amp;" Budgeted monthly revenue and expenditure"</f>
        <v>Supporting Table SA25 Budgeted monthly revenue and expenditure</v>
      </c>
    </row>
    <row r="138" spans="1:6" x14ac:dyDescent="0.2">
      <c r="A138" s="4" t="s">
        <v>883</v>
      </c>
      <c r="B138" s="2" t="str">
        <f t="shared" si="1"/>
        <v>Supporting Table SA26 Budgeted monthly revenue and expenditure (municipal vote)</v>
      </c>
      <c r="C138" s="808"/>
      <c r="D138" s="808"/>
      <c r="E138" s="2" t="str">
        <f>A138&amp;" Consolidated budgeted monthly revenue and expenditure (municipal vote)"</f>
        <v>Supporting Table SA26 Consolidated budgeted monthly revenue and expenditure (municipal vote)</v>
      </c>
      <c r="F138" s="2" t="str">
        <f>A138&amp;" Budgeted monthly revenue and expenditure (municipal vote)"</f>
        <v>Supporting Table SA26 Budgeted monthly revenue and expenditure (municipal vote)</v>
      </c>
    </row>
    <row r="139" spans="1:6" x14ac:dyDescent="0.2">
      <c r="A139" s="4" t="s">
        <v>884</v>
      </c>
      <c r="B139" s="2" t="str">
        <f t="shared" si="1"/>
        <v>Supporting Table SA27 Budgeted monthly revenue and expenditure (functional classification)</v>
      </c>
      <c r="C139" s="808"/>
      <c r="D139" s="808"/>
      <c r="E139" s="2" t="str">
        <f>A139&amp;" Consolidated budgeted monthly revenue and expenditure (functional classification)"</f>
        <v>Supporting Table SA27 Consolidated budgeted monthly revenue and expenditure (functional classification)</v>
      </c>
      <c r="F139" s="2" t="str">
        <f>A139&amp;" Budgeted monthly revenue and expenditure (functional classification)"</f>
        <v>Supporting Table SA27 Budgeted monthly revenue and expenditure (functional classification)</v>
      </c>
    </row>
    <row r="140" spans="1:6" x14ac:dyDescent="0.2">
      <c r="A140" s="4" t="s">
        <v>885</v>
      </c>
      <c r="B140" s="2" t="str">
        <f t="shared" si="1"/>
        <v>Supporting Table SA28 Budgeted monthly capital expenditure (municipal vote)</v>
      </c>
      <c r="C140" s="808"/>
      <c r="D140" s="808"/>
      <c r="E140" s="2" t="str">
        <f>A140&amp;" Consolidated budgeted monthly capital expenditure (municipal vote)"</f>
        <v>Supporting Table SA28 Consolidated budgeted monthly capital expenditure (municipal vote)</v>
      </c>
      <c r="F140" s="2" t="str">
        <f>A140&amp;" Budgeted monthly capital expenditure (municipal vote)"</f>
        <v>Supporting Table SA28 Budgeted monthly capital expenditure (municipal vote)</v>
      </c>
    </row>
    <row r="141" spans="1:6" x14ac:dyDescent="0.2">
      <c r="A141" s="4" t="s">
        <v>886</v>
      </c>
      <c r="B141" s="2" t="str">
        <f t="shared" si="1"/>
        <v>Supporting Table SA29 Budgeted monthly capital expenditure (functional classification)</v>
      </c>
      <c r="C141" s="808"/>
      <c r="D141" s="808"/>
      <c r="E141" s="2" t="str">
        <f>A141&amp;" Consolidated budgeted monthly capital expenditure (functional classification)"</f>
        <v>Supporting Table SA29 Consolidated budgeted monthly capital expenditure (functional classification)</v>
      </c>
      <c r="F141" s="2" t="str">
        <f>A141&amp;" Budgeted monthly capital expenditure (functional classification)"</f>
        <v>Supporting Table SA29 Budgeted monthly capital expenditure (functional classification)</v>
      </c>
    </row>
    <row r="142" spans="1:6" x14ac:dyDescent="0.2">
      <c r="A142" s="4" t="s">
        <v>887</v>
      </c>
      <c r="B142" s="2" t="str">
        <f t="shared" si="1"/>
        <v>Supporting Table SA30 Budgeted monthly cash flow</v>
      </c>
      <c r="C142" s="808"/>
      <c r="D142" s="808"/>
      <c r="E142" s="2" t="str">
        <f>A142&amp;" Consolidated budgeted monthly cash flow"</f>
        <v>Supporting Table SA30 Consolidated budgeted monthly cash flow</v>
      </c>
      <c r="F142" s="2" t="str">
        <f>A142&amp;" Budgeted monthly cash flow"</f>
        <v>Supporting Table SA30 Budgeted monthly cash flow</v>
      </c>
    </row>
    <row r="143" spans="1:6" x14ac:dyDescent="0.2">
      <c r="A143" s="4" t="s">
        <v>888</v>
      </c>
      <c r="B143" s="2" t="str">
        <f t="shared" si="1"/>
        <v>NOT REQUIRED - municipality does not have entities</v>
      </c>
      <c r="C143" s="808"/>
      <c r="D143" s="808"/>
      <c r="E143" s="2" t="str">
        <f>A143&amp;" Aggregated entity budget"</f>
        <v>Supporting Table SA31 Aggregated entity budget</v>
      </c>
      <c r="F143" s="2" t="s">
        <v>904</v>
      </c>
    </row>
    <row r="144" spans="1:6" x14ac:dyDescent="0.2">
      <c r="A144" s="4" t="s">
        <v>889</v>
      </c>
      <c r="B144" s="2" t="str">
        <f>A144&amp;" List of external mechanisms"</f>
        <v>Supporting Table SA32 List of external mechanisms</v>
      </c>
      <c r="C144" s="808"/>
      <c r="D144" s="808"/>
    </row>
    <row r="145" spans="1:6" x14ac:dyDescent="0.2">
      <c r="A145" s="4" t="s">
        <v>890</v>
      </c>
      <c r="B145" s="2" t="str">
        <f>A145&amp;" Contracts having future budgetary implications"</f>
        <v>Supporting Table SA33 Contracts having future budgetary implications</v>
      </c>
      <c r="C145" s="808"/>
      <c r="D145" s="808"/>
    </row>
    <row r="146" spans="1:6" x14ac:dyDescent="0.2">
      <c r="A146" s="4" t="s">
        <v>1474</v>
      </c>
      <c r="B146" s="2" t="str">
        <f t="shared" ref="B146:B153" si="2">IF(Consolques="YES",E146,F146)</f>
        <v>Supporting Table SA34a Capital expenditure on new assets by asset class</v>
      </c>
      <c r="C146" s="808"/>
      <c r="D146" s="808"/>
      <c r="E146" s="2" t="str">
        <f>A146&amp;" Consolidated capital expenditure on new assets by asset class"</f>
        <v>Supporting Table SA34a Consolidated capital expenditure on new assets by asset class</v>
      </c>
      <c r="F146" s="2" t="str">
        <f>A146&amp;" Capital expenditure on new assets by asset class"</f>
        <v>Supporting Table SA34a Capital expenditure on new assets by asset class</v>
      </c>
    </row>
    <row r="147" spans="1:6" x14ac:dyDescent="0.2">
      <c r="A147" s="4" t="s">
        <v>1475</v>
      </c>
      <c r="B147" s="2" t="str">
        <f t="shared" si="2"/>
        <v>Supporting Table SA34b Capital expenditure on the renewal of existing assets by asset class</v>
      </c>
      <c r="C147" s="808"/>
      <c r="D147" s="808"/>
      <c r="E147" s="2" t="str">
        <f>A147&amp;" Consolidated capital expenditure on the renewal of existing assets by asset class"</f>
        <v>Supporting Table SA34b Consolidated capital expenditure on the renewal of existing assets by asset class</v>
      </c>
      <c r="F147" s="2" t="str">
        <f>A147&amp;" Capital expenditure on the renewal of existing assets by asset class"</f>
        <v>Supporting Table SA34b Capital expenditure on the renewal of existing assets by asset class</v>
      </c>
    </row>
    <row r="148" spans="1:6" x14ac:dyDescent="0.2">
      <c r="A148" s="4" t="s">
        <v>1476</v>
      </c>
      <c r="B148" s="2" t="str">
        <f t="shared" si="2"/>
        <v>Supporting Table SA34c Repairs and maintenance expenditure by asset class</v>
      </c>
      <c r="C148" s="808"/>
      <c r="D148" s="808"/>
      <c r="E148" s="2" t="str">
        <f>A148&amp;" Consolidated repairs and maintenance by asset class"</f>
        <v>Supporting Table SA34c Consolidated repairs and maintenance by asset class</v>
      </c>
      <c r="F148" s="2" t="str">
        <f>A148&amp;" Repairs and maintenance expenditure by asset class"</f>
        <v>Supporting Table SA34c Repairs and maintenance expenditure by asset class</v>
      </c>
    </row>
    <row r="149" spans="1:6" x14ac:dyDescent="0.2">
      <c r="A149" s="4" t="s">
        <v>1817</v>
      </c>
      <c r="B149" s="2" t="str">
        <f>IF(Consolques="YES",E149,F149)</f>
        <v>Supporting Table SA34d Depreciation by asset class</v>
      </c>
      <c r="C149" s="808"/>
      <c r="D149" s="808"/>
      <c r="E149" s="2" t="str">
        <f>A149&amp;" Consolidated Depreciation by asset class"</f>
        <v>Supporting Table SA34d Consolidated Depreciation by asset class</v>
      </c>
      <c r="F149" s="2" t="str">
        <f>A149&amp;" Depreciation by asset class"</f>
        <v>Supporting Table SA34d Depreciation by asset class</v>
      </c>
    </row>
    <row r="150" spans="1:6" x14ac:dyDescent="0.2">
      <c r="A150" s="4" t="s">
        <v>2397</v>
      </c>
      <c r="B150" s="2" t="str">
        <f>IF(Consolques="YES",E150,F150)</f>
        <v>Supporting Table SA34e Capital expenditure on the upgrading of existing assets by asset class</v>
      </c>
      <c r="C150" s="808"/>
      <c r="D150" s="808"/>
      <c r="E150" s="2" t="str">
        <f>A150&amp;" Consolidated capital expenditure on the upgrading of existing assets by asset class"</f>
        <v>Supporting Table SA34e Consolidated capital expenditure on the upgrading of existing assets by asset class</v>
      </c>
      <c r="F150" s="2" t="str">
        <f>A150&amp;" Capital expenditure on the upgrading of existing assets by asset class"</f>
        <v>Supporting Table SA34e Capital expenditure on the upgrading of existing assets by asset class</v>
      </c>
    </row>
    <row r="151" spans="1:6" x14ac:dyDescent="0.2">
      <c r="A151" s="4" t="s">
        <v>891</v>
      </c>
      <c r="B151" s="2" t="str">
        <f t="shared" si="2"/>
        <v>Supporting Table SA35 Future financial implications of the capital budget</v>
      </c>
      <c r="C151" s="808"/>
      <c r="D151" s="808"/>
      <c r="E151" s="2" t="str">
        <f>A151&amp;" Consolidated future financial implications of the capital budget"</f>
        <v>Supporting Table SA35 Consolidated future financial implications of the capital budget</v>
      </c>
      <c r="F151" s="2" t="str">
        <f>A151&amp; " Future financial implications of the capital budget"</f>
        <v>Supporting Table SA35 Future financial implications of the capital budget</v>
      </c>
    </row>
    <row r="152" spans="1:6" x14ac:dyDescent="0.2">
      <c r="A152" s="4" t="s">
        <v>892</v>
      </c>
      <c r="B152" s="2" t="str">
        <f t="shared" si="2"/>
        <v>Supporting Table SA36 Detailed capital budget</v>
      </c>
      <c r="C152" s="808"/>
      <c r="D152" s="808"/>
      <c r="E152" s="2" t="str">
        <f>A152&amp;" Consolidated detailed capital budget"</f>
        <v>Supporting Table SA36 Consolidated detailed capital budget</v>
      </c>
      <c r="F152" s="2" t="str">
        <f>A152&amp; " Detailed capital budget"</f>
        <v>Supporting Table SA36 Detailed capital budget</v>
      </c>
    </row>
    <row r="153" spans="1:6" x14ac:dyDescent="0.2">
      <c r="A153" s="4" t="s">
        <v>893</v>
      </c>
      <c r="B153" s="9" t="str">
        <f t="shared" si="2"/>
        <v>Supporting Table SA37 Projects delayed from previous financial year/s</v>
      </c>
      <c r="C153" s="814"/>
      <c r="D153" s="806"/>
      <c r="E153" s="2" t="str">
        <f>A153&amp;" Consolidated projects delayed from previous financial year/s"</f>
        <v>Supporting Table SA37 Consolidated projects delayed from previous financial year/s</v>
      </c>
      <c r="F153" s="2" t="str">
        <f>A153&amp; " Projects delayed from previous financial year/s"</f>
        <v>Supporting Table SA37 Projects delayed from previous financial year/s</v>
      </c>
    </row>
    <row r="154" spans="1:6" x14ac:dyDescent="0.2">
      <c r="A154" s="4" t="s">
        <v>2501</v>
      </c>
      <c r="B154" s="2" t="str">
        <f>IF(Consolques="YES",E154,F154)</f>
        <v>Supporting Table SA38 Detailed operational projects</v>
      </c>
      <c r="C154" s="808"/>
      <c r="D154" s="808"/>
      <c r="E154" s="2" t="str">
        <f>A154&amp;" Consolidated detailed operational projects"</f>
        <v>Supporting Table SA38 Consolidated detailed operational projects</v>
      </c>
      <c r="F154" s="2" t="str">
        <f>A154&amp; " Detailed operational projects"</f>
        <v>Supporting Table SA38 Detailed operational projects</v>
      </c>
    </row>
    <row r="155" spans="1:6" x14ac:dyDescent="0.2">
      <c r="A155" s="13"/>
      <c r="B155" s="9"/>
      <c r="C155" s="814"/>
      <c r="D155" s="806"/>
      <c r="E155" s="2"/>
      <c r="F155" s="2"/>
    </row>
    <row r="156" spans="1:6" x14ac:dyDescent="0.2">
      <c r="A156" s="861" t="s">
        <v>943</v>
      </c>
      <c r="B156" s="862" t="s">
        <v>1200</v>
      </c>
      <c r="C156" s="863" t="s">
        <v>968</v>
      </c>
      <c r="D156" s="811"/>
    </row>
    <row r="157" spans="1:6" x14ac:dyDescent="0.2">
      <c r="A157" s="13" t="s">
        <v>1611</v>
      </c>
      <c r="B157" s="864" t="str">
        <f>A157&amp;"Revenue by Municipal Vote"</f>
        <v>Chart A1 Revenue by Municipal Vote</v>
      </c>
      <c r="C157" s="820"/>
      <c r="D157" s="822"/>
    </row>
    <row r="158" spans="1:6" x14ac:dyDescent="0.2">
      <c r="A158" s="13" t="s">
        <v>1612</v>
      </c>
      <c r="B158" s="865" t="str">
        <f>A158&amp;"Expenditure by Municipal Vote"</f>
        <v>Chart A2 Expenditure by Municipal Vote</v>
      </c>
      <c r="C158" s="808"/>
      <c r="D158" s="805"/>
    </row>
    <row r="159" spans="1:6" x14ac:dyDescent="0.2">
      <c r="A159" s="13" t="s">
        <v>1613</v>
      </c>
      <c r="B159" s="865" t="str">
        <f>A159&amp;"Revenue by Standard Classification"</f>
        <v>Chart A3 Revenue by Standard Classification</v>
      </c>
      <c r="C159" s="850" t="s">
        <v>967</v>
      </c>
    </row>
    <row r="160" spans="1:6" x14ac:dyDescent="0.2">
      <c r="A160" s="13" t="s">
        <v>1614</v>
      </c>
      <c r="B160" s="865" t="str">
        <f>A160&amp;"Expenditure by Standard Classification"</f>
        <v>Chart A4 Expenditure by Standard Classification</v>
      </c>
      <c r="C160" s="850" t="s">
        <v>967</v>
      </c>
    </row>
    <row r="161" spans="1:3" x14ac:dyDescent="0.2">
      <c r="A161" s="13" t="s">
        <v>1615</v>
      </c>
      <c r="B161" s="865" t="str">
        <f>A161&amp;"Revenue by Major Source (refer 'Minor' source for 'Other Revenue' allocation"</f>
        <v>Chart A5 Revenue by Major Source (refer 'Minor' source for 'Other Revenue' allocation</v>
      </c>
      <c r="C161" s="850" t="s">
        <v>969</v>
      </c>
    </row>
    <row r="162" spans="1:3" x14ac:dyDescent="0.2">
      <c r="A162" s="13" t="s">
        <v>1616</v>
      </c>
      <c r="B162" s="865" t="str">
        <f>A162&amp;"Revenue by Minor Source (Other)"</f>
        <v>Chart A6 Revenue by Minor Source (Other)</v>
      </c>
      <c r="C162" s="850" t="s">
        <v>969</v>
      </c>
    </row>
    <row r="163" spans="1:3" x14ac:dyDescent="0.2">
      <c r="A163" s="13" t="s">
        <v>1617</v>
      </c>
      <c r="B163" s="865" t="str">
        <f>A163&amp;"Expenditure by Major Type"</f>
        <v>Chart A7 Expenditure by Major Type</v>
      </c>
      <c r="C163" s="850" t="s">
        <v>969</v>
      </c>
    </row>
    <row r="164" spans="1:3" x14ac:dyDescent="0.2">
      <c r="A164" s="13" t="s">
        <v>1618</v>
      </c>
      <c r="B164" s="865" t="str">
        <f>A164&amp;"Expenditure by Minor Type (Other)"</f>
        <v>Chart A8 Expenditure by Minor Type (Other)</v>
      </c>
      <c r="C164" s="850" t="s">
        <v>969</v>
      </c>
    </row>
    <row r="165" spans="1:3" x14ac:dyDescent="0.2">
      <c r="A165" s="13" t="s">
        <v>1619</v>
      </c>
      <c r="B165" s="865" t="str">
        <f>A165&amp;"Capital Expenditure by Municipal Vote/Appropriation (Major)"</f>
        <v>Chart A9 Capital Expenditure by Municipal Vote/Appropriation (Major)</v>
      </c>
      <c r="C165" s="850" t="s">
        <v>970</v>
      </c>
    </row>
    <row r="166" spans="1:3" x14ac:dyDescent="0.2">
      <c r="A166" s="13" t="s">
        <v>1620</v>
      </c>
      <c r="B166" s="865" t="str">
        <f>A166&amp;"Capital Expenditure by Municipal Vote/Appropriation (Minor)"</f>
        <v>Chart A10 Capital Expenditure by Municipal Vote/Appropriation (Minor)</v>
      </c>
      <c r="C166" s="850" t="s">
        <v>970</v>
      </c>
    </row>
    <row r="167" spans="1:3" x14ac:dyDescent="0.2">
      <c r="A167" s="13" t="s">
        <v>1621</v>
      </c>
      <c r="B167" s="865" t="str">
        <f>A166&amp;"Capital Expenditure by Standard Classification"</f>
        <v>Chart A10 Capital Expenditure by Standard Classification</v>
      </c>
      <c r="C167" s="850" t="s">
        <v>970</v>
      </c>
    </row>
    <row r="168" spans="1:3" x14ac:dyDescent="0.2">
      <c r="A168" s="13" t="s">
        <v>1622</v>
      </c>
      <c r="B168" s="865" t="str">
        <f>A168&amp;"Capital expenditure performance trend"</f>
        <v>Chart A12 Capital expenditure performance trend</v>
      </c>
      <c r="C168" s="850" t="s">
        <v>970</v>
      </c>
    </row>
    <row r="169" spans="1:3" x14ac:dyDescent="0.2">
      <c r="A169" s="13" t="s">
        <v>1623</v>
      </c>
      <c r="B169" s="865" t="str">
        <f>A169&amp;"Capital funding by Source"</f>
        <v>Chart A13 Capital funding by Source</v>
      </c>
      <c r="C169" s="850" t="s">
        <v>970</v>
      </c>
    </row>
    <row r="170" spans="1:3" x14ac:dyDescent="0.2">
      <c r="A170" s="13" t="s">
        <v>1624</v>
      </c>
      <c r="B170" s="865" t="str">
        <f>A170&amp;"Cash flow trend"</f>
        <v>Chart A14 Cash flow trend</v>
      </c>
      <c r="C170" s="850" t="s">
        <v>971</v>
      </c>
    </row>
    <row r="171" spans="1:3" x14ac:dyDescent="0.2">
      <c r="A171" s="13" t="s">
        <v>1625</v>
      </c>
      <c r="B171" s="865" t="str">
        <f>A171&amp;"IDP Strategic Objective - Revenue"</f>
        <v>Chart A15 IDP Strategic Objective - Revenue</v>
      </c>
      <c r="C171" s="850" t="s">
        <v>266</v>
      </c>
    </row>
    <row r="172" spans="1:3" x14ac:dyDescent="0.2">
      <c r="A172" s="13" t="s">
        <v>1626</v>
      </c>
      <c r="B172" s="865" t="str">
        <f>A172&amp;"IDP Strategic Objective - Expenditure"</f>
        <v>Chart A16 IDP Strategic Objective - Expenditure</v>
      </c>
      <c r="C172" s="850" t="s">
        <v>267</v>
      </c>
    </row>
    <row r="173" spans="1:3" x14ac:dyDescent="0.2">
      <c r="A173" s="13" t="s">
        <v>1627</v>
      </c>
      <c r="B173" s="865" t="str">
        <f>A173&amp;"IDP Strategic Objective - Capital Expenditure"</f>
        <v>Chart A17 IDP Strategic Objective - Capital Expenditure</v>
      </c>
      <c r="C173" s="850" t="s">
        <v>268</v>
      </c>
    </row>
    <row r="174" spans="1:3" x14ac:dyDescent="0.2">
      <c r="A174" s="13" t="s">
        <v>1628</v>
      </c>
      <c r="B174" s="865" t="str">
        <f>A174&amp;"Debt (borrowing to Total Revenue)"</f>
        <v>Chart A18 Debt (borrowing to Total Revenue)</v>
      </c>
      <c r="C174" s="850" t="s">
        <v>269</v>
      </c>
    </row>
    <row r="175" spans="1:3" x14ac:dyDescent="0.2">
      <c r="A175" s="13" t="s">
        <v>1629</v>
      </c>
      <c r="B175" s="865" t="str">
        <f>A175&amp;"Debtors' trend analysis"</f>
        <v>Chart A19 Debtors' trend analysis</v>
      </c>
      <c r="C175" s="850" t="s">
        <v>269</v>
      </c>
    </row>
    <row r="176" spans="1:3" x14ac:dyDescent="0.2">
      <c r="A176" s="13" t="s">
        <v>1630</v>
      </c>
      <c r="B176" s="865" t="str">
        <f>A176&amp;"Distribution losses"</f>
        <v>Chart A20 Distribution losses</v>
      </c>
      <c r="C176" s="850" t="s">
        <v>269</v>
      </c>
    </row>
    <row r="177" spans="1:4" x14ac:dyDescent="0.2">
      <c r="A177" s="13" t="s">
        <v>1631</v>
      </c>
      <c r="B177" s="865" t="str">
        <f>A177&amp;"Borrowed funding of capital expenditure"</f>
        <v>Chart A21 Borrowed funding of capital expenditure</v>
      </c>
      <c r="C177" s="850" t="s">
        <v>269</v>
      </c>
    </row>
    <row r="178" spans="1:4" x14ac:dyDescent="0.2">
      <c r="A178" s="13" t="s">
        <v>1632</v>
      </c>
      <c r="B178" s="865" t="str">
        <f>A178&amp;"Expenditure analysis (% of Revenue)"</f>
        <v>Chart A22 Expenditure analysis (% of Revenue)</v>
      </c>
      <c r="C178" s="850" t="s">
        <v>269</v>
      </c>
    </row>
    <row r="179" spans="1:4" x14ac:dyDescent="0.2">
      <c r="A179" s="11" t="s">
        <v>1633</v>
      </c>
      <c r="B179" s="866" t="str">
        <f>A179&amp;"Increases in service charges"</f>
        <v>Chart A23 Increases in service charges</v>
      </c>
      <c r="C179" s="867" t="s">
        <v>544</v>
      </c>
    </row>
    <row r="180" spans="1:4" x14ac:dyDescent="0.2">
      <c r="A180" s="804"/>
    </row>
    <row r="181" spans="1:4" x14ac:dyDescent="0.2">
      <c r="A181" s="804"/>
    </row>
    <row r="182" spans="1:4" x14ac:dyDescent="0.2">
      <c r="A182" s="804"/>
    </row>
    <row r="183" spans="1:4" x14ac:dyDescent="0.2">
      <c r="D183" s="805"/>
    </row>
  </sheetData>
  <mergeCells count="5">
    <mergeCell ref="A1:D1"/>
    <mergeCell ref="A87:B87"/>
    <mergeCell ref="A110:B110"/>
    <mergeCell ref="A99:B99"/>
    <mergeCell ref="A92:D92"/>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304800</xdr:colOff>
                    <xdr:row>2</xdr:row>
                    <xdr:rowOff>19050</xdr:rowOff>
                  </from>
                  <to>
                    <xdr:col>4</xdr:col>
                    <xdr:colOff>1990725</xdr:colOff>
                    <xdr:row>4</xdr:row>
                    <xdr:rowOff>19050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K112"/>
  <sheetViews>
    <sheetView showGridLines="0" zoomScaleNormal="100" workbookViewId="0">
      <pane xSplit="2" ySplit="4" topLeftCell="C14" activePane="bottomRight" state="frozen"/>
      <selection pane="topRight"/>
      <selection pane="bottomLeft"/>
      <selection pane="bottomRight" activeCell="C7" sqref="C7"/>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x14ac:dyDescent="0.25">
      <c r="A1" s="23" t="str">
        <f>muni&amp;" - "&amp;TableA11</f>
        <v>EC101 Dr Beyers Naude - Supporting Table SA11 Property rates summary</v>
      </c>
      <c r="B1" s="23"/>
      <c r="C1" s="23"/>
      <c r="D1" s="23"/>
      <c r="E1" s="23"/>
      <c r="F1" s="23"/>
      <c r="G1" s="23"/>
      <c r="H1" s="23"/>
      <c r="I1" s="23"/>
      <c r="J1" s="23"/>
      <c r="K1" s="23"/>
    </row>
    <row r="2" spans="1:11" ht="28.5" customHeight="1" x14ac:dyDescent="0.25">
      <c r="A2" s="1958" t="str">
        <f>desc</f>
        <v>Description</v>
      </c>
      <c r="B2" s="1930" t="str">
        <f>head27</f>
        <v>Ref</v>
      </c>
      <c r="C2" s="21"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1959"/>
      <c r="B3" s="1933"/>
      <c r="C3" s="30" t="str">
        <f>Head5</f>
        <v>Audited Outcome</v>
      </c>
      <c r="D3" s="28" t="str">
        <f>Head5</f>
        <v>Audited Outcome</v>
      </c>
      <c r="E3" s="29" t="str">
        <f>Head5</f>
        <v>Audited Outcome</v>
      </c>
      <c r="F3" s="27" t="str">
        <f>Head6</f>
        <v>Original Budget</v>
      </c>
      <c r="G3" s="28" t="str">
        <f>Head7</f>
        <v>Adjusted Budget</v>
      </c>
      <c r="H3" s="29" t="str">
        <f>Head8</f>
        <v>Full Year Forecast</v>
      </c>
      <c r="I3" s="27" t="str">
        <f>Head9</f>
        <v>Budget Year 2019/20</v>
      </c>
      <c r="J3" s="28" t="str">
        <f>Head10</f>
        <v>Budget Year +1 2020/21</v>
      </c>
      <c r="K3" s="29" t="str">
        <f>Head11</f>
        <v>Budget Year +2 2021/22</v>
      </c>
    </row>
    <row r="4" spans="1:11" ht="4.5" customHeight="1" x14ac:dyDescent="0.25">
      <c r="A4" s="53"/>
      <c r="B4" s="1931"/>
      <c r="C4" s="33"/>
      <c r="D4" s="15"/>
      <c r="E4" s="32"/>
      <c r="F4" s="31"/>
      <c r="G4" s="15"/>
      <c r="H4" s="32"/>
      <c r="I4" s="31"/>
      <c r="J4" s="15"/>
      <c r="K4" s="32"/>
    </row>
    <row r="5" spans="1:11" ht="11.25" customHeight="1" x14ac:dyDescent="0.25">
      <c r="A5" s="54" t="s">
        <v>653</v>
      </c>
      <c r="B5" s="366">
        <v>1</v>
      </c>
      <c r="C5" s="367"/>
      <c r="D5" s="367"/>
      <c r="E5" s="90"/>
      <c r="F5" s="368"/>
      <c r="G5" s="982"/>
      <c r="H5" s="983"/>
      <c r="I5" s="984"/>
      <c r="J5" s="982"/>
      <c r="K5" s="985"/>
    </row>
    <row r="6" spans="1:11" ht="11.25" customHeight="1" x14ac:dyDescent="0.25">
      <c r="A6" s="63" t="s">
        <v>652</v>
      </c>
      <c r="B6" s="331"/>
      <c r="C6" s="1553"/>
      <c r="D6" s="1553"/>
      <c r="E6" s="1554"/>
      <c r="F6" s="1555"/>
      <c r="G6" s="986"/>
      <c r="H6" s="987"/>
      <c r="I6" s="988"/>
      <c r="J6" s="986"/>
      <c r="K6" s="989"/>
    </row>
    <row r="7" spans="1:11" ht="11.25" customHeight="1" x14ac:dyDescent="0.25">
      <c r="A7" s="63" t="s">
        <v>567</v>
      </c>
      <c r="B7" s="331"/>
      <c r="C7" s="1871" t="s">
        <v>2715</v>
      </c>
      <c r="D7" s="1556"/>
      <c r="E7" s="1557"/>
      <c r="F7" s="1558"/>
      <c r="G7" s="990"/>
      <c r="H7" s="991"/>
      <c r="I7" s="1545"/>
      <c r="J7" s="994"/>
      <c r="K7" s="995"/>
    </row>
    <row r="8" spans="1:11" ht="11.25" customHeight="1" x14ac:dyDescent="0.25">
      <c r="A8" s="63" t="s">
        <v>349</v>
      </c>
      <c r="B8" s="370" t="s">
        <v>675</v>
      </c>
      <c r="C8" s="1547"/>
      <c r="D8" s="1547"/>
      <c r="E8" s="1549"/>
      <c r="F8" s="1559"/>
      <c r="G8" s="992"/>
      <c r="H8" s="993"/>
      <c r="I8" s="1546"/>
      <c r="J8" s="994"/>
      <c r="K8" s="995"/>
    </row>
    <row r="9" spans="1:11" ht="11.25" customHeight="1" x14ac:dyDescent="0.25">
      <c r="A9" s="63" t="s">
        <v>1116</v>
      </c>
      <c r="B9" s="331"/>
      <c r="C9" s="1547"/>
      <c r="D9" s="1547"/>
      <c r="E9" s="1549"/>
      <c r="F9" s="1559"/>
      <c r="G9" s="976"/>
      <c r="H9" s="977"/>
      <c r="I9" s="1546"/>
      <c r="J9" s="978"/>
      <c r="K9" s="979"/>
    </row>
    <row r="10" spans="1:11" ht="11.25" customHeight="1" x14ac:dyDescent="0.25">
      <c r="A10" s="63" t="s">
        <v>654</v>
      </c>
      <c r="B10" s="331"/>
      <c r="C10" s="1547"/>
      <c r="D10" s="1547"/>
      <c r="E10" s="1549"/>
      <c r="F10" s="1559"/>
      <c r="G10" s="1547"/>
      <c r="H10" s="1548"/>
      <c r="I10" s="1546"/>
      <c r="J10" s="1547"/>
      <c r="K10" s="1549"/>
    </row>
    <row r="11" spans="1:11" ht="11.25" customHeight="1" x14ac:dyDescent="0.25">
      <c r="A11" s="63" t="s">
        <v>1117</v>
      </c>
      <c r="B11" s="370">
        <v>3</v>
      </c>
      <c r="C11" s="1550"/>
      <c r="D11" s="1560"/>
      <c r="E11" s="1561"/>
      <c r="F11" s="1353"/>
      <c r="G11" s="1550"/>
      <c r="H11" s="1551"/>
      <c r="I11" s="1356"/>
      <c r="J11" s="1550"/>
      <c r="K11" s="1552"/>
    </row>
    <row r="12" spans="1:11" ht="11.25" customHeight="1" x14ac:dyDescent="0.25">
      <c r="A12" s="63" t="s">
        <v>1118</v>
      </c>
      <c r="B12" s="331">
        <v>3</v>
      </c>
      <c r="C12" s="924"/>
      <c r="D12" s="1354"/>
      <c r="E12" s="1355"/>
      <c r="F12" s="1353"/>
      <c r="G12" s="924"/>
      <c r="H12" s="1352"/>
      <c r="I12" s="1356"/>
      <c r="J12" s="924"/>
      <c r="K12" s="925"/>
    </row>
    <row r="13" spans="1:11" ht="11.25" customHeight="1" x14ac:dyDescent="0.25">
      <c r="A13" s="63" t="s">
        <v>1119</v>
      </c>
      <c r="B13" s="331">
        <v>3</v>
      </c>
      <c r="C13" s="924"/>
      <c r="D13" s="1354"/>
      <c r="E13" s="1355"/>
      <c r="F13" s="1353"/>
      <c r="G13" s="924"/>
      <c r="H13" s="1352"/>
      <c r="I13" s="1356"/>
      <c r="J13" s="924"/>
      <c r="K13" s="925"/>
    </row>
    <row r="14" spans="1:11" ht="11.25" customHeight="1" x14ac:dyDescent="0.25">
      <c r="A14" s="63" t="s">
        <v>1120</v>
      </c>
      <c r="B14" s="331">
        <v>3</v>
      </c>
      <c r="C14" s="924"/>
      <c r="D14" s="1354"/>
      <c r="E14" s="1355"/>
      <c r="F14" s="1353"/>
      <c r="G14" s="924"/>
      <c r="H14" s="1352"/>
      <c r="I14" s="1356"/>
      <c r="J14" s="924"/>
      <c r="K14" s="925"/>
    </row>
    <row r="15" spans="1:11" ht="11.25" customHeight="1" x14ac:dyDescent="0.25">
      <c r="A15" s="63" t="s">
        <v>1408</v>
      </c>
      <c r="B15" s="370">
        <v>4</v>
      </c>
      <c r="C15" s="924"/>
      <c r="D15" s="1354"/>
      <c r="E15" s="1355"/>
      <c r="F15" s="1353"/>
      <c r="G15" s="924"/>
      <c r="H15" s="1352"/>
      <c r="I15" s="1356"/>
      <c r="J15" s="924"/>
      <c r="K15" s="925"/>
    </row>
    <row r="16" spans="1:11" ht="11.25" customHeight="1" x14ac:dyDescent="0.25">
      <c r="A16" s="63" t="s">
        <v>568</v>
      </c>
      <c r="B16" s="331"/>
      <c r="C16" s="1547"/>
      <c r="D16" s="1547"/>
      <c r="E16" s="1549"/>
      <c r="F16" s="1559"/>
      <c r="G16" s="976"/>
      <c r="H16" s="977"/>
      <c r="I16" s="1546"/>
      <c r="J16" s="978"/>
      <c r="K16" s="979"/>
    </row>
    <row r="17" spans="1:11" ht="11.25" customHeight="1" x14ac:dyDescent="0.25">
      <c r="A17" s="63" t="s">
        <v>347</v>
      </c>
      <c r="B17" s="331"/>
      <c r="C17" s="924"/>
      <c r="D17" s="1354"/>
      <c r="E17" s="1355"/>
      <c r="F17" s="1353"/>
      <c r="G17" s="976"/>
      <c r="H17" s="977"/>
      <c r="I17" s="1356"/>
      <c r="J17" s="980"/>
      <c r="K17" s="981"/>
    </row>
    <row r="18" spans="1:11" ht="11.25" customHeight="1" x14ac:dyDescent="0.25">
      <c r="A18" s="63" t="s">
        <v>350</v>
      </c>
      <c r="B18" s="370">
        <v>5</v>
      </c>
      <c r="C18" s="1354"/>
      <c r="D18" s="1354"/>
      <c r="E18" s="1355"/>
      <c r="F18" s="1353"/>
      <c r="G18" s="1354"/>
      <c r="H18" s="1565"/>
      <c r="I18" s="1356"/>
      <c r="J18" s="924"/>
      <c r="K18" s="925"/>
    </row>
    <row r="19" spans="1:11" ht="11.25" customHeight="1" x14ac:dyDescent="0.25">
      <c r="A19" s="63" t="s">
        <v>351</v>
      </c>
      <c r="B19" s="370">
        <v>5</v>
      </c>
      <c r="C19" s="1354"/>
      <c r="D19" s="1354"/>
      <c r="E19" s="1355"/>
      <c r="F19" s="1353"/>
      <c r="G19" s="1354"/>
      <c r="H19" s="1565"/>
      <c r="I19" s="1356"/>
      <c r="J19" s="924"/>
      <c r="K19" s="925"/>
    </row>
    <row r="20" spans="1:11" ht="11.25" customHeight="1" x14ac:dyDescent="0.25">
      <c r="A20" s="63" t="s">
        <v>352</v>
      </c>
      <c r="B20" s="370"/>
      <c r="C20" s="1354"/>
      <c r="D20" s="1354"/>
      <c r="E20" s="1355"/>
      <c r="F20" s="1353"/>
      <c r="G20" s="1354"/>
      <c r="H20" s="1565"/>
      <c r="I20" s="1356"/>
      <c r="J20" s="924"/>
      <c r="K20" s="925"/>
    </row>
    <row r="21" spans="1:11" ht="11.25" customHeight="1" x14ac:dyDescent="0.25">
      <c r="A21" s="63" t="s">
        <v>645</v>
      </c>
      <c r="B21" s="331"/>
      <c r="C21" s="924"/>
      <c r="D21" s="1354"/>
      <c r="E21" s="1355"/>
      <c r="F21" s="1353"/>
      <c r="G21" s="1354"/>
      <c r="H21" s="1565"/>
      <c r="I21" s="1356"/>
      <c r="J21" s="924"/>
      <c r="K21" s="925"/>
    </row>
    <row r="22" spans="1:11" ht="11.25" customHeight="1" x14ac:dyDescent="0.25">
      <c r="A22" s="63" t="s">
        <v>646</v>
      </c>
      <c r="B22" s="331"/>
      <c r="C22" s="924"/>
      <c r="D22" s="1354"/>
      <c r="E22" s="1355"/>
      <c r="F22" s="1353"/>
      <c r="G22" s="924"/>
      <c r="H22" s="1352"/>
      <c r="I22" s="1356"/>
      <c r="J22" s="924"/>
      <c r="K22" s="925"/>
    </row>
    <row r="23" spans="1:11" ht="11.25" customHeight="1" x14ac:dyDescent="0.25">
      <c r="A23" s="63" t="s">
        <v>319</v>
      </c>
      <c r="B23" s="331"/>
      <c r="C23" s="924"/>
      <c r="D23" s="1354"/>
      <c r="E23" s="1355"/>
      <c r="F23" s="1353"/>
      <c r="G23" s="924"/>
      <c r="H23" s="1352"/>
      <c r="I23" s="1356"/>
      <c r="J23" s="924"/>
      <c r="K23" s="925"/>
    </row>
    <row r="24" spans="1:11" ht="11.25" customHeight="1" x14ac:dyDescent="0.25">
      <c r="A24" s="63" t="s">
        <v>320</v>
      </c>
      <c r="B24" s="331"/>
      <c r="C24" s="924"/>
      <c r="D24" s="1354"/>
      <c r="E24" s="1355"/>
      <c r="F24" s="1353"/>
      <c r="G24" s="924"/>
      <c r="H24" s="1352"/>
      <c r="I24" s="1356"/>
      <c r="J24" s="924"/>
      <c r="K24" s="925"/>
    </row>
    <row r="25" spans="1:11" ht="11.25" customHeight="1" x14ac:dyDescent="0.25">
      <c r="A25" s="63" t="s">
        <v>655</v>
      </c>
      <c r="B25" s="331">
        <v>8</v>
      </c>
      <c r="C25" s="924"/>
      <c r="D25" s="1354"/>
      <c r="E25" s="1355"/>
      <c r="F25" s="1353"/>
      <c r="G25" s="924"/>
      <c r="H25" s="1352"/>
      <c r="I25" s="1356"/>
      <c r="J25" s="924"/>
      <c r="K25" s="925"/>
    </row>
    <row r="26" spans="1:11" ht="11.25" customHeight="1" x14ac:dyDescent="0.25">
      <c r="A26" s="63" t="s">
        <v>644</v>
      </c>
      <c r="B26" s="331">
        <v>8</v>
      </c>
      <c r="C26" s="924"/>
      <c r="D26" s="1354"/>
      <c r="E26" s="1355"/>
      <c r="F26" s="1353"/>
      <c r="G26" s="924"/>
      <c r="H26" s="1352"/>
      <c r="I26" s="1356"/>
      <c r="J26" s="924"/>
      <c r="K26" s="925"/>
    </row>
    <row r="27" spans="1:11" ht="11.25" customHeight="1" x14ac:dyDescent="0.25">
      <c r="A27" s="63" t="s">
        <v>1365</v>
      </c>
      <c r="B27" s="331"/>
      <c r="C27" s="1354"/>
      <c r="D27" s="1354"/>
      <c r="E27" s="1355"/>
      <c r="F27" s="1353"/>
      <c r="G27" s="1354"/>
      <c r="H27" s="1565"/>
      <c r="I27" s="1356"/>
      <c r="J27" s="924"/>
      <c r="K27" s="925"/>
    </row>
    <row r="28" spans="1:11" ht="11.25" customHeight="1" x14ac:dyDescent="0.25">
      <c r="A28" s="63" t="s">
        <v>453</v>
      </c>
      <c r="B28" s="370">
        <v>5</v>
      </c>
      <c r="C28" s="1562"/>
      <c r="D28" s="1562"/>
      <c r="E28" s="1563"/>
      <c r="F28" s="1564"/>
      <c r="G28" s="1562"/>
      <c r="H28" s="1566"/>
      <c r="I28" s="1567"/>
      <c r="J28" s="1568"/>
      <c r="K28" s="1569"/>
    </row>
    <row r="29" spans="1:11" ht="11.25" customHeight="1" x14ac:dyDescent="0.25">
      <c r="A29" s="63" t="s">
        <v>1244</v>
      </c>
      <c r="B29" s="370"/>
      <c r="C29" s="1562"/>
      <c r="D29" s="1562"/>
      <c r="E29" s="1563"/>
      <c r="F29" s="1564"/>
      <c r="G29" s="1562"/>
      <c r="H29" s="1566"/>
      <c r="I29" s="1567"/>
      <c r="J29" s="1568"/>
      <c r="K29" s="1569"/>
    </row>
    <row r="30" spans="1:11" ht="11.25" customHeight="1" x14ac:dyDescent="0.25">
      <c r="A30" s="54" t="s">
        <v>1366</v>
      </c>
      <c r="B30" s="370"/>
      <c r="C30" s="371"/>
      <c r="D30" s="371"/>
      <c r="E30" s="372"/>
      <c r="F30" s="373"/>
      <c r="G30" s="371"/>
      <c r="H30" s="374"/>
      <c r="I30" s="109"/>
      <c r="J30" s="210"/>
      <c r="K30" s="68"/>
    </row>
    <row r="31" spans="1:11" ht="11.25" customHeight="1" x14ac:dyDescent="0.25">
      <c r="A31" s="63" t="s">
        <v>454</v>
      </c>
      <c r="B31" s="370"/>
      <c r="C31" s="1562"/>
      <c r="D31" s="1562"/>
      <c r="E31" s="1563"/>
      <c r="F31" s="1564"/>
      <c r="G31" s="1562"/>
      <c r="H31" s="1566"/>
      <c r="I31" s="1567"/>
      <c r="J31" s="1568"/>
      <c r="K31" s="1569"/>
    </row>
    <row r="32" spans="1:11" ht="11.25" customHeight="1" x14ac:dyDescent="0.25">
      <c r="A32" s="63" t="s">
        <v>455</v>
      </c>
      <c r="B32" s="370"/>
      <c r="C32" s="1562"/>
      <c r="D32" s="1562"/>
      <c r="E32" s="1563"/>
      <c r="F32" s="1564"/>
      <c r="G32" s="1562"/>
      <c r="H32" s="1566"/>
      <c r="I32" s="1567"/>
      <c r="J32" s="1568"/>
      <c r="K32" s="1569"/>
    </row>
    <row r="33" spans="1:11" ht="11.25" customHeight="1" x14ac:dyDescent="0.25">
      <c r="A33" s="63" t="s">
        <v>456</v>
      </c>
      <c r="B33" s="370"/>
      <c r="C33" s="1562"/>
      <c r="D33" s="1562"/>
      <c r="E33" s="1563"/>
      <c r="F33" s="1564"/>
      <c r="G33" s="1562"/>
      <c r="H33" s="1566"/>
      <c r="I33" s="1567"/>
      <c r="J33" s="1568"/>
      <c r="K33" s="1569"/>
    </row>
    <row r="34" spans="1:11" ht="11.25" customHeight="1" x14ac:dyDescent="0.25">
      <c r="A34" s="63" t="s">
        <v>457</v>
      </c>
      <c r="B34" s="370"/>
      <c r="C34" s="1562"/>
      <c r="D34" s="1562"/>
      <c r="E34" s="1563"/>
      <c r="F34" s="1564"/>
      <c r="G34" s="1562"/>
      <c r="H34" s="1566"/>
      <c r="I34" s="1567"/>
      <c r="J34" s="1568"/>
      <c r="K34" s="1569"/>
    </row>
    <row r="35" spans="1:11" ht="11.25" customHeight="1" x14ac:dyDescent="0.25">
      <c r="A35" s="63" t="s">
        <v>458</v>
      </c>
      <c r="B35" s="370"/>
      <c r="C35" s="1562"/>
      <c r="D35" s="1562"/>
      <c r="E35" s="1563"/>
      <c r="F35" s="1564"/>
      <c r="G35" s="1562"/>
      <c r="H35" s="1566"/>
      <c r="I35" s="1567"/>
      <c r="J35" s="1568"/>
      <c r="K35" s="1569"/>
    </row>
    <row r="36" spans="1:11" ht="11.25" customHeight="1" x14ac:dyDescent="0.25">
      <c r="A36" s="63" t="s">
        <v>459</v>
      </c>
      <c r="B36" s="370"/>
      <c r="C36" s="1562"/>
      <c r="D36" s="1562"/>
      <c r="E36" s="1563"/>
      <c r="F36" s="1564"/>
      <c r="G36" s="1562"/>
      <c r="H36" s="1566"/>
      <c r="I36" s="1567"/>
      <c r="J36" s="1568"/>
      <c r="K36" s="1569"/>
    </row>
    <row r="37" spans="1:11" ht="11.25" customHeight="1" x14ac:dyDescent="0.25">
      <c r="A37" s="118" t="s">
        <v>1367</v>
      </c>
      <c r="B37" s="370"/>
      <c r="C37" s="375">
        <f>SUM(C31:C36)</f>
        <v>0</v>
      </c>
      <c r="D37" s="375">
        <f t="shared" ref="D37:K37" si="0">SUM(D31:D36)</f>
        <v>0</v>
      </c>
      <c r="E37" s="376">
        <f t="shared" si="0"/>
        <v>0</v>
      </c>
      <c r="F37" s="377">
        <f t="shared" si="0"/>
        <v>0</v>
      </c>
      <c r="G37" s="375">
        <f t="shared" si="0"/>
        <v>0</v>
      </c>
      <c r="H37" s="378">
        <f t="shared" si="0"/>
        <v>0</v>
      </c>
      <c r="I37" s="379">
        <f t="shared" si="0"/>
        <v>0</v>
      </c>
      <c r="J37" s="380">
        <f t="shared" si="0"/>
        <v>0</v>
      </c>
      <c r="K37" s="381">
        <f t="shared" si="0"/>
        <v>0</v>
      </c>
    </row>
    <row r="38" spans="1:11" ht="15.75" customHeight="1" x14ac:dyDescent="0.25">
      <c r="A38" s="63" t="s">
        <v>1292</v>
      </c>
      <c r="B38" s="370">
        <v>5</v>
      </c>
      <c r="C38" s="1568"/>
      <c r="D38" s="1568"/>
      <c r="E38" s="1569"/>
      <c r="F38" s="1570"/>
      <c r="G38" s="1568"/>
      <c r="H38" s="1571"/>
      <c r="I38" s="1572"/>
      <c r="J38" s="1568"/>
      <c r="K38" s="1569"/>
    </row>
    <row r="39" spans="1:11" ht="11.25" customHeight="1" x14ac:dyDescent="0.25">
      <c r="A39" s="63" t="s">
        <v>1293</v>
      </c>
      <c r="B39" s="370">
        <v>5</v>
      </c>
      <c r="C39" s="1568"/>
      <c r="D39" s="1568"/>
      <c r="E39" s="1569"/>
      <c r="F39" s="1570"/>
      <c r="G39" s="1568"/>
      <c r="H39" s="1571"/>
      <c r="I39" s="1572"/>
      <c r="J39" s="1573"/>
      <c r="K39" s="1574"/>
    </row>
    <row r="40" spans="1:11" ht="11.25" customHeight="1" x14ac:dyDescent="0.25">
      <c r="A40" s="63" t="s">
        <v>1294</v>
      </c>
      <c r="B40" s="370">
        <v>5</v>
      </c>
      <c r="C40" s="1568"/>
      <c r="D40" s="1568"/>
      <c r="E40" s="1569"/>
      <c r="F40" s="1570"/>
      <c r="G40" s="1568"/>
      <c r="H40" s="1571"/>
      <c r="I40" s="1572"/>
      <c r="J40" s="1568"/>
      <c r="K40" s="1569"/>
    </row>
    <row r="41" spans="1:11" ht="11.25" customHeight="1" x14ac:dyDescent="0.25">
      <c r="A41" s="63" t="s">
        <v>1295</v>
      </c>
      <c r="B41" s="370">
        <v>5</v>
      </c>
      <c r="C41" s="1568"/>
      <c r="D41" s="1562"/>
      <c r="E41" s="1563"/>
      <c r="F41" s="1564"/>
      <c r="G41" s="1562"/>
      <c r="H41" s="1566"/>
      <c r="I41" s="1567"/>
      <c r="J41" s="1568"/>
      <c r="K41" s="1569"/>
    </row>
    <row r="42" spans="1:11" ht="4.9000000000000004" customHeight="1" x14ac:dyDescent="0.25">
      <c r="A42" s="74"/>
      <c r="B42" s="370"/>
      <c r="C42" s="1358"/>
      <c r="D42" s="1575"/>
      <c r="E42" s="1576"/>
      <c r="F42" s="1577"/>
      <c r="G42" s="1575"/>
      <c r="H42" s="1578"/>
      <c r="I42" s="1579"/>
      <c r="J42" s="1358"/>
      <c r="K42" s="1359"/>
    </row>
    <row r="43" spans="1:11" ht="11.25" customHeight="1" x14ac:dyDescent="0.25">
      <c r="A43" s="382" t="s">
        <v>1368</v>
      </c>
      <c r="B43" s="383"/>
      <c r="C43" s="384"/>
      <c r="D43" s="384"/>
      <c r="E43" s="385"/>
      <c r="F43" s="386"/>
      <c r="G43" s="384"/>
      <c r="H43" s="387"/>
      <c r="I43" s="388"/>
      <c r="J43" s="384"/>
      <c r="K43" s="385"/>
    </row>
    <row r="44" spans="1:11" ht="26.25" customHeight="1" x14ac:dyDescent="0.25">
      <c r="A44" s="266" t="s">
        <v>1291</v>
      </c>
      <c r="B44" s="331"/>
      <c r="C44" s="1547"/>
      <c r="D44" s="1547"/>
      <c r="E44" s="1581"/>
      <c r="F44" s="1582"/>
      <c r="G44" s="996"/>
      <c r="H44" s="997"/>
      <c r="I44" s="1580"/>
      <c r="J44" s="996"/>
      <c r="K44" s="1000"/>
    </row>
    <row r="45" spans="1:11" ht="11.25" customHeight="1" x14ac:dyDescent="0.25">
      <c r="A45" s="63" t="s">
        <v>649</v>
      </c>
      <c r="B45" s="331">
        <v>5</v>
      </c>
      <c r="C45" s="1547"/>
      <c r="D45" s="1547"/>
      <c r="E45" s="1549"/>
      <c r="F45" s="1559"/>
      <c r="G45" s="998"/>
      <c r="H45" s="999"/>
      <c r="I45" s="1546"/>
      <c r="J45" s="998"/>
      <c r="K45" s="1001"/>
    </row>
    <row r="46" spans="1:11" ht="11.25" customHeight="1" x14ac:dyDescent="0.25">
      <c r="A46" s="63" t="s">
        <v>650</v>
      </c>
      <c r="B46" s="331"/>
      <c r="C46" s="1547"/>
      <c r="D46" s="1547"/>
      <c r="E46" s="1549"/>
      <c r="F46" s="1559"/>
      <c r="G46" s="1547"/>
      <c r="H46" s="1548"/>
      <c r="I46" s="1546"/>
      <c r="J46" s="1547"/>
      <c r="K46" s="1549"/>
    </row>
    <row r="47" spans="1:11" ht="11.25" customHeight="1" x14ac:dyDescent="0.25">
      <c r="A47" s="63" t="s">
        <v>651</v>
      </c>
      <c r="B47" s="331"/>
      <c r="C47" s="1547"/>
      <c r="D47" s="1547"/>
      <c r="E47" s="1549"/>
      <c r="F47" s="1559"/>
      <c r="G47" s="998"/>
      <c r="H47" s="999"/>
      <c r="I47" s="1546"/>
      <c r="J47" s="998"/>
      <c r="K47" s="1001"/>
    </row>
    <row r="48" spans="1:11" ht="11.25" customHeight="1" x14ac:dyDescent="0.25">
      <c r="A48" s="63" t="s">
        <v>141</v>
      </c>
      <c r="B48" s="331"/>
      <c r="C48" s="1547"/>
      <c r="D48" s="1547"/>
      <c r="E48" s="1549"/>
      <c r="F48" s="1559"/>
      <c r="G48" s="1547"/>
      <c r="H48" s="1548"/>
      <c r="I48" s="1546"/>
      <c r="J48" s="1547"/>
      <c r="K48" s="1549"/>
    </row>
    <row r="49" spans="1:11" ht="11.25" customHeight="1" x14ac:dyDescent="0.25">
      <c r="A49" s="63" t="s">
        <v>348</v>
      </c>
      <c r="B49" s="331"/>
      <c r="C49" s="1547"/>
      <c r="D49" s="1547"/>
      <c r="E49" s="1549"/>
      <c r="F49" s="1559"/>
      <c r="G49" s="998"/>
      <c r="H49" s="999"/>
      <c r="I49" s="1546"/>
      <c r="J49" s="998"/>
      <c r="K49" s="1001"/>
    </row>
    <row r="50" spans="1:11" ht="11.25" customHeight="1" x14ac:dyDescent="0.25">
      <c r="A50" s="63" t="s">
        <v>356</v>
      </c>
      <c r="B50" s="331"/>
      <c r="C50" s="1316"/>
      <c r="D50" s="1316"/>
      <c r="E50" s="1325"/>
      <c r="F50" s="1326"/>
      <c r="G50" s="998"/>
      <c r="H50" s="999"/>
      <c r="I50" s="1327"/>
      <c r="J50" s="998"/>
      <c r="K50" s="1001"/>
    </row>
    <row r="51" spans="1:11" ht="11.25" customHeight="1" x14ac:dyDescent="0.25">
      <c r="A51" s="63" t="s">
        <v>460</v>
      </c>
      <c r="B51" s="331"/>
      <c r="C51" s="1583"/>
      <c r="D51" s="1583"/>
      <c r="E51" s="1584"/>
      <c r="F51" s="1585"/>
      <c r="G51" s="998"/>
      <c r="H51" s="999"/>
      <c r="I51" s="1586"/>
      <c r="J51" s="998"/>
      <c r="K51" s="1001"/>
    </row>
    <row r="52" spans="1:11" ht="4.9000000000000004" customHeight="1" x14ac:dyDescent="0.25">
      <c r="A52" s="74"/>
      <c r="B52" s="331"/>
      <c r="C52" s="210"/>
      <c r="D52" s="210"/>
      <c r="E52" s="68"/>
      <c r="F52" s="208"/>
      <c r="G52" s="998"/>
      <c r="H52" s="999"/>
      <c r="I52" s="1361"/>
      <c r="J52" s="998"/>
      <c r="K52" s="1001"/>
    </row>
    <row r="53" spans="1:11" ht="11.25" customHeight="1" x14ac:dyDescent="0.25">
      <c r="A53" s="54" t="s">
        <v>571</v>
      </c>
      <c r="B53" s="331"/>
      <c r="C53" s="210"/>
      <c r="D53" s="210"/>
      <c r="E53" s="68"/>
      <c r="F53" s="208"/>
      <c r="G53" s="998"/>
      <c r="H53" s="999"/>
      <c r="I53" s="148"/>
      <c r="J53" s="998"/>
      <c r="K53" s="1001"/>
    </row>
    <row r="54" spans="1:11" ht="11.25" customHeight="1" x14ac:dyDescent="0.25">
      <c r="A54" s="63" t="s">
        <v>1296</v>
      </c>
      <c r="B54" s="370">
        <v>6</v>
      </c>
      <c r="C54" s="1316"/>
      <c r="D54" s="1316"/>
      <c r="E54" s="1325"/>
      <c r="F54" s="1326"/>
      <c r="G54" s="1316"/>
      <c r="H54" s="1319"/>
      <c r="I54" s="1327"/>
      <c r="J54" s="1316"/>
      <c r="K54" s="1325"/>
    </row>
    <row r="55" spans="1:11" ht="11.25" customHeight="1" x14ac:dyDescent="0.25">
      <c r="A55" s="63" t="s">
        <v>1297</v>
      </c>
      <c r="B55" s="370">
        <v>6</v>
      </c>
      <c r="C55" s="1316"/>
      <c r="D55" s="1316"/>
      <c r="E55" s="1325"/>
      <c r="F55" s="1326"/>
      <c r="G55" s="1316"/>
      <c r="H55" s="1319"/>
      <c r="I55" s="1327"/>
      <c r="J55" s="1316"/>
      <c r="K55" s="1325"/>
    </row>
    <row r="56" spans="1:11" ht="11.25" customHeight="1" x14ac:dyDescent="0.25">
      <c r="A56" s="63" t="s">
        <v>1404</v>
      </c>
      <c r="B56" s="370"/>
      <c r="C56" s="1587"/>
      <c r="D56" s="1587"/>
      <c r="E56" s="1588"/>
      <c r="F56" s="1589"/>
      <c r="G56" s="1587"/>
      <c r="H56" s="1590"/>
      <c r="I56" s="1591"/>
      <c r="J56" s="1583"/>
      <c r="K56" s="1584"/>
    </row>
    <row r="57" spans="1:11" ht="11.25" customHeight="1" x14ac:dyDescent="0.25">
      <c r="A57" s="63" t="s">
        <v>1332</v>
      </c>
      <c r="B57" s="370">
        <v>7</v>
      </c>
      <c r="C57" s="1592"/>
      <c r="D57" s="1592"/>
      <c r="E57" s="1593"/>
      <c r="F57" s="1594"/>
      <c r="G57" s="1592"/>
      <c r="H57" s="1595"/>
      <c r="I57" s="1596"/>
      <c r="J57" s="1316"/>
      <c r="K57" s="1325"/>
    </row>
    <row r="58" spans="1:11" ht="15.75" customHeight="1" x14ac:dyDescent="0.25">
      <c r="A58" s="63" t="s">
        <v>357</v>
      </c>
      <c r="B58" s="370"/>
      <c r="C58" s="1597"/>
      <c r="D58" s="1597"/>
      <c r="E58" s="1598"/>
      <c r="F58" s="1599"/>
      <c r="G58" s="1597"/>
      <c r="H58" s="1600"/>
      <c r="I58" s="1601"/>
      <c r="J58" s="1321"/>
      <c r="K58" s="1602"/>
    </row>
    <row r="59" spans="1:11" ht="11.25" customHeight="1" x14ac:dyDescent="0.25">
      <c r="A59" s="63" t="s">
        <v>450</v>
      </c>
      <c r="B59" s="370"/>
      <c r="C59" s="1592"/>
      <c r="D59" s="1592"/>
      <c r="E59" s="1593"/>
      <c r="F59" s="1594"/>
      <c r="G59" s="1592"/>
      <c r="H59" s="1595"/>
      <c r="I59" s="1596"/>
      <c r="J59" s="1316"/>
      <c r="K59" s="1325"/>
    </row>
    <row r="60" spans="1:11" ht="11.25" customHeight="1" x14ac:dyDescent="0.25">
      <c r="A60" s="63" t="s">
        <v>451</v>
      </c>
      <c r="B60" s="370"/>
      <c r="C60" s="1592"/>
      <c r="D60" s="1592"/>
      <c r="E60" s="1593"/>
      <c r="F60" s="1594"/>
      <c r="G60" s="1592"/>
      <c r="H60" s="1595"/>
      <c r="I60" s="1596"/>
      <c r="J60" s="1316"/>
      <c r="K60" s="1325"/>
    </row>
    <row r="61" spans="1:11" ht="11.25" customHeight="1" x14ac:dyDescent="0.25">
      <c r="A61" s="63" t="s">
        <v>452</v>
      </c>
      <c r="B61" s="370"/>
      <c r="C61" s="1592"/>
      <c r="D61" s="1592"/>
      <c r="E61" s="1593"/>
      <c r="F61" s="1594"/>
      <c r="G61" s="1592"/>
      <c r="H61" s="1595"/>
      <c r="I61" s="1596"/>
      <c r="J61" s="1316"/>
      <c r="K61" s="1325"/>
    </row>
    <row r="62" spans="1:11" ht="11.25" customHeight="1" x14ac:dyDescent="0.25">
      <c r="A62" s="63" t="s">
        <v>1331</v>
      </c>
      <c r="B62" s="370"/>
      <c r="C62" s="1603"/>
      <c r="D62" s="1603"/>
      <c r="E62" s="1604"/>
      <c r="F62" s="1605"/>
      <c r="G62" s="1603"/>
      <c r="H62" s="1606"/>
      <c r="I62" s="1607"/>
      <c r="J62" s="1346"/>
      <c r="K62" s="1349"/>
    </row>
    <row r="63" spans="1:11" ht="11.25" customHeight="1" x14ac:dyDescent="0.25">
      <c r="A63" s="118" t="s">
        <v>569</v>
      </c>
      <c r="B63" s="370"/>
      <c r="C63" s="86">
        <f>SUM(C58:C62)</f>
        <v>0</v>
      </c>
      <c r="D63" s="86">
        <f t="shared" ref="D63:K63" si="1">SUM(D58:D62)</f>
        <v>0</v>
      </c>
      <c r="E63" s="87">
        <f t="shared" si="1"/>
        <v>0</v>
      </c>
      <c r="F63" s="88">
        <f t="shared" si="1"/>
        <v>0</v>
      </c>
      <c r="G63" s="86">
        <f t="shared" si="1"/>
        <v>0</v>
      </c>
      <c r="H63" s="392">
        <f t="shared" si="1"/>
        <v>0</v>
      </c>
      <c r="I63" s="85">
        <f t="shared" si="1"/>
        <v>0</v>
      </c>
      <c r="J63" s="86">
        <f t="shared" si="1"/>
        <v>0</v>
      </c>
      <c r="K63" s="87">
        <f t="shared" si="1"/>
        <v>0</v>
      </c>
    </row>
    <row r="64" spans="1:11" ht="4.9000000000000004" customHeight="1" x14ac:dyDescent="0.25">
      <c r="A64" s="170"/>
      <c r="B64" s="393"/>
      <c r="C64" s="394"/>
      <c r="D64" s="394"/>
      <c r="E64" s="395"/>
      <c r="F64" s="396"/>
      <c r="G64" s="394"/>
      <c r="H64" s="397"/>
      <c r="I64" s="398"/>
      <c r="J64" s="394"/>
      <c r="K64" s="395"/>
    </row>
    <row r="65" spans="1:11" s="464" customFormat="1" x14ac:dyDescent="0.25">
      <c r="A65" s="101" t="str">
        <f>head27a</f>
        <v>References</v>
      </c>
      <c r="B65" s="645"/>
      <c r="C65" s="647"/>
      <c r="D65" s="647"/>
      <c r="E65" s="647"/>
      <c r="F65" s="647"/>
      <c r="G65" s="647"/>
      <c r="H65" s="647"/>
      <c r="I65" s="647"/>
      <c r="J65" s="647"/>
      <c r="K65" s="647"/>
    </row>
    <row r="66" spans="1:11" s="464" customFormat="1" x14ac:dyDescent="0.25">
      <c r="A66" s="105" t="s">
        <v>1403</v>
      </c>
    </row>
    <row r="67" spans="1:11" s="464" customFormat="1" x14ac:dyDescent="0.25">
      <c r="A67" s="132" t="s">
        <v>1405</v>
      </c>
    </row>
    <row r="68" spans="1:11" s="464" customFormat="1" x14ac:dyDescent="0.25">
      <c r="A68" s="132" t="s">
        <v>1406</v>
      </c>
    </row>
    <row r="69" spans="1:11" s="464" customFormat="1" x14ac:dyDescent="0.25">
      <c r="A69" s="132" t="s">
        <v>1407</v>
      </c>
    </row>
    <row r="70" spans="1:11" s="464" customFormat="1" x14ac:dyDescent="0.25">
      <c r="A70" s="105" t="s">
        <v>1423</v>
      </c>
    </row>
    <row r="71" spans="1:11" s="464" customFormat="1" x14ac:dyDescent="0.25">
      <c r="A71" s="105" t="str">
        <f>"6. Current and budget year must reconcile to "&amp;'Template names'!F103</f>
        <v>6. Current and budget year must reconcile to Table A4 Budgeted Financial Performance (revenue and expenditure)</v>
      </c>
    </row>
    <row r="72" spans="1:11" s="464" customFormat="1" x14ac:dyDescent="0.25">
      <c r="A72" s="105" t="s">
        <v>570</v>
      </c>
    </row>
    <row r="73" spans="1:11" x14ac:dyDescent="0.25">
      <c r="A73" s="105" t="s">
        <v>1421</v>
      </c>
      <c r="B73" s="25"/>
    </row>
    <row r="74" spans="1:11" x14ac:dyDescent="0.25">
      <c r="B74" s="25"/>
    </row>
    <row r="75" spans="1:11" x14ac:dyDescent="0.25">
      <c r="C75" s="103"/>
      <c r="D75" s="103"/>
      <c r="E75" s="104"/>
      <c r="F75" s="104"/>
      <c r="G75" s="104"/>
      <c r="H75" s="104"/>
      <c r="I75" s="104"/>
      <c r="J75" s="104"/>
      <c r="K75" s="104"/>
    </row>
    <row r="76" spans="1:11" x14ac:dyDescent="0.25">
      <c r="C76" s="103"/>
      <c r="D76" s="103"/>
      <c r="E76" s="104"/>
      <c r="F76" s="104"/>
      <c r="G76" s="104"/>
      <c r="H76" s="104"/>
      <c r="I76" s="104"/>
      <c r="J76" s="104"/>
      <c r="K76" s="104"/>
    </row>
    <row r="77" spans="1:11" x14ac:dyDescent="0.25">
      <c r="C77" s="103"/>
      <c r="D77" s="103"/>
      <c r="E77" s="104"/>
      <c r="F77" s="104"/>
      <c r="G77" s="104"/>
      <c r="H77" s="104"/>
      <c r="I77" s="104"/>
      <c r="J77" s="104"/>
      <c r="K77" s="104"/>
    </row>
    <row r="78" spans="1:11" x14ac:dyDescent="0.25">
      <c r="C78" s="103"/>
      <c r="D78" s="103"/>
      <c r="E78" s="104"/>
      <c r="F78" s="104"/>
      <c r="G78" s="104"/>
      <c r="H78" s="104"/>
      <c r="I78" s="104"/>
      <c r="J78" s="104"/>
      <c r="K78" s="104"/>
    </row>
    <row r="79" spans="1:11" ht="11.25" customHeight="1" x14ac:dyDescent="0.25"/>
    <row r="80" spans="1:11" ht="11.25" customHeight="1" x14ac:dyDescent="0.25">
      <c r="B80" s="25"/>
    </row>
    <row r="81" spans="2:2" ht="11.25" customHeight="1" x14ac:dyDescent="0.25">
      <c r="B81" s="25"/>
    </row>
    <row r="82" spans="2:2" ht="11.25" customHeight="1" x14ac:dyDescent="0.25">
      <c r="B82" s="25"/>
    </row>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mergeCells count="4">
    <mergeCell ref="F2:H2"/>
    <mergeCell ref="I2:K2"/>
    <mergeCell ref="B2:B4"/>
    <mergeCell ref="A2:A3"/>
  </mergeCells>
  <phoneticPr fontId="3" type="noConversion"/>
  <dataValidations xWindow="491" yWindow="324" count="1">
    <dataValidation type="list" showInputMessage="1" showErrorMessage="1" promptTitle="Guidance" prompt="Select Yes, No or 'blank'" sqref="C8:F9 I16 C16:F16 I8:I9 C49:F49 C44:F47 I49 I44:I47 G46:H46 J46:K46" xr:uid="{00000000-0002-0000-1E00-000000000000}">
      <formula1>List1</formula1>
    </dataValidation>
  </dataValidations>
  <pageMargins left="0.37" right="0.2" top="0.6" bottom="0.5" header="0.5" footer="0.5"/>
  <pageSetup paperSize="9" scale="85" orientation="portrait" blackAndWhite="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S146"/>
  <sheetViews>
    <sheetView showGridLines="0" zoomScaleNormal="100" workbookViewId="0">
      <pane xSplit="2" ySplit="2" topLeftCell="C3" activePane="bottomRight" state="frozen"/>
      <selection pane="topRight"/>
      <selection pane="bottomLeft"/>
      <selection pane="bottomRight" activeCell="S40" sqref="S40"/>
    </sheetView>
  </sheetViews>
  <sheetFormatPr defaultRowHeight="12.75" x14ac:dyDescent="0.25"/>
  <cols>
    <col min="1" max="1" width="30.7109375" style="25" customWidth="1"/>
    <col min="2" max="2" width="3" style="102" customWidth="1"/>
    <col min="3" max="18" width="8.140625" style="25" customWidth="1"/>
    <col min="19" max="19" width="9.7109375" style="25" customWidth="1"/>
    <col min="20" max="20" width="9.42578125" style="25" customWidth="1"/>
    <col min="21" max="21" width="9.7109375" style="25" customWidth="1"/>
    <col min="22" max="24" width="9.42578125" style="25" customWidth="1"/>
    <col min="25" max="25" width="9.7109375" style="25" customWidth="1"/>
    <col min="26" max="28" width="9.42578125" style="25" customWidth="1"/>
    <col min="29" max="30" width="9.7109375" style="25" customWidth="1"/>
    <col min="31" max="16384" width="9.140625" style="25"/>
  </cols>
  <sheetData>
    <row r="1" spans="1:18" ht="13.5" x14ac:dyDescent="0.25">
      <c r="A1" s="23" t="str">
        <f>muni&amp;" - "&amp;TableA12a</f>
        <v>EC101 Dr Beyers Naude - Supporting Table SA12a Property rates by category (current year)</v>
      </c>
      <c r="B1" s="23"/>
      <c r="C1" s="23"/>
      <c r="D1" s="23"/>
      <c r="E1" s="23"/>
      <c r="F1" s="23"/>
      <c r="G1" s="23"/>
      <c r="H1" s="23"/>
      <c r="I1" s="23"/>
      <c r="J1" s="23"/>
      <c r="K1" s="23"/>
      <c r="L1" s="23"/>
      <c r="M1" s="23"/>
      <c r="N1" s="23"/>
      <c r="O1" s="23"/>
      <c r="P1" s="23"/>
      <c r="Q1" s="23"/>
      <c r="R1" s="23"/>
    </row>
    <row r="2" spans="1:18" ht="38.25" x14ac:dyDescent="0.25">
      <c r="A2" s="400" t="str">
        <f>desc</f>
        <v>Description</v>
      </c>
      <c r="B2" s="401" t="str">
        <f>head27</f>
        <v>Ref</v>
      </c>
      <c r="C2" s="301" t="s">
        <v>944</v>
      </c>
      <c r="D2" s="301" t="s">
        <v>945</v>
      </c>
      <c r="E2" s="301" t="s">
        <v>946</v>
      </c>
      <c r="F2" s="301" t="s">
        <v>947</v>
      </c>
      <c r="G2" s="301" t="s">
        <v>1298</v>
      </c>
      <c r="H2" s="301" t="s">
        <v>1369</v>
      </c>
      <c r="I2" s="301" t="s">
        <v>1299</v>
      </c>
      <c r="J2" s="301" t="s">
        <v>948</v>
      </c>
      <c r="K2" s="301" t="s">
        <v>353</v>
      </c>
      <c r="L2" s="301" t="s">
        <v>949</v>
      </c>
      <c r="M2" s="301" t="s">
        <v>354</v>
      </c>
      <c r="N2" s="301" t="s">
        <v>1370</v>
      </c>
      <c r="O2" s="301" t="s">
        <v>950</v>
      </c>
      <c r="P2" s="301" t="s">
        <v>355</v>
      </c>
      <c r="Q2" s="301" t="s">
        <v>1371</v>
      </c>
      <c r="R2" s="402" t="s">
        <v>1372</v>
      </c>
    </row>
    <row r="3" spans="1:18" ht="11.25" customHeight="1" x14ac:dyDescent="0.25">
      <c r="A3" s="54" t="str">
        <f>Head2</f>
        <v>Current Year 2018/19</v>
      </c>
      <c r="B3" s="55"/>
      <c r="C3" s="403"/>
      <c r="D3" s="403"/>
      <c r="E3" s="403"/>
      <c r="F3" s="403"/>
      <c r="G3" s="403"/>
      <c r="H3" s="403"/>
      <c r="I3" s="403"/>
      <c r="J3" s="403"/>
      <c r="K3" s="403"/>
      <c r="L3" s="403"/>
      <c r="M3" s="403"/>
      <c r="N3" s="403"/>
      <c r="O3" s="403"/>
      <c r="P3" s="403"/>
      <c r="Q3" s="403"/>
      <c r="R3" s="404"/>
    </row>
    <row r="4" spans="1:18" ht="11.25" customHeight="1" x14ac:dyDescent="0.25">
      <c r="A4" s="54" t="s">
        <v>653</v>
      </c>
      <c r="B4" s="55"/>
      <c r="C4" s="403"/>
      <c r="D4" s="403"/>
      <c r="E4" s="403"/>
      <c r="F4" s="403"/>
      <c r="G4" s="403"/>
      <c r="H4" s="403"/>
      <c r="I4" s="403"/>
      <c r="J4" s="403"/>
      <c r="K4" s="403"/>
      <c r="L4" s="403"/>
      <c r="M4" s="403"/>
      <c r="N4" s="403"/>
      <c r="O4" s="403"/>
      <c r="P4" s="403"/>
      <c r="Q4" s="403"/>
      <c r="R4" s="404"/>
    </row>
    <row r="5" spans="1:18" ht="11.25" customHeight="1" x14ac:dyDescent="0.25">
      <c r="A5" s="63" t="s">
        <v>350</v>
      </c>
      <c r="B5" s="55"/>
      <c r="C5" s="1354"/>
      <c r="D5" s="1354"/>
      <c r="E5" s="1354"/>
      <c r="F5" s="1354"/>
      <c r="G5" s="1354"/>
      <c r="H5" s="1354"/>
      <c r="I5" s="1354"/>
      <c r="J5" s="1354"/>
      <c r="K5" s="1354"/>
      <c r="L5" s="1354"/>
      <c r="M5" s="1354"/>
      <c r="N5" s="1354"/>
      <c r="O5" s="1354"/>
      <c r="P5" s="1354"/>
      <c r="Q5" s="1354"/>
      <c r="R5" s="1565"/>
    </row>
    <row r="6" spans="1:18" ht="11.25" customHeight="1" x14ac:dyDescent="0.25">
      <c r="A6" s="63" t="s">
        <v>1241</v>
      </c>
      <c r="B6" s="55"/>
      <c r="C6" s="1354"/>
      <c r="D6" s="1354"/>
      <c r="E6" s="1354"/>
      <c r="F6" s="1354"/>
      <c r="G6" s="1354"/>
      <c r="H6" s="1354"/>
      <c r="I6" s="1354"/>
      <c r="J6" s="1354"/>
      <c r="K6" s="1354"/>
      <c r="L6" s="1354"/>
      <c r="M6" s="1354"/>
      <c r="N6" s="1354"/>
      <c r="O6" s="1354"/>
      <c r="P6" s="1354"/>
      <c r="Q6" s="1354"/>
      <c r="R6" s="1565"/>
    </row>
    <row r="7" spans="1:18" ht="11.25" customHeight="1" x14ac:dyDescent="0.25">
      <c r="A7" s="63" t="s">
        <v>352</v>
      </c>
      <c r="B7" s="55"/>
      <c r="C7" s="1354"/>
      <c r="D7" s="1354"/>
      <c r="E7" s="1354"/>
      <c r="F7" s="1354"/>
      <c r="G7" s="1354"/>
      <c r="H7" s="1354"/>
      <c r="I7" s="1354"/>
      <c r="J7" s="1354"/>
      <c r="K7" s="1354"/>
      <c r="L7" s="1354"/>
      <c r="M7" s="1354"/>
      <c r="N7" s="1354"/>
      <c r="O7" s="1354"/>
      <c r="P7" s="1354"/>
      <c r="Q7" s="1354"/>
      <c r="R7" s="1565"/>
    </row>
    <row r="8" spans="1:18" ht="11.25" customHeight="1" x14ac:dyDescent="0.25">
      <c r="A8" s="63" t="s">
        <v>645</v>
      </c>
      <c r="B8" s="55"/>
      <c r="C8" s="1354"/>
      <c r="D8" s="1354"/>
      <c r="E8" s="1354"/>
      <c r="F8" s="1354"/>
      <c r="G8" s="1354"/>
      <c r="H8" s="1354"/>
      <c r="I8" s="1354"/>
      <c r="J8" s="1354"/>
      <c r="K8" s="1354"/>
      <c r="L8" s="1354"/>
      <c r="M8" s="1354"/>
      <c r="N8" s="1354"/>
      <c r="O8" s="1354"/>
      <c r="P8" s="1354"/>
      <c r="Q8" s="1354"/>
      <c r="R8" s="1565"/>
    </row>
    <row r="9" spans="1:18" ht="11.25" customHeight="1" x14ac:dyDescent="0.25">
      <c r="A9" s="63" t="s">
        <v>1242</v>
      </c>
      <c r="B9" s="55"/>
      <c r="C9" s="1354"/>
      <c r="D9" s="1354"/>
      <c r="E9" s="1354"/>
      <c r="F9" s="1354"/>
      <c r="G9" s="1354"/>
      <c r="H9" s="1354"/>
      <c r="I9" s="1354"/>
      <c r="J9" s="1354"/>
      <c r="K9" s="1354"/>
      <c r="L9" s="1354"/>
      <c r="M9" s="1354"/>
      <c r="N9" s="1354"/>
      <c r="O9" s="1354"/>
      <c r="P9" s="1354"/>
      <c r="Q9" s="1354"/>
      <c r="R9" s="1565"/>
    </row>
    <row r="10" spans="1:18" ht="11.25" customHeight="1" x14ac:dyDescent="0.25">
      <c r="A10" s="63" t="s">
        <v>646</v>
      </c>
      <c r="B10" s="55"/>
      <c r="C10" s="1354"/>
      <c r="D10" s="1354"/>
      <c r="E10" s="1354"/>
      <c r="F10" s="1354"/>
      <c r="G10" s="1354"/>
      <c r="H10" s="1354"/>
      <c r="I10" s="1354"/>
      <c r="J10" s="1354"/>
      <c r="K10" s="1354"/>
      <c r="L10" s="1354"/>
      <c r="M10" s="1354"/>
      <c r="N10" s="1354"/>
      <c r="O10" s="1354"/>
      <c r="P10" s="1354"/>
      <c r="Q10" s="1354"/>
      <c r="R10" s="1565"/>
    </row>
    <row r="11" spans="1:18" ht="11.25" customHeight="1" x14ac:dyDescent="0.25">
      <c r="A11" s="63" t="s">
        <v>316</v>
      </c>
      <c r="B11" s="55"/>
      <c r="C11" s="1354"/>
      <c r="D11" s="1354"/>
      <c r="E11" s="1354"/>
      <c r="F11" s="1354"/>
      <c r="G11" s="1354"/>
      <c r="H11" s="1354"/>
      <c r="I11" s="1354"/>
      <c r="J11" s="1354"/>
      <c r="K11" s="1354"/>
      <c r="L11" s="1354"/>
      <c r="M11" s="1354"/>
      <c r="N11" s="1354"/>
      <c r="O11" s="1354"/>
      <c r="P11" s="1354"/>
      <c r="Q11" s="1354"/>
      <c r="R11" s="1565"/>
    </row>
    <row r="12" spans="1:18" ht="11.25" customHeight="1" x14ac:dyDescent="0.25">
      <c r="A12" s="63" t="s">
        <v>317</v>
      </c>
      <c r="B12" s="55"/>
      <c r="C12" s="1354"/>
      <c r="D12" s="1354"/>
      <c r="E12" s="1354"/>
      <c r="F12" s="1354"/>
      <c r="G12" s="1354"/>
      <c r="H12" s="1354"/>
      <c r="I12" s="1354"/>
      <c r="J12" s="1354"/>
      <c r="K12" s="1354"/>
      <c r="L12" s="1354"/>
      <c r="M12" s="1354"/>
      <c r="N12" s="1354"/>
      <c r="O12" s="1354"/>
      <c r="P12" s="1354"/>
      <c r="Q12" s="1354"/>
      <c r="R12" s="1565"/>
    </row>
    <row r="13" spans="1:18" ht="11.25" customHeight="1" x14ac:dyDescent="0.25">
      <c r="A13" s="63" t="s">
        <v>318</v>
      </c>
      <c r="B13" s="55"/>
      <c r="C13" s="1354"/>
      <c r="D13" s="1354"/>
      <c r="E13" s="1354"/>
      <c r="F13" s="1354"/>
      <c r="G13" s="1354"/>
      <c r="H13" s="1354"/>
      <c r="I13" s="1354"/>
      <c r="J13" s="1354"/>
      <c r="K13" s="1354"/>
      <c r="L13" s="1354"/>
      <c r="M13" s="1354"/>
      <c r="N13" s="1354"/>
      <c r="O13" s="1354"/>
      <c r="P13" s="1354"/>
      <c r="Q13" s="1354"/>
      <c r="R13" s="1565"/>
    </row>
    <row r="14" spans="1:18" ht="11.25" customHeight="1" x14ac:dyDescent="0.25">
      <c r="A14" s="63" t="s">
        <v>655</v>
      </c>
      <c r="B14" s="55">
        <v>5</v>
      </c>
      <c r="C14" s="1354"/>
      <c r="D14" s="1354"/>
      <c r="E14" s="1354"/>
      <c r="F14" s="1354"/>
      <c r="G14" s="1354"/>
      <c r="H14" s="1354"/>
      <c r="I14" s="1354"/>
      <c r="J14" s="1354"/>
      <c r="K14" s="1354"/>
      <c r="L14" s="1354"/>
      <c r="M14" s="1354"/>
      <c r="N14" s="1354"/>
      <c r="O14" s="1354"/>
      <c r="P14" s="1354"/>
      <c r="Q14" s="1354"/>
      <c r="R14" s="1565"/>
    </row>
    <row r="15" spans="1:18" ht="11.25" customHeight="1" x14ac:dyDescent="0.25">
      <c r="A15" s="63" t="s">
        <v>644</v>
      </c>
      <c r="B15" s="55">
        <v>5</v>
      </c>
      <c r="C15" s="1354"/>
      <c r="D15" s="1354"/>
      <c r="E15" s="1354"/>
      <c r="F15" s="1354"/>
      <c r="G15" s="1354"/>
      <c r="H15" s="1354"/>
      <c r="I15" s="1354"/>
      <c r="J15" s="1354"/>
      <c r="K15" s="1354"/>
      <c r="L15" s="1354"/>
      <c r="M15" s="1354"/>
      <c r="N15" s="1354"/>
      <c r="O15" s="1354"/>
      <c r="P15" s="1354"/>
      <c r="Q15" s="1354"/>
      <c r="R15" s="1565"/>
    </row>
    <row r="16" spans="1:18" ht="11.25" customHeight="1" x14ac:dyDescent="0.25">
      <c r="A16" s="63" t="s">
        <v>1243</v>
      </c>
      <c r="B16" s="55"/>
      <c r="C16" s="924"/>
      <c r="D16" s="924"/>
      <c r="E16" s="924"/>
      <c r="F16" s="924"/>
      <c r="G16" s="924"/>
      <c r="H16" s="924"/>
      <c r="I16" s="1358"/>
      <c r="J16" s="924"/>
      <c r="K16" s="924"/>
      <c r="L16" s="924"/>
      <c r="M16" s="924"/>
      <c r="N16" s="924"/>
      <c r="O16" s="924"/>
      <c r="P16" s="924"/>
      <c r="Q16" s="924"/>
      <c r="R16" s="1352"/>
    </row>
    <row r="17" spans="1:18" ht="11.25" customHeight="1" x14ac:dyDescent="0.25">
      <c r="A17" s="63" t="s">
        <v>1483</v>
      </c>
      <c r="B17" s="55"/>
      <c r="C17" s="1547"/>
      <c r="D17" s="1547"/>
      <c r="E17" s="1547"/>
      <c r="F17" s="1547"/>
      <c r="G17" s="1547"/>
      <c r="H17" s="1547"/>
      <c r="I17" s="1547"/>
      <c r="J17" s="1547"/>
      <c r="K17" s="1547"/>
      <c r="L17" s="1547"/>
      <c r="M17" s="1547"/>
      <c r="N17" s="1547"/>
      <c r="O17" s="1547"/>
      <c r="P17" s="1547"/>
      <c r="Q17" s="1547"/>
      <c r="R17" s="1548"/>
    </row>
    <row r="18" spans="1:18" ht="11.25" customHeight="1" x14ac:dyDescent="0.25">
      <c r="A18" s="63" t="s">
        <v>1484</v>
      </c>
      <c r="B18" s="55"/>
      <c r="C18" s="1547"/>
      <c r="D18" s="1608"/>
      <c r="E18" s="1608"/>
      <c r="F18" s="1608"/>
      <c r="G18" s="1608"/>
      <c r="H18" s="1608"/>
      <c r="I18" s="1608"/>
      <c r="J18" s="1608"/>
      <c r="K18" s="1608"/>
      <c r="L18" s="1608"/>
      <c r="M18" s="1608"/>
      <c r="N18" s="1608"/>
      <c r="O18" s="1608"/>
      <c r="P18" s="1608"/>
      <c r="Q18" s="1608"/>
      <c r="R18" s="1609"/>
    </row>
    <row r="19" spans="1:18" ht="11.25" customHeight="1" x14ac:dyDescent="0.25">
      <c r="A19" s="63" t="s">
        <v>1485</v>
      </c>
      <c r="B19" s="55"/>
      <c r="C19" s="1547"/>
      <c r="D19" s="1547"/>
      <c r="E19" s="1547"/>
      <c r="F19" s="1547"/>
      <c r="G19" s="1547"/>
      <c r="H19" s="1547"/>
      <c r="I19" s="1547"/>
      <c r="J19" s="1547"/>
      <c r="K19" s="1547"/>
      <c r="L19" s="1547"/>
      <c r="M19" s="1547"/>
      <c r="N19" s="1547"/>
      <c r="O19" s="1547"/>
      <c r="P19" s="1547"/>
      <c r="Q19" s="1547"/>
      <c r="R19" s="1548"/>
    </row>
    <row r="20" spans="1:18" ht="11.25" customHeight="1" x14ac:dyDescent="0.25">
      <c r="A20" s="63" t="s">
        <v>1486</v>
      </c>
      <c r="B20" s="55"/>
      <c r="C20" s="1547"/>
      <c r="D20" s="1547"/>
      <c r="E20" s="1547"/>
      <c r="F20" s="1547"/>
      <c r="G20" s="1547"/>
      <c r="H20" s="1547"/>
      <c r="I20" s="1547"/>
      <c r="J20" s="1547"/>
      <c r="K20" s="1547"/>
      <c r="L20" s="1547"/>
      <c r="M20" s="1547"/>
      <c r="N20" s="1547"/>
      <c r="O20" s="1547"/>
      <c r="P20" s="1547"/>
      <c r="Q20" s="1547"/>
      <c r="R20" s="1548"/>
    </row>
    <row r="21" spans="1:18" ht="11.25" customHeight="1" x14ac:dyDescent="0.25">
      <c r="A21" s="63" t="s">
        <v>141</v>
      </c>
      <c r="B21" s="55"/>
      <c r="C21" s="1547"/>
      <c r="D21" s="1547"/>
      <c r="E21" s="1547"/>
      <c r="F21" s="1547"/>
      <c r="G21" s="1547"/>
      <c r="H21" s="1547"/>
      <c r="I21" s="1547"/>
      <c r="J21" s="1547"/>
      <c r="K21" s="1547"/>
      <c r="L21" s="1547"/>
      <c r="M21" s="1547"/>
      <c r="N21" s="1547"/>
      <c r="O21" s="1547"/>
      <c r="P21" s="1547"/>
      <c r="Q21" s="1547"/>
      <c r="R21" s="1548"/>
    </row>
    <row r="22" spans="1:18" ht="11.25" customHeight="1" x14ac:dyDescent="0.25">
      <c r="A22" s="63" t="s">
        <v>583</v>
      </c>
      <c r="B22" s="405"/>
      <c r="C22" s="1547"/>
      <c r="D22" s="1547"/>
      <c r="E22" s="1547"/>
      <c r="F22" s="1547"/>
      <c r="G22" s="1547"/>
      <c r="H22" s="1547"/>
      <c r="I22" s="1547"/>
      <c r="J22" s="1547"/>
      <c r="K22" s="1547"/>
      <c r="L22" s="1547"/>
      <c r="M22" s="1547"/>
      <c r="N22" s="1547"/>
      <c r="O22" s="1547"/>
      <c r="P22" s="1547"/>
      <c r="Q22" s="1547"/>
      <c r="R22" s="1548"/>
    </row>
    <row r="23" spans="1:18" ht="11.25" customHeight="1" x14ac:dyDescent="0.25">
      <c r="A23" s="63" t="s">
        <v>584</v>
      </c>
      <c r="B23" s="405"/>
      <c r="C23" s="1547"/>
      <c r="D23" s="1547"/>
      <c r="E23" s="1547"/>
      <c r="F23" s="1547"/>
      <c r="G23" s="1547"/>
      <c r="H23" s="1547"/>
      <c r="I23" s="1547"/>
      <c r="J23" s="1547"/>
      <c r="K23" s="1547"/>
      <c r="L23" s="1547"/>
      <c r="M23" s="1547"/>
      <c r="N23" s="1547"/>
      <c r="O23" s="1547"/>
      <c r="P23" s="1547"/>
      <c r="Q23" s="1547"/>
      <c r="R23" s="1548"/>
    </row>
    <row r="24" spans="1:18" ht="11.25" customHeight="1" x14ac:dyDescent="0.25">
      <c r="A24" s="63" t="s">
        <v>265</v>
      </c>
      <c r="B24" s="405"/>
      <c r="C24" s="1547"/>
      <c r="D24" s="1547"/>
      <c r="E24" s="1547"/>
      <c r="F24" s="1547"/>
      <c r="G24" s="1547"/>
      <c r="H24" s="1547"/>
      <c r="I24" s="1547"/>
      <c r="J24" s="1547"/>
      <c r="K24" s="1547"/>
      <c r="L24" s="1547"/>
      <c r="M24" s="1547"/>
      <c r="N24" s="1547"/>
      <c r="O24" s="1547"/>
      <c r="P24" s="1547"/>
      <c r="Q24" s="1547"/>
      <c r="R24" s="1548"/>
    </row>
    <row r="25" spans="1:18" ht="11.25" customHeight="1" x14ac:dyDescent="0.25">
      <c r="A25" s="54" t="s">
        <v>1366</v>
      </c>
      <c r="B25" s="55"/>
      <c r="C25" s="371"/>
      <c r="D25" s="371"/>
      <c r="E25" s="371"/>
      <c r="F25" s="371"/>
      <c r="G25" s="371"/>
      <c r="H25" s="371"/>
      <c r="I25" s="371"/>
      <c r="J25" s="371"/>
      <c r="K25" s="371"/>
      <c r="L25" s="371"/>
      <c r="M25" s="371"/>
      <c r="N25" s="371"/>
      <c r="O25" s="371"/>
      <c r="P25" s="371"/>
      <c r="Q25" s="371"/>
      <c r="R25" s="374"/>
    </row>
    <row r="26" spans="1:18" ht="11.25" customHeight="1" x14ac:dyDescent="0.25">
      <c r="A26" s="63" t="s">
        <v>454</v>
      </c>
      <c r="B26" s="55"/>
      <c r="C26" s="1562"/>
      <c r="D26" s="1562"/>
      <c r="E26" s="1562"/>
      <c r="F26" s="1562"/>
      <c r="G26" s="1562"/>
      <c r="H26" s="1562"/>
      <c r="I26" s="1562"/>
      <c r="J26" s="1562"/>
      <c r="K26" s="1562"/>
      <c r="L26" s="1562"/>
      <c r="M26" s="1562"/>
      <c r="N26" s="1562"/>
      <c r="O26" s="1562"/>
      <c r="P26" s="1562"/>
      <c r="Q26" s="1562"/>
      <c r="R26" s="1566"/>
    </row>
    <row r="27" spans="1:18" ht="11.25" customHeight="1" x14ac:dyDescent="0.25">
      <c r="A27" s="63" t="s">
        <v>455</v>
      </c>
      <c r="B27" s="55"/>
      <c r="C27" s="1562"/>
      <c r="D27" s="1562"/>
      <c r="E27" s="1562"/>
      <c r="F27" s="1562"/>
      <c r="G27" s="1562"/>
      <c r="H27" s="1562"/>
      <c r="I27" s="1562"/>
      <c r="J27" s="1562"/>
      <c r="K27" s="1562"/>
      <c r="L27" s="1562"/>
      <c r="M27" s="1562"/>
      <c r="N27" s="1562"/>
      <c r="O27" s="1562"/>
      <c r="P27" s="1562"/>
      <c r="Q27" s="1562"/>
      <c r="R27" s="1566"/>
    </row>
    <row r="28" spans="1:18" ht="11.25" customHeight="1" x14ac:dyDescent="0.25">
      <c r="A28" s="63" t="s">
        <v>456</v>
      </c>
      <c r="B28" s="55"/>
      <c r="C28" s="1562"/>
      <c r="D28" s="1562"/>
      <c r="E28" s="1562"/>
      <c r="F28" s="1562"/>
      <c r="G28" s="1562"/>
      <c r="H28" s="1562"/>
      <c r="I28" s="1562"/>
      <c r="J28" s="1562"/>
      <c r="K28" s="1562"/>
      <c r="L28" s="1562"/>
      <c r="M28" s="1562"/>
      <c r="N28" s="1562"/>
      <c r="O28" s="1562"/>
      <c r="P28" s="1562"/>
      <c r="Q28" s="1562"/>
      <c r="R28" s="1566"/>
    </row>
    <row r="29" spans="1:18" ht="11.25" customHeight="1" x14ac:dyDescent="0.25">
      <c r="A29" s="63" t="s">
        <v>457</v>
      </c>
      <c r="B29" s="55"/>
      <c r="C29" s="1562"/>
      <c r="D29" s="1562"/>
      <c r="E29" s="1562"/>
      <c r="F29" s="1562"/>
      <c r="G29" s="1562"/>
      <c r="H29" s="1562"/>
      <c r="I29" s="1562"/>
      <c r="J29" s="1562"/>
      <c r="K29" s="1562"/>
      <c r="L29" s="1562"/>
      <c r="M29" s="1562"/>
      <c r="N29" s="1562"/>
      <c r="O29" s="1562"/>
      <c r="P29" s="1562"/>
      <c r="Q29" s="1562"/>
      <c r="R29" s="1566"/>
    </row>
    <row r="30" spans="1:18" ht="11.25" customHeight="1" x14ac:dyDescent="0.25">
      <c r="A30" s="63" t="s">
        <v>458</v>
      </c>
      <c r="B30" s="55"/>
      <c r="C30" s="1562"/>
      <c r="D30" s="1562"/>
      <c r="E30" s="1562"/>
      <c r="F30" s="1562"/>
      <c r="G30" s="1562"/>
      <c r="H30" s="1562"/>
      <c r="I30" s="1562"/>
      <c r="J30" s="1562"/>
      <c r="K30" s="1562"/>
      <c r="L30" s="1562"/>
      <c r="M30" s="1562"/>
      <c r="N30" s="1562"/>
      <c r="O30" s="1562"/>
      <c r="P30" s="1562"/>
      <c r="Q30" s="1562"/>
      <c r="R30" s="1566"/>
    </row>
    <row r="31" spans="1:18" ht="11.25" customHeight="1" x14ac:dyDescent="0.25">
      <c r="A31" s="63" t="s">
        <v>459</v>
      </c>
      <c r="B31" s="405">
        <v>2</v>
      </c>
      <c r="C31" s="1562"/>
      <c r="D31" s="1562"/>
      <c r="E31" s="1562"/>
      <c r="F31" s="1562"/>
      <c r="G31" s="1562"/>
      <c r="H31" s="1562"/>
      <c r="I31" s="1562"/>
      <c r="J31" s="1562"/>
      <c r="K31" s="1562"/>
      <c r="L31" s="1562"/>
      <c r="M31" s="1562"/>
      <c r="N31" s="1562"/>
      <c r="O31" s="1562"/>
      <c r="P31" s="1562"/>
      <c r="Q31" s="1562"/>
      <c r="R31" s="1566"/>
    </row>
    <row r="32" spans="1:18" ht="11.25" customHeight="1" x14ac:dyDescent="0.25">
      <c r="A32" s="118" t="s">
        <v>1367</v>
      </c>
      <c r="B32" s="55"/>
      <c r="C32" s="406"/>
      <c r="D32" s="406"/>
      <c r="E32" s="406"/>
      <c r="F32" s="406"/>
      <c r="G32" s="406"/>
      <c r="H32" s="406"/>
      <c r="I32" s="406"/>
      <c r="J32" s="406"/>
      <c r="K32" s="406"/>
      <c r="L32" s="406"/>
      <c r="M32" s="406"/>
      <c r="N32" s="406"/>
      <c r="O32" s="406"/>
      <c r="P32" s="406"/>
      <c r="Q32" s="406"/>
      <c r="R32" s="407"/>
    </row>
    <row r="33" spans="1:19" ht="15.75" customHeight="1" x14ac:dyDescent="0.25">
      <c r="A33" s="63" t="s">
        <v>1292</v>
      </c>
      <c r="B33" s="55">
        <v>6</v>
      </c>
      <c r="C33" s="1568"/>
      <c r="D33" s="1568"/>
      <c r="E33" s="1568"/>
      <c r="F33" s="1568"/>
      <c r="G33" s="1568"/>
      <c r="H33" s="1568"/>
      <c r="I33" s="1568"/>
      <c r="J33" s="1568"/>
      <c r="K33" s="1568"/>
      <c r="L33" s="1568"/>
      <c r="M33" s="1568"/>
      <c r="N33" s="1568"/>
      <c r="O33" s="1568"/>
      <c r="P33" s="1568"/>
      <c r="Q33" s="1568"/>
      <c r="R33" s="1571"/>
    </row>
    <row r="34" spans="1:19" ht="11.25" customHeight="1" x14ac:dyDescent="0.25">
      <c r="A34" s="63" t="s">
        <v>1293</v>
      </c>
      <c r="B34" s="55">
        <v>6</v>
      </c>
      <c r="C34" s="1568"/>
      <c r="D34" s="1568"/>
      <c r="E34" s="1568"/>
      <c r="F34" s="1568"/>
      <c r="G34" s="1568"/>
      <c r="H34" s="1568"/>
      <c r="I34" s="1568"/>
      <c r="J34" s="1568"/>
      <c r="K34" s="1568"/>
      <c r="L34" s="1568"/>
      <c r="M34" s="1568"/>
      <c r="N34" s="1568"/>
      <c r="O34" s="1568"/>
      <c r="P34" s="1568"/>
      <c r="Q34" s="1568"/>
      <c r="R34" s="1571"/>
    </row>
    <row r="35" spans="1:19" ht="11.25" customHeight="1" x14ac:dyDescent="0.25">
      <c r="A35" s="63" t="s">
        <v>1294</v>
      </c>
      <c r="B35" s="55">
        <v>6</v>
      </c>
      <c r="C35" s="1568"/>
      <c r="D35" s="1568"/>
      <c r="E35" s="1568"/>
      <c r="F35" s="1568"/>
      <c r="G35" s="1568"/>
      <c r="H35" s="1568"/>
      <c r="I35" s="1568"/>
      <c r="J35" s="1568"/>
      <c r="K35" s="1568"/>
      <c r="L35" s="1568"/>
      <c r="M35" s="1568"/>
      <c r="N35" s="1568"/>
      <c r="O35" s="1568"/>
      <c r="P35" s="1568"/>
      <c r="Q35" s="1568"/>
      <c r="R35" s="1571"/>
    </row>
    <row r="36" spans="1:19" ht="11.25" customHeight="1" x14ac:dyDescent="0.25">
      <c r="A36" s="63" t="s">
        <v>1295</v>
      </c>
      <c r="B36" s="55">
        <v>6</v>
      </c>
      <c r="C36" s="1573"/>
      <c r="D36" s="1573"/>
      <c r="E36" s="1573"/>
      <c r="F36" s="1573"/>
      <c r="G36" s="1573"/>
      <c r="H36" s="1573"/>
      <c r="I36" s="1573"/>
      <c r="J36" s="1573"/>
      <c r="K36" s="1573"/>
      <c r="L36" s="1573"/>
      <c r="M36" s="1573"/>
      <c r="N36" s="1573"/>
      <c r="O36" s="1573"/>
      <c r="P36" s="1573"/>
      <c r="Q36" s="1573"/>
      <c r="R36" s="1610"/>
    </row>
    <row r="37" spans="1:19" ht="15.75" customHeight="1" x14ac:dyDescent="0.25">
      <c r="A37" s="382" t="s">
        <v>1368</v>
      </c>
      <c r="B37" s="408"/>
      <c r="C37" s="409"/>
      <c r="D37" s="409"/>
      <c r="E37" s="409"/>
      <c r="F37" s="409"/>
      <c r="G37" s="409"/>
      <c r="H37" s="409"/>
      <c r="I37" s="409"/>
      <c r="J37" s="409"/>
      <c r="K37" s="409"/>
      <c r="L37" s="409"/>
      <c r="M37" s="409"/>
      <c r="N37" s="409"/>
      <c r="O37" s="409"/>
      <c r="P37" s="409"/>
      <c r="Q37" s="409"/>
      <c r="R37" s="410"/>
    </row>
    <row r="38" spans="1:19" ht="11.25" customHeight="1" x14ac:dyDescent="0.25">
      <c r="A38" s="63" t="s">
        <v>264</v>
      </c>
      <c r="B38" s="405">
        <v>3</v>
      </c>
      <c r="C38" s="1611"/>
      <c r="D38" s="1611"/>
      <c r="E38" s="1611"/>
      <c r="F38" s="1611"/>
      <c r="G38" s="1611"/>
      <c r="H38" s="1611"/>
      <c r="I38" s="1611"/>
      <c r="J38" s="1611"/>
      <c r="K38" s="1611"/>
      <c r="L38" s="1611"/>
      <c r="M38" s="1611"/>
      <c r="N38" s="1611"/>
      <c r="O38" s="1611"/>
      <c r="P38" s="1611"/>
      <c r="Q38" s="1611"/>
      <c r="R38" s="1612"/>
    </row>
    <row r="39" spans="1:19" ht="11.25" customHeight="1" x14ac:dyDescent="0.25">
      <c r="A39" s="63" t="s">
        <v>1296</v>
      </c>
      <c r="B39" s="405"/>
      <c r="C39" s="1316"/>
      <c r="D39" s="1316"/>
      <c r="E39" s="1316"/>
      <c r="F39" s="1316"/>
      <c r="G39" s="1316"/>
      <c r="H39" s="1316"/>
      <c r="I39" s="1316"/>
      <c r="J39" s="1316"/>
      <c r="K39" s="1316"/>
      <c r="L39" s="1316"/>
      <c r="M39" s="1316"/>
      <c r="N39" s="1316"/>
      <c r="O39" s="1316"/>
      <c r="P39" s="1316"/>
      <c r="Q39" s="1316"/>
      <c r="R39" s="1319"/>
      <c r="S39" s="411">
        <f>SUM(C39:R39)</f>
        <v>0</v>
      </c>
    </row>
    <row r="40" spans="1:19" ht="11.25" customHeight="1" x14ac:dyDescent="0.25">
      <c r="A40" s="63" t="s">
        <v>1297</v>
      </c>
      <c r="B40" s="405"/>
      <c r="C40" s="1316"/>
      <c r="D40" s="1316"/>
      <c r="E40" s="1316"/>
      <c r="F40" s="1316"/>
      <c r="G40" s="1316"/>
      <c r="H40" s="1316"/>
      <c r="I40" s="1316"/>
      <c r="J40" s="1316"/>
      <c r="K40" s="1316"/>
      <c r="L40" s="1316"/>
      <c r="M40" s="1316"/>
      <c r="N40" s="1316"/>
      <c r="O40" s="1316"/>
      <c r="P40" s="1316"/>
      <c r="Q40" s="1316"/>
      <c r="R40" s="1319"/>
      <c r="S40" s="411">
        <f>SUM(C40:R40)</f>
        <v>0</v>
      </c>
    </row>
    <row r="41" spans="1:19" ht="11.25" customHeight="1" x14ac:dyDescent="0.25">
      <c r="A41" s="63" t="s">
        <v>1404</v>
      </c>
      <c r="B41" s="405">
        <v>4</v>
      </c>
      <c r="C41" s="1587"/>
      <c r="D41" s="1587"/>
      <c r="E41" s="1587"/>
      <c r="F41" s="1587"/>
      <c r="G41" s="1587"/>
      <c r="H41" s="1587"/>
      <c r="I41" s="1587"/>
      <c r="J41" s="1587"/>
      <c r="K41" s="1587"/>
      <c r="L41" s="1587"/>
      <c r="M41" s="1587"/>
      <c r="N41" s="1587"/>
      <c r="O41" s="1587"/>
      <c r="P41" s="1587"/>
      <c r="Q41" s="1587"/>
      <c r="R41" s="1590"/>
    </row>
    <row r="42" spans="1:19" ht="11.25" customHeight="1" x14ac:dyDescent="0.25">
      <c r="A42" s="63" t="s">
        <v>1332</v>
      </c>
      <c r="B42" s="405"/>
      <c r="C42" s="1329"/>
      <c r="D42" s="1329"/>
      <c r="E42" s="1329"/>
      <c r="F42" s="1329"/>
      <c r="G42" s="1329"/>
      <c r="H42" s="1329"/>
      <c r="I42" s="1329"/>
      <c r="J42" s="1329"/>
      <c r="K42" s="1329"/>
      <c r="L42" s="1329"/>
      <c r="M42" s="1329"/>
      <c r="N42" s="1329"/>
      <c r="O42" s="1329"/>
      <c r="P42" s="1329"/>
      <c r="Q42" s="1329"/>
      <c r="R42" s="1330"/>
    </row>
    <row r="43" spans="1:19" ht="15.75" customHeight="1" x14ac:dyDescent="0.25">
      <c r="A43" s="63" t="s">
        <v>357</v>
      </c>
      <c r="B43" s="405"/>
      <c r="C43" s="1613"/>
      <c r="D43" s="1613"/>
      <c r="E43" s="1613"/>
      <c r="F43" s="1613"/>
      <c r="G43" s="1613"/>
      <c r="H43" s="1613"/>
      <c r="I43" s="1613"/>
      <c r="J43" s="1613"/>
      <c r="K43" s="1613"/>
      <c r="L43" s="1613"/>
      <c r="M43" s="1613"/>
      <c r="N43" s="1613"/>
      <c r="O43" s="1613"/>
      <c r="P43" s="1613"/>
      <c r="Q43" s="1613"/>
      <c r="R43" s="1614"/>
    </row>
    <row r="44" spans="1:19" ht="11.25" customHeight="1" x14ac:dyDescent="0.25">
      <c r="A44" s="63" t="s">
        <v>450</v>
      </c>
      <c r="B44" s="405"/>
      <c r="C44" s="1329"/>
      <c r="D44" s="1329"/>
      <c r="E44" s="1329"/>
      <c r="F44" s="1329"/>
      <c r="G44" s="1329"/>
      <c r="H44" s="1329"/>
      <c r="I44" s="1329"/>
      <c r="J44" s="1329"/>
      <c r="K44" s="1329"/>
      <c r="L44" s="1329"/>
      <c r="M44" s="1329"/>
      <c r="N44" s="1329"/>
      <c r="O44" s="1329"/>
      <c r="P44" s="1329"/>
      <c r="Q44" s="1329"/>
      <c r="R44" s="1330"/>
    </row>
    <row r="45" spans="1:19" ht="11.25" customHeight="1" x14ac:dyDescent="0.25">
      <c r="A45" s="63" t="s">
        <v>451</v>
      </c>
      <c r="B45" s="405"/>
      <c r="C45" s="1329"/>
      <c r="D45" s="1329"/>
      <c r="E45" s="1329"/>
      <c r="F45" s="1329"/>
      <c r="G45" s="1329"/>
      <c r="H45" s="1329"/>
      <c r="I45" s="1329"/>
      <c r="J45" s="1329"/>
      <c r="K45" s="1329"/>
      <c r="L45" s="1329"/>
      <c r="M45" s="1329"/>
      <c r="N45" s="1329"/>
      <c r="O45" s="1329"/>
      <c r="P45" s="1329"/>
      <c r="Q45" s="1329"/>
      <c r="R45" s="1330"/>
    </row>
    <row r="46" spans="1:19" ht="11.25" customHeight="1" x14ac:dyDescent="0.25">
      <c r="A46" s="63" t="s">
        <v>452</v>
      </c>
      <c r="B46" s="405"/>
      <c r="C46" s="1329"/>
      <c r="D46" s="1329"/>
      <c r="E46" s="1329"/>
      <c r="F46" s="1329"/>
      <c r="G46" s="1329"/>
      <c r="H46" s="1329"/>
      <c r="I46" s="1329"/>
      <c r="J46" s="1329"/>
      <c r="K46" s="1329"/>
      <c r="L46" s="1329"/>
      <c r="M46" s="1329"/>
      <c r="N46" s="1329"/>
      <c r="O46" s="1329"/>
      <c r="P46" s="1329"/>
      <c r="Q46" s="1329"/>
      <c r="R46" s="1330"/>
    </row>
    <row r="47" spans="1:19" ht="11.25" customHeight="1" x14ac:dyDescent="0.25">
      <c r="A47" s="63" t="s">
        <v>1331</v>
      </c>
      <c r="B47" s="405"/>
      <c r="C47" s="1329"/>
      <c r="D47" s="1329"/>
      <c r="E47" s="1329"/>
      <c r="F47" s="1329"/>
      <c r="G47" s="1329"/>
      <c r="H47" s="1329"/>
      <c r="I47" s="1329"/>
      <c r="J47" s="1329"/>
      <c r="K47" s="1329"/>
      <c r="L47" s="1329"/>
      <c r="M47" s="1329"/>
      <c r="N47" s="1329"/>
      <c r="O47" s="1329"/>
      <c r="P47" s="1329"/>
      <c r="Q47" s="1329"/>
      <c r="R47" s="1330"/>
    </row>
    <row r="48" spans="1:19" ht="11.25" customHeight="1" x14ac:dyDescent="0.25">
      <c r="A48" s="118" t="s">
        <v>569</v>
      </c>
      <c r="B48" s="405"/>
      <c r="C48" s="412"/>
      <c r="D48" s="412"/>
      <c r="E48" s="412"/>
      <c r="F48" s="412"/>
      <c r="G48" s="412"/>
      <c r="H48" s="412"/>
      <c r="I48" s="412"/>
      <c r="J48" s="412"/>
      <c r="K48" s="412"/>
      <c r="L48" s="412"/>
      <c r="M48" s="412"/>
      <c r="N48" s="412"/>
      <c r="O48" s="412"/>
      <c r="P48" s="412"/>
      <c r="Q48" s="412"/>
      <c r="R48" s="413"/>
    </row>
    <row r="49" spans="1:18" ht="4.9000000000000004" customHeight="1" x14ac:dyDescent="0.25">
      <c r="A49" s="170"/>
      <c r="B49" s="179"/>
      <c r="C49" s="394"/>
      <c r="D49" s="394"/>
      <c r="E49" s="394"/>
      <c r="F49" s="394"/>
      <c r="G49" s="394"/>
      <c r="H49" s="394"/>
      <c r="I49" s="394"/>
      <c r="J49" s="394"/>
      <c r="K49" s="394"/>
      <c r="L49" s="394"/>
      <c r="M49" s="394"/>
      <c r="N49" s="394"/>
      <c r="O49" s="394"/>
      <c r="P49" s="394"/>
      <c r="Q49" s="394"/>
      <c r="R49" s="397"/>
    </row>
    <row r="50" spans="1:18" s="464" customFormat="1" x14ac:dyDescent="0.25">
      <c r="A50" s="101" t="str">
        <f>head27a</f>
        <v>References</v>
      </c>
      <c r="B50" s="645"/>
      <c r="C50" s="647"/>
      <c r="D50" s="647"/>
      <c r="E50" s="647"/>
      <c r="F50" s="647"/>
      <c r="G50" s="647"/>
      <c r="H50" s="647"/>
      <c r="I50" s="647"/>
      <c r="J50" s="647"/>
      <c r="K50" s="647"/>
      <c r="L50" s="647"/>
      <c r="M50" s="647"/>
      <c r="N50" s="647"/>
      <c r="O50" s="647"/>
      <c r="P50" s="647"/>
      <c r="Q50" s="647"/>
      <c r="R50" s="647"/>
    </row>
    <row r="51" spans="1:18" s="464" customFormat="1" x14ac:dyDescent="0.25">
      <c r="A51" s="105" t="s">
        <v>462</v>
      </c>
      <c r="B51" s="645"/>
      <c r="C51" s="647"/>
      <c r="D51" s="647"/>
      <c r="E51" s="647"/>
      <c r="F51" s="647"/>
      <c r="G51" s="647"/>
      <c r="H51" s="647"/>
      <c r="I51" s="647"/>
      <c r="J51" s="647"/>
      <c r="K51" s="647"/>
      <c r="L51" s="647"/>
      <c r="M51" s="647"/>
      <c r="N51" s="647"/>
      <c r="O51" s="647"/>
      <c r="P51" s="647"/>
      <c r="Q51" s="647"/>
      <c r="R51" s="647"/>
    </row>
    <row r="52" spans="1:18" s="464" customFormat="1" x14ac:dyDescent="0.25">
      <c r="A52" s="105" t="s">
        <v>463</v>
      </c>
      <c r="B52" s="645"/>
      <c r="C52" s="647"/>
      <c r="D52" s="647"/>
      <c r="E52" s="647"/>
      <c r="F52" s="647"/>
      <c r="G52" s="647"/>
      <c r="H52" s="647"/>
      <c r="I52" s="647"/>
      <c r="J52" s="647"/>
      <c r="K52" s="647"/>
      <c r="L52" s="647"/>
      <c r="M52" s="647"/>
      <c r="N52" s="647"/>
      <c r="O52" s="647"/>
      <c r="P52" s="647"/>
      <c r="Q52" s="647"/>
      <c r="R52" s="647"/>
    </row>
    <row r="53" spans="1:18" s="464" customFormat="1" x14ac:dyDescent="0.25">
      <c r="A53" s="132" t="s">
        <v>464</v>
      </c>
      <c r="B53" s="645"/>
      <c r="C53" s="647"/>
      <c r="D53" s="647"/>
      <c r="E53" s="647"/>
      <c r="F53" s="647"/>
      <c r="G53" s="647"/>
      <c r="H53" s="647"/>
      <c r="I53" s="647"/>
      <c r="J53" s="647"/>
      <c r="K53" s="647"/>
      <c r="L53" s="647"/>
      <c r="M53" s="647"/>
      <c r="N53" s="647"/>
      <c r="O53" s="647"/>
      <c r="P53" s="647"/>
      <c r="Q53" s="647"/>
      <c r="R53" s="647"/>
    </row>
    <row r="54" spans="1:18" s="464" customFormat="1" x14ac:dyDescent="0.25">
      <c r="A54" s="105" t="s">
        <v>465</v>
      </c>
      <c r="B54" s="645"/>
      <c r="C54" s="647"/>
      <c r="D54" s="647"/>
      <c r="E54" s="647"/>
      <c r="F54" s="647"/>
      <c r="G54" s="647"/>
      <c r="H54" s="647"/>
      <c r="I54" s="647"/>
      <c r="J54" s="647"/>
      <c r="K54" s="647"/>
      <c r="L54" s="647"/>
      <c r="M54" s="647"/>
      <c r="N54" s="647"/>
      <c r="O54" s="647"/>
      <c r="P54" s="647"/>
      <c r="Q54" s="647"/>
      <c r="R54" s="647"/>
    </row>
    <row r="55" spans="1:18" s="464" customFormat="1" x14ac:dyDescent="0.25">
      <c r="A55" s="132" t="s">
        <v>1422</v>
      </c>
      <c r="B55" s="645"/>
      <c r="C55" s="647"/>
      <c r="D55" s="647"/>
      <c r="E55" s="647"/>
      <c r="F55" s="647"/>
      <c r="G55" s="647"/>
      <c r="H55" s="647"/>
      <c r="I55" s="647"/>
      <c r="J55" s="647"/>
      <c r="K55" s="647"/>
      <c r="L55" s="647"/>
      <c r="M55" s="647"/>
      <c r="N55" s="647"/>
      <c r="O55" s="647"/>
      <c r="P55" s="647"/>
      <c r="Q55" s="647"/>
      <c r="R55" s="647"/>
    </row>
    <row r="56" spans="1:18" s="464" customFormat="1" x14ac:dyDescent="0.25">
      <c r="A56" s="132" t="s">
        <v>1424</v>
      </c>
      <c r="B56" s="645"/>
      <c r="C56" s="647"/>
      <c r="D56" s="647"/>
      <c r="E56" s="647"/>
      <c r="F56" s="647"/>
      <c r="G56" s="647"/>
      <c r="H56" s="647"/>
      <c r="I56" s="647"/>
      <c r="J56" s="647"/>
      <c r="K56" s="647"/>
      <c r="L56" s="647"/>
      <c r="M56" s="647"/>
      <c r="N56" s="647"/>
      <c r="O56" s="647"/>
      <c r="P56" s="647"/>
      <c r="Q56" s="647"/>
      <c r="R56" s="647"/>
    </row>
    <row r="57" spans="1:18" ht="15.75" customHeight="1" x14ac:dyDescent="0.25">
      <c r="A57" s="591"/>
      <c r="B57" s="591"/>
      <c r="C57" s="591"/>
      <c r="D57" s="591"/>
      <c r="E57" s="591"/>
      <c r="F57" s="591"/>
      <c r="G57" s="591"/>
      <c r="H57" s="591"/>
      <c r="I57" s="591"/>
      <c r="J57" s="591"/>
      <c r="K57" s="591"/>
      <c r="L57" s="591"/>
      <c r="M57" s="591"/>
      <c r="N57" s="591"/>
      <c r="O57" s="591"/>
      <c r="P57" s="591"/>
      <c r="Q57" s="591"/>
      <c r="R57" s="591"/>
    </row>
    <row r="58" spans="1:18" ht="38.25" customHeight="1" x14ac:dyDescent="0.25">
      <c r="A58" s="1099"/>
      <c r="B58" s="1099"/>
      <c r="C58" s="1100"/>
      <c r="D58" s="1100"/>
      <c r="E58" s="1100"/>
      <c r="F58" s="1100"/>
      <c r="G58" s="1100"/>
      <c r="H58" s="1100"/>
      <c r="I58" s="1100"/>
      <c r="J58" s="1100"/>
      <c r="K58" s="1100"/>
      <c r="L58" s="1100"/>
      <c r="M58" s="1100"/>
      <c r="N58" s="1100"/>
      <c r="O58" s="1100"/>
      <c r="P58" s="1100"/>
      <c r="Q58" s="1100"/>
      <c r="R58" s="1100"/>
    </row>
    <row r="59" spans="1:18" ht="11.25" customHeight="1" x14ac:dyDescent="0.25">
      <c r="A59" s="364"/>
      <c r="C59" s="104"/>
      <c r="D59" s="104"/>
      <c r="E59" s="104"/>
      <c r="F59" s="104"/>
      <c r="G59" s="104"/>
      <c r="H59" s="104"/>
      <c r="I59" s="104"/>
      <c r="J59" s="104"/>
      <c r="K59" s="104"/>
      <c r="L59" s="104"/>
      <c r="M59" s="104"/>
      <c r="N59" s="104"/>
      <c r="O59" s="104"/>
      <c r="P59" s="104"/>
      <c r="Q59" s="104"/>
      <c r="R59" s="104"/>
    </row>
    <row r="60" spans="1:18" ht="11.25" customHeight="1" x14ac:dyDescent="0.25">
      <c r="A60" s="364"/>
      <c r="C60" s="104"/>
      <c r="D60" s="104"/>
      <c r="E60" s="104"/>
      <c r="F60" s="104"/>
      <c r="G60" s="104"/>
      <c r="H60" s="104"/>
      <c r="I60" s="104"/>
      <c r="J60" s="104"/>
      <c r="K60" s="104"/>
      <c r="L60" s="104"/>
      <c r="M60" s="104"/>
      <c r="N60" s="104"/>
      <c r="O60" s="104"/>
      <c r="P60" s="104"/>
      <c r="Q60" s="104"/>
      <c r="R60" s="104"/>
    </row>
    <row r="61" spans="1:18" ht="11.25" customHeight="1" x14ac:dyDescent="0.25">
      <c r="A61" s="1101"/>
      <c r="C61" s="1010"/>
      <c r="D61" s="1010"/>
      <c r="E61" s="1010"/>
      <c r="F61" s="1010"/>
      <c r="G61" s="1010"/>
      <c r="H61" s="1010"/>
      <c r="I61" s="1010"/>
      <c r="J61" s="1010"/>
      <c r="K61" s="1010"/>
      <c r="L61" s="1010"/>
      <c r="M61" s="1010"/>
      <c r="N61" s="1010"/>
      <c r="O61" s="1010"/>
      <c r="P61" s="1010"/>
      <c r="Q61" s="1010"/>
      <c r="R61" s="1010"/>
    </row>
    <row r="62" spans="1:18" ht="11.25" customHeight="1" x14ac:dyDescent="0.25">
      <c r="A62" s="1101"/>
      <c r="C62" s="1010"/>
      <c r="D62" s="1010"/>
      <c r="E62" s="1010"/>
      <c r="F62" s="1010"/>
      <c r="G62" s="1010"/>
      <c r="H62" s="1010"/>
      <c r="I62" s="1010"/>
      <c r="J62" s="1010"/>
      <c r="K62" s="1010"/>
      <c r="L62" s="1010"/>
      <c r="M62" s="1010"/>
      <c r="N62" s="1010"/>
      <c r="O62" s="1010"/>
      <c r="P62" s="1010"/>
      <c r="Q62" s="1010"/>
      <c r="R62" s="1010"/>
    </row>
    <row r="63" spans="1:18" ht="11.25" customHeight="1" x14ac:dyDescent="0.25">
      <c r="A63" s="1101"/>
      <c r="C63" s="1010"/>
      <c r="D63" s="1010"/>
      <c r="E63" s="1010"/>
      <c r="F63" s="1010"/>
      <c r="G63" s="1010"/>
      <c r="H63" s="1010"/>
      <c r="I63" s="1010"/>
      <c r="J63" s="1010"/>
      <c r="K63" s="1010"/>
      <c r="L63" s="1010"/>
      <c r="M63" s="1010"/>
      <c r="N63" s="1010"/>
      <c r="O63" s="1010"/>
      <c r="P63" s="1010"/>
      <c r="Q63" s="1010"/>
      <c r="R63" s="1010"/>
    </row>
    <row r="64" spans="1:18" ht="11.25" customHeight="1" x14ac:dyDescent="0.25">
      <c r="A64" s="1101"/>
      <c r="C64" s="1010"/>
      <c r="D64" s="1010"/>
      <c r="E64" s="1010"/>
      <c r="F64" s="1010"/>
      <c r="G64" s="1010"/>
      <c r="H64" s="1010"/>
      <c r="I64" s="1010"/>
      <c r="J64" s="1010"/>
      <c r="K64" s="1010"/>
      <c r="L64" s="1010"/>
      <c r="M64" s="1010"/>
      <c r="N64" s="1010"/>
      <c r="O64" s="1010"/>
      <c r="P64" s="1010"/>
      <c r="Q64" s="1010"/>
      <c r="R64" s="1010"/>
    </row>
    <row r="65" spans="1:18" ht="11.25" customHeight="1" x14ac:dyDescent="0.25">
      <c r="A65" s="1101"/>
      <c r="C65" s="1010"/>
      <c r="D65" s="1010"/>
      <c r="E65" s="1010"/>
      <c r="F65" s="1010"/>
      <c r="G65" s="1010"/>
      <c r="H65" s="1010"/>
      <c r="I65" s="1010"/>
      <c r="J65" s="1010"/>
      <c r="K65" s="1010"/>
      <c r="L65" s="1010"/>
      <c r="M65" s="1010"/>
      <c r="N65" s="1010"/>
      <c r="O65" s="1010"/>
      <c r="P65" s="1010"/>
      <c r="Q65" s="1010"/>
      <c r="R65" s="1010"/>
    </row>
    <row r="66" spans="1:18" ht="11.25" customHeight="1" x14ac:dyDescent="0.25">
      <c r="A66" s="1101"/>
      <c r="C66" s="1010"/>
      <c r="D66" s="1010"/>
      <c r="E66" s="1010"/>
      <c r="F66" s="1010"/>
      <c r="G66" s="1010"/>
      <c r="H66" s="1010"/>
      <c r="I66" s="1010"/>
      <c r="J66" s="1010"/>
      <c r="K66" s="1010"/>
      <c r="L66" s="1010"/>
      <c r="M66" s="1010"/>
      <c r="N66" s="1010"/>
      <c r="O66" s="1010"/>
      <c r="P66" s="1010"/>
      <c r="Q66" s="1010"/>
      <c r="R66" s="1010"/>
    </row>
    <row r="67" spans="1:18" ht="11.25" customHeight="1" x14ac:dyDescent="0.25">
      <c r="A67" s="1101"/>
      <c r="C67" s="1010"/>
      <c r="D67" s="1010"/>
      <c r="E67" s="1010"/>
      <c r="F67" s="1010"/>
      <c r="G67" s="1010"/>
      <c r="H67" s="1010"/>
      <c r="I67" s="1010"/>
      <c r="J67" s="1010"/>
      <c r="K67" s="1010"/>
      <c r="L67" s="1010"/>
      <c r="M67" s="1010"/>
      <c r="N67" s="1010"/>
      <c r="O67" s="1010"/>
      <c r="P67" s="1010"/>
      <c r="Q67" s="1010"/>
      <c r="R67" s="1010"/>
    </row>
    <row r="68" spans="1:18" ht="11.25" customHeight="1" x14ac:dyDescent="0.25">
      <c r="A68" s="1101"/>
      <c r="C68" s="1010"/>
      <c r="D68" s="1010"/>
      <c r="E68" s="1010"/>
      <c r="F68" s="1010"/>
      <c r="G68" s="1010"/>
      <c r="H68" s="1010"/>
      <c r="I68" s="1010"/>
      <c r="J68" s="1010"/>
      <c r="K68" s="1010"/>
      <c r="L68" s="1010"/>
      <c r="M68" s="1010"/>
      <c r="N68" s="1010"/>
      <c r="O68" s="1010"/>
      <c r="P68" s="1010"/>
      <c r="Q68" s="1010"/>
      <c r="R68" s="1010"/>
    </row>
    <row r="69" spans="1:18" ht="11.25" customHeight="1" x14ac:dyDescent="0.25">
      <c r="A69" s="1101"/>
      <c r="C69" s="1010"/>
      <c r="D69" s="1010"/>
      <c r="E69" s="1010"/>
      <c r="F69" s="1010"/>
      <c r="G69" s="1010"/>
      <c r="H69" s="1010"/>
      <c r="I69" s="1010"/>
      <c r="J69" s="1010"/>
      <c r="K69" s="1010"/>
      <c r="L69" s="1010"/>
      <c r="M69" s="1010"/>
      <c r="N69" s="1010"/>
      <c r="O69" s="1010"/>
      <c r="P69" s="1010"/>
      <c r="Q69" s="1010"/>
      <c r="R69" s="1010"/>
    </row>
    <row r="70" spans="1:18" ht="11.25" customHeight="1" x14ac:dyDescent="0.25">
      <c r="A70" s="1101"/>
      <c r="C70" s="1010"/>
      <c r="D70" s="1010"/>
      <c r="E70" s="1010"/>
      <c r="F70" s="1010"/>
      <c r="G70" s="1010"/>
      <c r="H70" s="1010"/>
      <c r="I70" s="1010"/>
      <c r="J70" s="1010"/>
      <c r="K70" s="1010"/>
      <c r="L70" s="1010"/>
      <c r="M70" s="1010"/>
      <c r="N70" s="1010"/>
      <c r="O70" s="1010"/>
      <c r="P70" s="1010"/>
      <c r="Q70" s="1010"/>
      <c r="R70" s="1010"/>
    </row>
    <row r="71" spans="1:18" ht="11.25" customHeight="1" x14ac:dyDescent="0.25">
      <c r="A71" s="1101"/>
      <c r="C71" s="1010"/>
      <c r="D71" s="1010"/>
      <c r="E71" s="1010"/>
      <c r="F71" s="1010"/>
      <c r="G71" s="1010"/>
      <c r="H71" s="1010"/>
      <c r="I71" s="1010"/>
      <c r="J71" s="1010"/>
      <c r="K71" s="1010"/>
      <c r="L71" s="1010"/>
      <c r="M71" s="1010"/>
      <c r="N71" s="1010"/>
      <c r="O71" s="1010"/>
      <c r="P71" s="1010"/>
      <c r="Q71" s="1010"/>
      <c r="R71" s="1010"/>
    </row>
    <row r="72" spans="1:18" ht="11.25" customHeight="1" x14ac:dyDescent="0.25">
      <c r="A72" s="1101"/>
      <c r="C72" s="1105"/>
      <c r="D72" s="1105"/>
      <c r="E72" s="1105"/>
      <c r="F72" s="1105"/>
      <c r="G72" s="1105"/>
      <c r="H72" s="1105"/>
      <c r="I72" s="668"/>
      <c r="J72" s="1105"/>
      <c r="K72" s="1105"/>
      <c r="L72" s="1105"/>
      <c r="M72" s="1105"/>
      <c r="N72" s="1105"/>
      <c r="O72" s="1105"/>
      <c r="P72" s="1105"/>
      <c r="Q72" s="1105"/>
      <c r="R72" s="1105"/>
    </row>
    <row r="73" spans="1:18" ht="11.25" customHeight="1" x14ac:dyDescent="0.25">
      <c r="A73" s="1101"/>
      <c r="C73" s="645"/>
      <c r="D73" s="645"/>
      <c r="E73" s="645"/>
      <c r="F73" s="645"/>
      <c r="G73" s="645"/>
      <c r="H73" s="645"/>
      <c r="I73" s="645"/>
      <c r="J73" s="645"/>
      <c r="K73" s="645"/>
      <c r="L73" s="645"/>
      <c r="M73" s="645"/>
      <c r="N73" s="645"/>
      <c r="O73" s="645"/>
      <c r="P73" s="645"/>
      <c r="Q73" s="645"/>
      <c r="R73" s="645"/>
    </row>
    <row r="74" spans="1:18" ht="11.25" customHeight="1" x14ac:dyDescent="0.25">
      <c r="A74" s="1101"/>
      <c r="C74" s="1106"/>
      <c r="D74" s="1106"/>
      <c r="E74" s="1106"/>
      <c r="F74" s="1106"/>
      <c r="G74" s="1106"/>
      <c r="H74" s="1106"/>
      <c r="I74" s="1106"/>
      <c r="J74" s="1106"/>
      <c r="K74" s="1106"/>
      <c r="L74" s="1106"/>
      <c r="M74" s="1106"/>
      <c r="N74" s="1106"/>
      <c r="O74" s="1106"/>
      <c r="P74" s="1106"/>
      <c r="Q74" s="1106"/>
      <c r="R74" s="1106"/>
    </row>
    <row r="75" spans="1:18" ht="11.25" customHeight="1" x14ac:dyDescent="0.25">
      <c r="A75" s="1101"/>
      <c r="C75" s="645"/>
      <c r="D75" s="645"/>
      <c r="E75" s="645"/>
      <c r="F75" s="645"/>
      <c r="G75" s="645"/>
      <c r="H75" s="645"/>
      <c r="I75" s="645"/>
      <c r="J75" s="645"/>
      <c r="K75" s="645"/>
      <c r="L75" s="645"/>
      <c r="M75" s="645"/>
      <c r="N75" s="645"/>
      <c r="O75" s="645"/>
      <c r="P75" s="645"/>
      <c r="Q75" s="645"/>
      <c r="R75" s="645"/>
    </row>
    <row r="76" spans="1:18" ht="11.25" customHeight="1" x14ac:dyDescent="0.25">
      <c r="A76" s="1101"/>
      <c r="C76" s="645"/>
      <c r="D76" s="645"/>
      <c r="E76" s="645"/>
      <c r="F76" s="645"/>
      <c r="G76" s="645"/>
      <c r="H76" s="645"/>
      <c r="I76" s="645"/>
      <c r="J76" s="645"/>
      <c r="K76" s="645"/>
      <c r="L76" s="645"/>
      <c r="M76" s="645"/>
      <c r="N76" s="645"/>
      <c r="O76" s="645"/>
      <c r="P76" s="645"/>
      <c r="Q76" s="645"/>
      <c r="R76" s="645"/>
    </row>
    <row r="77" spans="1:18" ht="11.25" customHeight="1" x14ac:dyDescent="0.25">
      <c r="A77" s="1101"/>
      <c r="C77" s="645"/>
      <c r="D77" s="645"/>
      <c r="E77" s="645"/>
      <c r="F77" s="645"/>
      <c r="G77" s="645"/>
      <c r="H77" s="645"/>
      <c r="I77" s="645"/>
      <c r="J77" s="645"/>
      <c r="K77" s="645"/>
      <c r="L77" s="645"/>
      <c r="M77" s="645"/>
      <c r="N77" s="645"/>
      <c r="O77" s="645"/>
      <c r="P77" s="645"/>
      <c r="Q77" s="645"/>
      <c r="R77" s="645"/>
    </row>
    <row r="78" spans="1:18" ht="11.25" customHeight="1" x14ac:dyDescent="0.25">
      <c r="A78" s="1101"/>
      <c r="B78" s="1104"/>
      <c r="C78" s="645"/>
      <c r="D78" s="645"/>
      <c r="E78" s="645"/>
      <c r="F78" s="645"/>
      <c r="G78" s="645"/>
      <c r="H78" s="645"/>
      <c r="I78" s="645"/>
      <c r="J78" s="645"/>
      <c r="K78" s="645"/>
      <c r="L78" s="645"/>
      <c r="M78" s="645"/>
      <c r="N78" s="645"/>
      <c r="O78" s="645"/>
      <c r="P78" s="645"/>
      <c r="Q78" s="645"/>
      <c r="R78" s="645"/>
    </row>
    <row r="79" spans="1:18" ht="11.25" customHeight="1" x14ac:dyDescent="0.25">
      <c r="A79" s="1101"/>
      <c r="B79" s="1104"/>
      <c r="C79" s="645"/>
      <c r="D79" s="645"/>
      <c r="E79" s="645"/>
      <c r="F79" s="645"/>
      <c r="G79" s="645"/>
      <c r="H79" s="645"/>
      <c r="I79" s="645"/>
      <c r="J79" s="645"/>
      <c r="K79" s="645"/>
      <c r="L79" s="645"/>
      <c r="M79" s="645"/>
      <c r="N79" s="645"/>
      <c r="O79" s="645"/>
      <c r="P79" s="645"/>
      <c r="Q79" s="645"/>
      <c r="R79" s="645"/>
    </row>
    <row r="80" spans="1:18" ht="11.25" customHeight="1" x14ac:dyDescent="0.25">
      <c r="A80" s="1101"/>
      <c r="B80" s="1104"/>
      <c r="C80" s="645"/>
      <c r="D80" s="645"/>
      <c r="E80" s="645"/>
      <c r="F80" s="645"/>
      <c r="G80" s="645"/>
      <c r="H80" s="645"/>
      <c r="I80" s="645"/>
      <c r="J80" s="645"/>
      <c r="K80" s="645"/>
      <c r="L80" s="645"/>
      <c r="M80" s="645"/>
      <c r="N80" s="645"/>
      <c r="O80" s="645"/>
      <c r="P80" s="645"/>
      <c r="Q80" s="645"/>
      <c r="R80" s="645"/>
    </row>
    <row r="81" spans="1:18" ht="11.25" customHeight="1" x14ac:dyDescent="0.25">
      <c r="A81" s="364"/>
      <c r="C81" s="109"/>
      <c r="D81" s="109"/>
      <c r="E81" s="109"/>
      <c r="F81" s="109"/>
      <c r="G81" s="109"/>
      <c r="H81" s="109"/>
      <c r="I81" s="109"/>
      <c r="J81" s="109"/>
      <c r="K81" s="109"/>
      <c r="L81" s="109"/>
      <c r="M81" s="109"/>
      <c r="N81" s="109"/>
      <c r="O81" s="109"/>
      <c r="P81" s="109"/>
      <c r="Q81" s="109"/>
      <c r="R81" s="109"/>
    </row>
    <row r="82" spans="1:18" ht="11.25" customHeight="1" x14ac:dyDescent="0.25">
      <c r="A82" s="1101"/>
      <c r="C82" s="1107"/>
      <c r="D82" s="1107"/>
      <c r="E82" s="1107"/>
      <c r="F82" s="1107"/>
      <c r="G82" s="1107"/>
      <c r="H82" s="1107"/>
      <c r="I82" s="1107"/>
      <c r="J82" s="1107"/>
      <c r="K82" s="1107"/>
      <c r="L82" s="1107"/>
      <c r="M82" s="1107"/>
      <c r="N82" s="1107"/>
      <c r="O82" s="1107"/>
      <c r="P82" s="1107"/>
      <c r="Q82" s="1107"/>
      <c r="R82" s="1107"/>
    </row>
    <row r="83" spans="1:18" ht="11.25" customHeight="1" x14ac:dyDescent="0.25">
      <c r="A83" s="1101"/>
      <c r="C83" s="1107"/>
      <c r="D83" s="1107"/>
      <c r="E83" s="1107"/>
      <c r="F83" s="1107"/>
      <c r="G83" s="1107"/>
      <c r="H83" s="1107"/>
      <c r="I83" s="1107"/>
      <c r="J83" s="1107"/>
      <c r="K83" s="1107"/>
      <c r="L83" s="1107"/>
      <c r="M83" s="1107"/>
      <c r="N83" s="1107"/>
      <c r="O83" s="1107"/>
      <c r="P83" s="1107"/>
      <c r="Q83" s="1107"/>
      <c r="R83" s="1107"/>
    </row>
    <row r="84" spans="1:18" ht="11.25" customHeight="1" x14ac:dyDescent="0.25">
      <c r="A84" s="1101"/>
      <c r="C84" s="1107"/>
      <c r="D84" s="1107"/>
      <c r="E84" s="1107"/>
      <c r="F84" s="1107"/>
      <c r="G84" s="1107"/>
      <c r="H84" s="1107"/>
      <c r="I84" s="1107"/>
      <c r="J84" s="1107"/>
      <c r="K84" s="1107"/>
      <c r="L84" s="1107"/>
      <c r="M84" s="1107"/>
      <c r="N84" s="1107"/>
      <c r="O84" s="1107"/>
      <c r="P84" s="1107"/>
      <c r="Q84" s="1107"/>
      <c r="R84" s="1107"/>
    </row>
    <row r="85" spans="1:18" ht="11.25" customHeight="1" x14ac:dyDescent="0.25">
      <c r="A85" s="1101"/>
      <c r="C85" s="1107"/>
      <c r="D85" s="1107"/>
      <c r="E85" s="1107"/>
      <c r="F85" s="1107"/>
      <c r="G85" s="1107"/>
      <c r="H85" s="1107"/>
      <c r="I85" s="1107"/>
      <c r="J85" s="1107"/>
      <c r="K85" s="1107"/>
      <c r="L85" s="1107"/>
      <c r="M85" s="1107"/>
      <c r="N85" s="1107"/>
      <c r="O85" s="1107"/>
      <c r="P85" s="1107"/>
      <c r="Q85" s="1107"/>
      <c r="R85" s="1107"/>
    </row>
    <row r="86" spans="1:18" ht="11.25" customHeight="1" x14ac:dyDescent="0.25">
      <c r="A86" s="1101"/>
      <c r="C86" s="1107"/>
      <c r="D86" s="1107"/>
      <c r="E86" s="1107"/>
      <c r="F86" s="1107"/>
      <c r="G86" s="1107"/>
      <c r="H86" s="1107"/>
      <c r="I86" s="1107"/>
      <c r="J86" s="1107"/>
      <c r="K86" s="1107"/>
      <c r="L86" s="1107"/>
      <c r="M86" s="1107"/>
      <c r="N86" s="1107"/>
      <c r="O86" s="1107"/>
      <c r="P86" s="1107"/>
      <c r="Q86" s="1107"/>
      <c r="R86" s="1107"/>
    </row>
    <row r="87" spans="1:18" ht="11.25" customHeight="1" x14ac:dyDescent="0.25">
      <c r="A87" s="1101"/>
      <c r="B87" s="1104"/>
      <c r="C87" s="1107"/>
      <c r="D87" s="1107"/>
      <c r="E87" s="1107"/>
      <c r="F87" s="1107"/>
      <c r="G87" s="1107"/>
      <c r="H87" s="1107"/>
      <c r="I87" s="1107"/>
      <c r="J87" s="1107"/>
      <c r="K87" s="1107"/>
      <c r="L87" s="1107"/>
      <c r="M87" s="1107"/>
      <c r="N87" s="1107"/>
      <c r="O87" s="1107"/>
      <c r="P87" s="1107"/>
      <c r="Q87" s="1107"/>
      <c r="R87" s="1107"/>
    </row>
    <row r="88" spans="1:18" ht="11.25" customHeight="1" x14ac:dyDescent="0.25">
      <c r="A88" s="103"/>
      <c r="C88" s="1102"/>
      <c r="D88" s="1102"/>
      <c r="E88" s="1102"/>
      <c r="F88" s="1102"/>
      <c r="G88" s="1102"/>
      <c r="H88" s="1102"/>
      <c r="I88" s="1102"/>
      <c r="J88" s="1102"/>
      <c r="K88" s="1102"/>
      <c r="L88" s="1102"/>
      <c r="M88" s="1102"/>
      <c r="N88" s="1102"/>
      <c r="O88" s="1102"/>
      <c r="P88" s="1102"/>
      <c r="Q88" s="1102"/>
      <c r="R88" s="1102"/>
    </row>
    <row r="89" spans="1:18" ht="11.25" customHeight="1" x14ac:dyDescent="0.25">
      <c r="A89" s="1101"/>
      <c r="C89" s="1108"/>
      <c r="D89" s="1108"/>
      <c r="E89" s="1108"/>
      <c r="F89" s="1108"/>
      <c r="G89" s="1108"/>
      <c r="H89" s="1108"/>
      <c r="I89" s="1108"/>
      <c r="J89" s="1108"/>
      <c r="K89" s="1108"/>
      <c r="L89" s="1108"/>
      <c r="M89" s="1108"/>
      <c r="N89" s="1108"/>
      <c r="O89" s="1108"/>
      <c r="P89" s="1108"/>
      <c r="Q89" s="1108"/>
      <c r="R89" s="1108"/>
    </row>
    <row r="90" spans="1:18" ht="11.25" customHeight="1" x14ac:dyDescent="0.25">
      <c r="A90" s="1101"/>
      <c r="C90" s="1108"/>
      <c r="D90" s="1108"/>
      <c r="E90" s="1108"/>
      <c r="F90" s="1108"/>
      <c r="G90" s="1108"/>
      <c r="H90" s="1108"/>
      <c r="I90" s="1108"/>
      <c r="J90" s="1108"/>
      <c r="K90" s="1108"/>
      <c r="L90" s="1108"/>
      <c r="M90" s="1108"/>
      <c r="N90" s="1108"/>
      <c r="O90" s="1108"/>
      <c r="P90" s="1108"/>
      <c r="Q90" s="1108"/>
      <c r="R90" s="1108"/>
    </row>
    <row r="91" spans="1:18" ht="11.25" customHeight="1" x14ac:dyDescent="0.25">
      <c r="A91" s="1101"/>
      <c r="C91" s="1108"/>
      <c r="D91" s="1108"/>
      <c r="E91" s="1108"/>
      <c r="F91" s="1108"/>
      <c r="G91" s="1108"/>
      <c r="H91" s="1108"/>
      <c r="I91" s="1108"/>
      <c r="J91" s="1108"/>
      <c r="K91" s="1108"/>
      <c r="L91" s="1108"/>
      <c r="M91" s="1108"/>
      <c r="N91" s="1108"/>
      <c r="O91" s="1108"/>
      <c r="P91" s="1108"/>
      <c r="Q91" s="1108"/>
      <c r="R91" s="1108"/>
    </row>
    <row r="92" spans="1:18" ht="11.25" customHeight="1" x14ac:dyDescent="0.25">
      <c r="A92" s="1101"/>
      <c r="B92" s="1109"/>
      <c r="C92" s="1110"/>
      <c r="D92" s="1110"/>
      <c r="E92" s="1110"/>
      <c r="F92" s="1110"/>
      <c r="G92" s="1110"/>
      <c r="H92" s="1110"/>
      <c r="I92" s="1110"/>
      <c r="J92" s="1110"/>
      <c r="K92" s="1110"/>
      <c r="L92" s="1110"/>
      <c r="M92" s="1110"/>
      <c r="N92" s="1110"/>
      <c r="O92" s="1110"/>
      <c r="P92" s="1110"/>
      <c r="Q92" s="1110"/>
      <c r="R92" s="1110"/>
    </row>
    <row r="93" spans="1:18" ht="11.25" customHeight="1" x14ac:dyDescent="0.25">
      <c r="A93" s="364"/>
      <c r="B93" s="1109"/>
      <c r="C93" s="1103"/>
      <c r="D93" s="1103"/>
      <c r="E93" s="1103"/>
      <c r="F93" s="1103"/>
      <c r="G93" s="1103"/>
      <c r="H93" s="1103"/>
      <c r="I93" s="1103"/>
      <c r="J93" s="1103"/>
      <c r="K93" s="1103"/>
      <c r="L93" s="1103"/>
      <c r="M93" s="1103"/>
      <c r="N93" s="1103"/>
      <c r="O93" s="1103"/>
      <c r="P93" s="1103"/>
      <c r="Q93" s="1103"/>
      <c r="R93" s="1103"/>
    </row>
    <row r="94" spans="1:18" ht="11.25" customHeight="1" x14ac:dyDescent="0.25">
      <c r="A94" s="1101"/>
      <c r="B94" s="1104"/>
      <c r="C94" s="1111"/>
      <c r="D94" s="1111"/>
      <c r="E94" s="1111"/>
      <c r="F94" s="1111"/>
      <c r="G94" s="1111"/>
      <c r="H94" s="1111"/>
      <c r="I94" s="1111"/>
      <c r="J94" s="1111"/>
      <c r="K94" s="1111"/>
      <c r="L94" s="1111"/>
      <c r="M94" s="1111"/>
      <c r="N94" s="1111"/>
      <c r="O94" s="1111"/>
      <c r="P94" s="1111"/>
      <c r="Q94" s="1111"/>
      <c r="R94" s="1111"/>
    </row>
    <row r="95" spans="1:18" ht="11.25" customHeight="1" x14ac:dyDescent="0.25">
      <c r="A95" s="1101"/>
      <c r="B95" s="1104"/>
      <c r="C95" s="770"/>
      <c r="D95" s="770"/>
      <c r="E95" s="770"/>
      <c r="F95" s="770"/>
      <c r="G95" s="770"/>
      <c r="H95" s="770"/>
      <c r="I95" s="770"/>
      <c r="J95" s="770"/>
      <c r="K95" s="770"/>
      <c r="L95" s="770"/>
      <c r="M95" s="770"/>
      <c r="N95" s="770"/>
      <c r="O95" s="770"/>
      <c r="P95" s="770"/>
      <c r="Q95" s="770"/>
      <c r="R95" s="770"/>
    </row>
    <row r="96" spans="1:18" ht="11.25" customHeight="1" x14ac:dyDescent="0.25">
      <c r="A96" s="1101"/>
      <c r="B96" s="1104"/>
      <c r="C96" s="770"/>
      <c r="D96" s="770"/>
      <c r="E96" s="770"/>
      <c r="F96" s="770"/>
      <c r="G96" s="770"/>
      <c r="H96" s="770"/>
      <c r="I96" s="770"/>
      <c r="J96" s="770"/>
      <c r="K96" s="770"/>
      <c r="L96" s="770"/>
      <c r="M96" s="770"/>
      <c r="N96" s="770"/>
      <c r="O96" s="770"/>
      <c r="P96" s="770"/>
      <c r="Q96" s="770"/>
      <c r="R96" s="770"/>
    </row>
    <row r="97" spans="1:18" ht="11.25" customHeight="1" x14ac:dyDescent="0.25">
      <c r="A97" s="1101"/>
      <c r="B97" s="1104"/>
      <c r="C97" s="1112"/>
      <c r="D97" s="1112"/>
      <c r="E97" s="1112"/>
      <c r="F97" s="1112"/>
      <c r="G97" s="1112"/>
      <c r="H97" s="1112"/>
      <c r="I97" s="1112"/>
      <c r="J97" s="1112"/>
      <c r="K97" s="1112"/>
      <c r="L97" s="1112"/>
      <c r="M97" s="1112"/>
      <c r="N97" s="1112"/>
      <c r="O97" s="1112"/>
      <c r="P97" s="1112"/>
      <c r="Q97" s="1112"/>
      <c r="R97" s="1112"/>
    </row>
    <row r="98" spans="1:18" ht="11.25" customHeight="1" x14ac:dyDescent="0.25">
      <c r="A98" s="1101"/>
      <c r="B98" s="1104"/>
      <c r="C98" s="1113"/>
      <c r="D98" s="1113"/>
      <c r="E98" s="1113"/>
      <c r="F98" s="1113"/>
      <c r="G98" s="1113"/>
      <c r="H98" s="1113"/>
      <c r="I98" s="1113"/>
      <c r="J98" s="1113"/>
      <c r="K98" s="1113"/>
      <c r="L98" s="1113"/>
      <c r="M98" s="1113"/>
      <c r="N98" s="1113"/>
      <c r="O98" s="1113"/>
      <c r="P98" s="1113"/>
      <c r="Q98" s="1113"/>
      <c r="R98" s="1113"/>
    </row>
    <row r="99" spans="1:18" ht="11.25" customHeight="1" x14ac:dyDescent="0.25">
      <c r="A99" s="1101"/>
      <c r="B99" s="1104"/>
      <c r="C99" s="1113"/>
      <c r="D99" s="1113"/>
      <c r="E99" s="1113"/>
      <c r="F99" s="1113"/>
      <c r="G99" s="1113"/>
      <c r="H99" s="1113"/>
      <c r="I99" s="1113"/>
      <c r="J99" s="1113"/>
      <c r="K99" s="1113"/>
      <c r="L99" s="1113"/>
      <c r="M99" s="1113"/>
      <c r="N99" s="1113"/>
      <c r="O99" s="1113"/>
      <c r="P99" s="1113"/>
      <c r="Q99" s="1113"/>
      <c r="R99" s="1113"/>
    </row>
    <row r="100" spans="1:18" ht="11.25" customHeight="1" x14ac:dyDescent="0.25">
      <c r="A100" s="1101"/>
      <c r="B100" s="1104"/>
      <c r="C100" s="1113"/>
      <c r="D100" s="1113"/>
      <c r="E100" s="1113"/>
      <c r="F100" s="1113"/>
      <c r="G100" s="1113"/>
      <c r="H100" s="1113"/>
      <c r="I100" s="1113"/>
      <c r="J100" s="1113"/>
      <c r="K100" s="1113"/>
      <c r="L100" s="1113"/>
      <c r="M100" s="1113"/>
      <c r="N100" s="1113"/>
      <c r="O100" s="1113"/>
      <c r="P100" s="1113"/>
      <c r="Q100" s="1113"/>
      <c r="R100" s="1113"/>
    </row>
    <row r="101" spans="1:18" ht="11.25" customHeight="1" x14ac:dyDescent="0.25">
      <c r="A101" s="1101"/>
      <c r="B101" s="1104"/>
      <c r="C101" s="1113"/>
      <c r="D101" s="1113"/>
      <c r="E101" s="1113"/>
      <c r="F101" s="1113"/>
      <c r="G101" s="1113"/>
      <c r="H101" s="1113"/>
      <c r="I101" s="1113"/>
      <c r="J101" s="1113"/>
      <c r="K101" s="1113"/>
      <c r="L101" s="1113"/>
      <c r="M101" s="1113"/>
      <c r="N101" s="1113"/>
      <c r="O101" s="1113"/>
      <c r="P101" s="1113"/>
      <c r="Q101" s="1113"/>
      <c r="R101" s="1113"/>
    </row>
    <row r="102" spans="1:18" ht="11.25" customHeight="1" x14ac:dyDescent="0.25">
      <c r="A102" s="1101"/>
      <c r="B102" s="1104"/>
      <c r="C102" s="1113"/>
      <c r="D102" s="1113"/>
      <c r="E102" s="1113"/>
      <c r="F102" s="1113"/>
      <c r="G102" s="1113"/>
      <c r="H102" s="1113"/>
      <c r="I102" s="1113"/>
      <c r="J102" s="1113"/>
      <c r="K102" s="1113"/>
      <c r="L102" s="1113"/>
      <c r="M102" s="1113"/>
      <c r="N102" s="1113"/>
      <c r="O102" s="1113"/>
      <c r="P102" s="1113"/>
      <c r="Q102" s="1113"/>
      <c r="R102" s="1113"/>
    </row>
    <row r="103" spans="1:18" ht="11.25" customHeight="1" x14ac:dyDescent="0.25">
      <c r="A103" s="1101"/>
      <c r="B103" s="1104"/>
      <c r="C103" s="1113"/>
      <c r="D103" s="1113"/>
      <c r="E103" s="1113"/>
      <c r="F103" s="1113"/>
      <c r="G103" s="1113"/>
      <c r="H103" s="1113"/>
      <c r="I103" s="1113"/>
      <c r="J103" s="1113"/>
      <c r="K103" s="1113"/>
      <c r="L103" s="1113"/>
      <c r="M103" s="1113"/>
      <c r="N103" s="1113"/>
      <c r="O103" s="1113"/>
      <c r="P103" s="1113"/>
      <c r="Q103" s="1113"/>
      <c r="R103" s="1113"/>
    </row>
    <row r="104" spans="1:18" ht="11.25" customHeight="1" x14ac:dyDescent="0.25">
      <c r="A104" s="103"/>
      <c r="B104" s="1104"/>
      <c r="C104" s="113"/>
      <c r="D104" s="113"/>
      <c r="E104" s="113"/>
      <c r="F104" s="113"/>
      <c r="G104" s="113"/>
      <c r="H104" s="113"/>
      <c r="I104" s="113"/>
      <c r="J104" s="113"/>
      <c r="K104" s="113"/>
      <c r="L104" s="113"/>
      <c r="M104" s="113"/>
      <c r="N104" s="113"/>
      <c r="O104" s="113"/>
      <c r="P104" s="113"/>
      <c r="Q104" s="113"/>
      <c r="R104" s="113"/>
    </row>
    <row r="105" spans="1:18" ht="4.9000000000000004" customHeight="1" x14ac:dyDescent="0.25">
      <c r="C105" s="148"/>
      <c r="D105" s="148"/>
      <c r="E105" s="148"/>
      <c r="F105" s="148"/>
      <c r="G105" s="148"/>
      <c r="H105" s="148"/>
      <c r="I105" s="148"/>
      <c r="J105" s="148"/>
      <c r="K105" s="148"/>
      <c r="L105" s="148"/>
      <c r="M105" s="148"/>
      <c r="N105" s="148"/>
      <c r="O105" s="148"/>
      <c r="P105" s="148"/>
      <c r="Q105" s="148"/>
      <c r="R105" s="148"/>
    </row>
    <row r="106" spans="1:18" s="464" customFormat="1" x14ac:dyDescent="0.25">
      <c r="A106" s="101"/>
      <c r="B106" s="645"/>
      <c r="C106" s="647"/>
      <c r="D106" s="647"/>
      <c r="E106" s="647"/>
      <c r="F106" s="647"/>
      <c r="G106" s="647"/>
      <c r="H106" s="647"/>
      <c r="I106" s="647"/>
      <c r="J106" s="647"/>
      <c r="K106" s="647"/>
      <c r="L106" s="647"/>
      <c r="M106" s="647"/>
      <c r="N106" s="647"/>
      <c r="O106" s="647"/>
      <c r="P106" s="647"/>
      <c r="Q106" s="647"/>
      <c r="R106" s="647"/>
    </row>
    <row r="107" spans="1:18" s="464" customFormat="1" x14ac:dyDescent="0.25">
      <c r="A107" s="105"/>
      <c r="B107" s="645"/>
      <c r="C107" s="647"/>
      <c r="D107" s="647"/>
      <c r="E107" s="647"/>
      <c r="F107" s="647"/>
      <c r="G107" s="647"/>
      <c r="H107" s="647"/>
      <c r="I107" s="647"/>
      <c r="J107" s="647"/>
      <c r="K107" s="647"/>
      <c r="L107" s="647"/>
      <c r="M107" s="647"/>
      <c r="N107" s="647"/>
      <c r="O107" s="647"/>
      <c r="P107" s="647"/>
      <c r="Q107" s="647"/>
      <c r="R107" s="647"/>
    </row>
    <row r="108" spans="1:18" s="464" customFormat="1" x14ac:dyDescent="0.25">
      <c r="A108" s="105"/>
      <c r="B108" s="645"/>
      <c r="C108" s="647"/>
      <c r="D108" s="647"/>
      <c r="E108" s="647"/>
      <c r="F108" s="647"/>
      <c r="G108" s="647"/>
      <c r="H108" s="647"/>
      <c r="I108" s="647"/>
      <c r="J108" s="647"/>
      <c r="K108" s="647"/>
      <c r="L108" s="647"/>
      <c r="M108" s="647"/>
      <c r="N108" s="647"/>
      <c r="O108" s="647"/>
      <c r="P108" s="647"/>
      <c r="Q108" s="647"/>
      <c r="R108" s="647"/>
    </row>
    <row r="109" spans="1:18" s="464" customFormat="1" x14ac:dyDescent="0.25">
      <c r="A109" s="132"/>
      <c r="B109" s="645"/>
      <c r="C109" s="647"/>
      <c r="D109" s="647"/>
      <c r="E109" s="647"/>
      <c r="F109" s="647"/>
      <c r="G109" s="647"/>
      <c r="H109" s="647"/>
      <c r="I109" s="647"/>
      <c r="J109" s="647"/>
      <c r="K109" s="647"/>
      <c r="L109" s="647"/>
      <c r="M109" s="647"/>
      <c r="N109" s="647"/>
      <c r="O109" s="647"/>
      <c r="P109" s="647"/>
      <c r="Q109" s="647"/>
      <c r="R109" s="647"/>
    </row>
    <row r="110" spans="1:18" s="464" customFormat="1" x14ac:dyDescent="0.25">
      <c r="A110" s="105"/>
      <c r="B110" s="645"/>
      <c r="C110" s="647"/>
      <c r="D110" s="647"/>
      <c r="E110" s="647"/>
      <c r="F110" s="647"/>
      <c r="G110" s="647"/>
      <c r="H110" s="647"/>
      <c r="I110" s="647"/>
      <c r="J110" s="647"/>
      <c r="K110" s="647"/>
      <c r="L110" s="647"/>
      <c r="M110" s="647"/>
      <c r="N110" s="647"/>
      <c r="O110" s="647"/>
      <c r="P110" s="647"/>
      <c r="Q110" s="647"/>
      <c r="R110" s="647"/>
    </row>
    <row r="111" spans="1:18" x14ac:dyDescent="0.25">
      <c r="A111" s="132"/>
      <c r="C111" s="103"/>
      <c r="D111" s="103"/>
      <c r="E111" s="103"/>
      <c r="F111" s="103"/>
      <c r="G111" s="104"/>
      <c r="H111" s="104"/>
      <c r="I111" s="104"/>
      <c r="J111" s="104"/>
      <c r="K111" s="104"/>
      <c r="L111" s="104"/>
      <c r="M111" s="104"/>
      <c r="N111" s="104"/>
      <c r="O111" s="104"/>
      <c r="P111" s="104"/>
      <c r="Q111" s="104"/>
      <c r="R111" s="104"/>
    </row>
    <row r="112" spans="1:18" x14ac:dyDescent="0.25">
      <c r="A112" s="132"/>
      <c r="C112" s="103"/>
      <c r="D112" s="103"/>
      <c r="E112" s="103"/>
      <c r="F112" s="103"/>
      <c r="G112" s="104"/>
      <c r="H112" s="104"/>
      <c r="I112" s="104"/>
      <c r="J112" s="104"/>
      <c r="K112" s="104"/>
      <c r="L112" s="104"/>
      <c r="M112" s="104"/>
      <c r="N112" s="104"/>
      <c r="O112" s="104"/>
      <c r="P112" s="104"/>
      <c r="Q112" s="104"/>
      <c r="R112" s="104"/>
    </row>
    <row r="113" spans="2:2" ht="11.25" customHeight="1" x14ac:dyDescent="0.25"/>
    <row r="114" spans="2:2" ht="11.25" customHeight="1" x14ac:dyDescent="0.25">
      <c r="B114" s="25"/>
    </row>
    <row r="115" spans="2:2" ht="11.25" customHeight="1" x14ac:dyDescent="0.25">
      <c r="B115" s="25"/>
    </row>
    <row r="116" spans="2:2" ht="11.25" customHeight="1" x14ac:dyDescent="0.25">
      <c r="B116" s="25"/>
    </row>
    <row r="117" spans="2:2" ht="11.25" customHeight="1" x14ac:dyDescent="0.25"/>
    <row r="118" spans="2:2" ht="11.25" customHeight="1" x14ac:dyDescent="0.25"/>
    <row r="119" spans="2:2" ht="11.25" customHeight="1" x14ac:dyDescent="0.25"/>
    <row r="120" spans="2:2" ht="11.25" customHeight="1" x14ac:dyDescent="0.25"/>
    <row r="121" spans="2:2" ht="11.25" customHeight="1" x14ac:dyDescent="0.25"/>
    <row r="122" spans="2:2" ht="11.25" customHeight="1" x14ac:dyDescent="0.25"/>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phoneticPr fontId="3" type="noConversion"/>
  <dataValidations xWindow="281" yWindow="416" count="6">
    <dataValidation type="list" allowBlank="1" showInputMessage="1" showErrorMessage="1" promptTitle="Select" prompt="Select one" sqref="C18:R18" xr:uid="{00000000-0002-0000-1F00-000000000000}">
      <formula1>List3</formula1>
    </dataValidation>
    <dataValidation type="list" allowBlank="1" showInputMessage="1" showErrorMessage="1" promptTitle="Select" prompt="Select one" sqref="C17:R17 C73:R74" xr:uid="{00000000-0002-0000-1F00-000001000000}">
      <formula1>List2</formula1>
    </dataValidation>
    <dataValidation type="list" allowBlank="1" showInputMessage="1" showErrorMessage="1" promptTitle="Select" prompt="Select one" sqref="C19:R19 C75:R75" xr:uid="{00000000-0002-0000-1F00-000002000000}">
      <formula1>List4</formula1>
    </dataValidation>
    <dataValidation type="list" allowBlank="1" showInputMessage="1" showErrorMessage="1" promptTitle="Select" prompt="Select one" sqref="C20:R20 C76:R76" xr:uid="{00000000-0002-0000-1F00-000003000000}">
      <formula1>List5</formula1>
    </dataValidation>
    <dataValidation type="list" showInputMessage="1" showErrorMessage="1" promptTitle="Guidance" prompt="Select Yes or No" sqref="C78:R79 C22:R23" xr:uid="{00000000-0002-0000-1F00-000004000000}">
      <formula1>List6</formula1>
    </dataValidation>
    <dataValidation type="list" showInputMessage="1" showErrorMessage="1" promptTitle="Guidance" prompt="Select Uniform or Variable" sqref="C24:R24 C80:R80" xr:uid="{00000000-0002-0000-1F00-000005000000}">
      <formula1>List7</formula1>
    </dataValidation>
  </dataValidations>
  <printOptions horizontalCentered="1"/>
  <pageMargins left="0" right="0" top="0.59055118110236227" bottom="0.24" header="0.51181102362204722" footer="0.23622047244094491"/>
  <pageSetup paperSize="9" scale="80" orientation="landscape"/>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4"/>
  <dimension ref="A1:S146"/>
  <sheetViews>
    <sheetView showGridLines="0" zoomScaleNormal="100" workbookViewId="0">
      <pane xSplit="2" ySplit="2" topLeftCell="C18" activePane="bottomRight" state="frozen"/>
      <selection pane="topRight"/>
      <selection pane="bottomLeft"/>
      <selection pane="bottomRight"/>
    </sheetView>
  </sheetViews>
  <sheetFormatPr defaultRowHeight="12.75" x14ac:dyDescent="0.25"/>
  <cols>
    <col min="1" max="1" width="30.7109375" style="25" customWidth="1"/>
    <col min="2" max="2" width="3" style="102" customWidth="1"/>
    <col min="3" max="18" width="8.140625" style="25" customWidth="1"/>
    <col min="19" max="19" width="9.7109375" style="25" customWidth="1"/>
    <col min="20" max="20" width="9.42578125" style="25" customWidth="1"/>
    <col min="21" max="21" width="9.7109375" style="25" customWidth="1"/>
    <col min="22" max="24" width="9.42578125" style="25" customWidth="1"/>
    <col min="25" max="25" width="9.7109375" style="25" customWidth="1"/>
    <col min="26" max="28" width="9.42578125" style="25" customWidth="1"/>
    <col min="29" max="30" width="9.7109375" style="25" customWidth="1"/>
    <col min="31" max="16384" width="9.140625" style="25"/>
  </cols>
  <sheetData>
    <row r="1" spans="1:18" ht="13.5" x14ac:dyDescent="0.25">
      <c r="A1" s="23" t="str">
        <f>muni&amp;" - "&amp;TableA12b</f>
        <v>EC101 Dr Beyers Naude - Supporting Table SA12b Property rates by category (budget year)</v>
      </c>
      <c r="B1" s="23"/>
      <c r="C1" s="23"/>
      <c r="D1" s="23"/>
      <c r="E1" s="23"/>
      <c r="F1" s="23"/>
      <c r="G1" s="23"/>
      <c r="H1" s="23"/>
      <c r="I1" s="23"/>
      <c r="J1" s="23"/>
      <c r="K1" s="23"/>
      <c r="L1" s="23"/>
      <c r="M1" s="23"/>
      <c r="N1" s="23"/>
      <c r="O1" s="23"/>
      <c r="P1" s="23"/>
      <c r="Q1" s="23"/>
      <c r="R1" s="23"/>
    </row>
    <row r="2" spans="1:18" ht="38.25" x14ac:dyDescent="0.25">
      <c r="A2" s="400" t="str">
        <f>desc</f>
        <v>Description</v>
      </c>
      <c r="B2" s="401" t="str">
        <f>head27</f>
        <v>Ref</v>
      </c>
      <c r="C2" s="301" t="s">
        <v>944</v>
      </c>
      <c r="D2" s="301" t="s">
        <v>945</v>
      </c>
      <c r="E2" s="301" t="s">
        <v>946</v>
      </c>
      <c r="F2" s="301" t="s">
        <v>947</v>
      </c>
      <c r="G2" s="301" t="s">
        <v>1298</v>
      </c>
      <c r="H2" s="301" t="s">
        <v>1369</v>
      </c>
      <c r="I2" s="301" t="s">
        <v>1299</v>
      </c>
      <c r="J2" s="301" t="s">
        <v>948</v>
      </c>
      <c r="K2" s="301" t="s">
        <v>353</v>
      </c>
      <c r="L2" s="301" t="s">
        <v>949</v>
      </c>
      <c r="M2" s="301" t="s">
        <v>354</v>
      </c>
      <c r="N2" s="301" t="s">
        <v>1370</v>
      </c>
      <c r="O2" s="301" t="s">
        <v>950</v>
      </c>
      <c r="P2" s="301" t="s">
        <v>355</v>
      </c>
      <c r="Q2" s="301" t="s">
        <v>1371</v>
      </c>
      <c r="R2" s="402" t="s">
        <v>1372</v>
      </c>
    </row>
    <row r="3" spans="1:18" ht="11.25" customHeight="1" x14ac:dyDescent="0.25">
      <c r="A3" s="54" t="str">
        <f>Head9</f>
        <v>Budget Year 2019/20</v>
      </c>
      <c r="B3" s="55"/>
      <c r="C3" s="403"/>
      <c r="D3" s="403"/>
      <c r="E3" s="403"/>
      <c r="F3" s="403"/>
      <c r="G3" s="403"/>
      <c r="H3" s="403"/>
      <c r="I3" s="403"/>
      <c r="J3" s="403"/>
      <c r="K3" s="403"/>
      <c r="L3" s="403"/>
      <c r="M3" s="403"/>
      <c r="N3" s="403"/>
      <c r="O3" s="403"/>
      <c r="P3" s="403"/>
      <c r="Q3" s="403"/>
      <c r="R3" s="404"/>
    </row>
    <row r="4" spans="1:18" ht="11.25" customHeight="1" x14ac:dyDescent="0.25">
      <c r="A4" s="54" t="s">
        <v>653</v>
      </c>
      <c r="B4" s="55"/>
      <c r="C4" s="403"/>
      <c r="D4" s="403"/>
      <c r="E4" s="403"/>
      <c r="F4" s="403"/>
      <c r="G4" s="403"/>
      <c r="H4" s="403"/>
      <c r="I4" s="403"/>
      <c r="J4" s="403"/>
      <c r="K4" s="403"/>
      <c r="L4" s="403"/>
      <c r="M4" s="403"/>
      <c r="N4" s="403"/>
      <c r="O4" s="403"/>
      <c r="P4" s="403"/>
      <c r="Q4" s="403"/>
      <c r="R4" s="404"/>
    </row>
    <row r="5" spans="1:18" ht="11.25" customHeight="1" x14ac:dyDescent="0.25">
      <c r="A5" s="63" t="s">
        <v>350</v>
      </c>
      <c r="B5" s="55"/>
      <c r="C5" s="1354"/>
      <c r="D5" s="1354"/>
      <c r="E5" s="1354"/>
      <c r="F5" s="1354"/>
      <c r="G5" s="1354"/>
      <c r="H5" s="1354"/>
      <c r="I5" s="1354"/>
      <c r="J5" s="1354"/>
      <c r="K5" s="1354"/>
      <c r="L5" s="1354"/>
      <c r="M5" s="1354"/>
      <c r="N5" s="1354"/>
      <c r="O5" s="1354"/>
      <c r="P5" s="1354"/>
      <c r="Q5" s="1354"/>
      <c r="R5" s="1565"/>
    </row>
    <row r="6" spans="1:18" ht="11.25" customHeight="1" x14ac:dyDescent="0.25">
      <c r="A6" s="63" t="s">
        <v>1241</v>
      </c>
      <c r="B6" s="55"/>
      <c r="C6" s="1354"/>
      <c r="D6" s="1354"/>
      <c r="E6" s="1354"/>
      <c r="F6" s="1354"/>
      <c r="G6" s="1354"/>
      <c r="H6" s="1354"/>
      <c r="I6" s="1354"/>
      <c r="J6" s="1354"/>
      <c r="K6" s="1354"/>
      <c r="L6" s="1354"/>
      <c r="M6" s="1354"/>
      <c r="N6" s="1354"/>
      <c r="O6" s="1354"/>
      <c r="P6" s="1354"/>
      <c r="Q6" s="1354"/>
      <c r="R6" s="1565"/>
    </row>
    <row r="7" spans="1:18" ht="11.25" customHeight="1" x14ac:dyDescent="0.25">
      <c r="A7" s="63" t="s">
        <v>352</v>
      </c>
      <c r="B7" s="55"/>
      <c r="C7" s="1354"/>
      <c r="D7" s="1354"/>
      <c r="E7" s="1354"/>
      <c r="F7" s="1354"/>
      <c r="G7" s="1354"/>
      <c r="H7" s="1354"/>
      <c r="I7" s="1354"/>
      <c r="J7" s="1354"/>
      <c r="K7" s="1354"/>
      <c r="L7" s="1354"/>
      <c r="M7" s="1354"/>
      <c r="N7" s="1354"/>
      <c r="O7" s="1354"/>
      <c r="P7" s="1354"/>
      <c r="Q7" s="1354"/>
      <c r="R7" s="1565"/>
    </row>
    <row r="8" spans="1:18" ht="11.25" customHeight="1" x14ac:dyDescent="0.25">
      <c r="A8" s="63" t="s">
        <v>645</v>
      </c>
      <c r="B8" s="55"/>
      <c r="C8" s="1354"/>
      <c r="D8" s="1354"/>
      <c r="E8" s="1354"/>
      <c r="F8" s="1354"/>
      <c r="G8" s="1354"/>
      <c r="H8" s="1354"/>
      <c r="I8" s="1354"/>
      <c r="J8" s="1354"/>
      <c r="K8" s="1354"/>
      <c r="L8" s="1354"/>
      <c r="M8" s="1354"/>
      <c r="N8" s="1354"/>
      <c r="O8" s="1354"/>
      <c r="P8" s="1354"/>
      <c r="Q8" s="1354"/>
      <c r="R8" s="1565"/>
    </row>
    <row r="9" spans="1:18" ht="11.25" customHeight="1" x14ac:dyDescent="0.25">
      <c r="A9" s="63" t="s">
        <v>1242</v>
      </c>
      <c r="B9" s="55"/>
      <c r="C9" s="1354"/>
      <c r="D9" s="1354"/>
      <c r="E9" s="1354"/>
      <c r="F9" s="1354"/>
      <c r="G9" s="1354"/>
      <c r="H9" s="1354"/>
      <c r="I9" s="1354"/>
      <c r="J9" s="1354"/>
      <c r="K9" s="1354"/>
      <c r="L9" s="1354"/>
      <c r="M9" s="1354"/>
      <c r="N9" s="1354"/>
      <c r="O9" s="1354"/>
      <c r="P9" s="1354"/>
      <c r="Q9" s="1354"/>
      <c r="R9" s="1565"/>
    </row>
    <row r="10" spans="1:18" ht="11.25" customHeight="1" x14ac:dyDescent="0.25">
      <c r="A10" s="63" t="s">
        <v>646</v>
      </c>
      <c r="B10" s="55"/>
      <c r="C10" s="1354"/>
      <c r="D10" s="1354"/>
      <c r="E10" s="1354"/>
      <c r="F10" s="1354"/>
      <c r="G10" s="1354"/>
      <c r="H10" s="1354"/>
      <c r="I10" s="1354"/>
      <c r="J10" s="1354"/>
      <c r="K10" s="1354"/>
      <c r="L10" s="1354"/>
      <c r="M10" s="1354"/>
      <c r="N10" s="1354"/>
      <c r="O10" s="1354"/>
      <c r="P10" s="1354"/>
      <c r="Q10" s="1354"/>
      <c r="R10" s="1565"/>
    </row>
    <row r="11" spans="1:18" ht="11.25" customHeight="1" x14ac:dyDescent="0.25">
      <c r="A11" s="63" t="s">
        <v>316</v>
      </c>
      <c r="B11" s="55"/>
      <c r="C11" s="1354"/>
      <c r="D11" s="1354"/>
      <c r="E11" s="1354"/>
      <c r="F11" s="1354"/>
      <c r="G11" s="1354"/>
      <c r="H11" s="1354"/>
      <c r="I11" s="1354"/>
      <c r="J11" s="1354"/>
      <c r="K11" s="1354"/>
      <c r="L11" s="1354"/>
      <c r="M11" s="1354"/>
      <c r="N11" s="1354"/>
      <c r="O11" s="1354"/>
      <c r="P11" s="1354"/>
      <c r="Q11" s="1354"/>
      <c r="R11" s="1565"/>
    </row>
    <row r="12" spans="1:18" ht="11.25" customHeight="1" x14ac:dyDescent="0.25">
      <c r="A12" s="63" t="s">
        <v>317</v>
      </c>
      <c r="B12" s="55"/>
      <c r="C12" s="1354"/>
      <c r="D12" s="1354"/>
      <c r="E12" s="1354"/>
      <c r="F12" s="1354"/>
      <c r="G12" s="1354"/>
      <c r="H12" s="1354"/>
      <c r="I12" s="1354"/>
      <c r="J12" s="1354"/>
      <c r="K12" s="1354"/>
      <c r="L12" s="1354"/>
      <c r="M12" s="1354"/>
      <c r="N12" s="1354"/>
      <c r="O12" s="1354"/>
      <c r="P12" s="1354"/>
      <c r="Q12" s="1354"/>
      <c r="R12" s="1565"/>
    </row>
    <row r="13" spans="1:18" ht="11.25" customHeight="1" x14ac:dyDescent="0.25">
      <c r="A13" s="63" t="s">
        <v>318</v>
      </c>
      <c r="B13" s="55"/>
      <c r="C13" s="1354"/>
      <c r="D13" s="1354"/>
      <c r="E13" s="1354"/>
      <c r="F13" s="1354"/>
      <c r="G13" s="1354"/>
      <c r="H13" s="1354"/>
      <c r="I13" s="1354"/>
      <c r="J13" s="1354"/>
      <c r="K13" s="1354"/>
      <c r="L13" s="1354"/>
      <c r="M13" s="1354"/>
      <c r="N13" s="1354"/>
      <c r="O13" s="1354"/>
      <c r="P13" s="1354"/>
      <c r="Q13" s="1354"/>
      <c r="R13" s="1565"/>
    </row>
    <row r="14" spans="1:18" ht="11.25" customHeight="1" x14ac:dyDescent="0.25">
      <c r="A14" s="63" t="s">
        <v>655</v>
      </c>
      <c r="B14" s="55">
        <v>5</v>
      </c>
      <c r="C14" s="1354"/>
      <c r="D14" s="1354"/>
      <c r="E14" s="1354"/>
      <c r="F14" s="1354"/>
      <c r="G14" s="1354"/>
      <c r="H14" s="1354"/>
      <c r="I14" s="1354"/>
      <c r="J14" s="1354"/>
      <c r="K14" s="1354"/>
      <c r="L14" s="1354"/>
      <c r="M14" s="1354"/>
      <c r="N14" s="1354"/>
      <c r="O14" s="1354"/>
      <c r="P14" s="1354"/>
      <c r="Q14" s="1354"/>
      <c r="R14" s="1565"/>
    </row>
    <row r="15" spans="1:18" ht="11.25" customHeight="1" x14ac:dyDescent="0.25">
      <c r="A15" s="63" t="s">
        <v>644</v>
      </c>
      <c r="B15" s="55">
        <v>5</v>
      </c>
      <c r="C15" s="1354"/>
      <c r="D15" s="1354"/>
      <c r="E15" s="1354"/>
      <c r="F15" s="1354"/>
      <c r="G15" s="1354"/>
      <c r="H15" s="1354"/>
      <c r="I15" s="1354"/>
      <c r="J15" s="1354"/>
      <c r="K15" s="1354"/>
      <c r="L15" s="1354"/>
      <c r="M15" s="1354"/>
      <c r="N15" s="1354"/>
      <c r="O15" s="1354"/>
      <c r="P15" s="1354"/>
      <c r="Q15" s="1354"/>
      <c r="R15" s="1565"/>
    </row>
    <row r="16" spans="1:18" ht="11.25" customHeight="1" x14ac:dyDescent="0.25">
      <c r="A16" s="63" t="s">
        <v>1243</v>
      </c>
      <c r="B16" s="55"/>
      <c r="C16" s="924"/>
      <c r="D16" s="924"/>
      <c r="E16" s="924"/>
      <c r="F16" s="924"/>
      <c r="G16" s="924"/>
      <c r="H16" s="924"/>
      <c r="I16" s="1358"/>
      <c r="J16" s="924"/>
      <c r="K16" s="924"/>
      <c r="L16" s="924"/>
      <c r="M16" s="924"/>
      <c r="N16" s="924"/>
      <c r="O16" s="924"/>
      <c r="P16" s="924"/>
      <c r="Q16" s="924"/>
      <c r="R16" s="1352"/>
    </row>
    <row r="17" spans="1:18" ht="11.25" customHeight="1" x14ac:dyDescent="0.25">
      <c r="A17" s="63" t="s">
        <v>1483</v>
      </c>
      <c r="B17" s="55"/>
      <c r="C17" s="1547"/>
      <c r="D17" s="1547"/>
      <c r="E17" s="1547"/>
      <c r="F17" s="1547"/>
      <c r="G17" s="1547"/>
      <c r="H17" s="1547"/>
      <c r="I17" s="1547"/>
      <c r="J17" s="1547"/>
      <c r="K17" s="1547"/>
      <c r="L17" s="1547"/>
      <c r="M17" s="1547"/>
      <c r="N17" s="1547"/>
      <c r="O17" s="1547"/>
      <c r="P17" s="1547"/>
      <c r="Q17" s="1547"/>
      <c r="R17" s="1548"/>
    </row>
    <row r="18" spans="1:18" ht="11.25" customHeight="1" x14ac:dyDescent="0.25">
      <c r="A18" s="63" t="s">
        <v>1484</v>
      </c>
      <c r="B18" s="55"/>
      <c r="C18" s="1547"/>
      <c r="D18" s="1608"/>
      <c r="E18" s="1608"/>
      <c r="F18" s="1608"/>
      <c r="G18" s="1608"/>
      <c r="H18" s="1608"/>
      <c r="I18" s="1608"/>
      <c r="J18" s="1608"/>
      <c r="K18" s="1608"/>
      <c r="L18" s="1608"/>
      <c r="M18" s="1608"/>
      <c r="N18" s="1608"/>
      <c r="O18" s="1608"/>
      <c r="P18" s="1608"/>
      <c r="Q18" s="1608"/>
      <c r="R18" s="1609"/>
    </row>
    <row r="19" spans="1:18" ht="11.25" customHeight="1" x14ac:dyDescent="0.25">
      <c r="A19" s="63" t="s">
        <v>1485</v>
      </c>
      <c r="B19" s="55"/>
      <c r="C19" s="1547"/>
      <c r="D19" s="1547"/>
      <c r="E19" s="1547"/>
      <c r="F19" s="1547"/>
      <c r="G19" s="1547"/>
      <c r="H19" s="1547"/>
      <c r="I19" s="1547"/>
      <c r="J19" s="1547"/>
      <c r="K19" s="1547"/>
      <c r="L19" s="1547"/>
      <c r="M19" s="1547"/>
      <c r="N19" s="1547"/>
      <c r="O19" s="1547"/>
      <c r="P19" s="1547"/>
      <c r="Q19" s="1547"/>
      <c r="R19" s="1548"/>
    </row>
    <row r="20" spans="1:18" ht="11.25" customHeight="1" x14ac:dyDescent="0.25">
      <c r="A20" s="63" t="s">
        <v>1486</v>
      </c>
      <c r="B20" s="55"/>
      <c r="C20" s="1547"/>
      <c r="D20" s="1547"/>
      <c r="E20" s="1547"/>
      <c r="F20" s="1547"/>
      <c r="G20" s="1547"/>
      <c r="H20" s="1547"/>
      <c r="I20" s="1547"/>
      <c r="J20" s="1547"/>
      <c r="K20" s="1547"/>
      <c r="L20" s="1547"/>
      <c r="M20" s="1547"/>
      <c r="N20" s="1547"/>
      <c r="O20" s="1547"/>
      <c r="P20" s="1547"/>
      <c r="Q20" s="1547"/>
      <c r="R20" s="1548"/>
    </row>
    <row r="21" spans="1:18" ht="11.25" customHeight="1" x14ac:dyDescent="0.25">
      <c r="A21" s="63" t="s">
        <v>141</v>
      </c>
      <c r="B21" s="55"/>
      <c r="C21" s="1547"/>
      <c r="D21" s="1547"/>
      <c r="E21" s="1547"/>
      <c r="F21" s="1547"/>
      <c r="G21" s="1547"/>
      <c r="H21" s="1547"/>
      <c r="I21" s="1547"/>
      <c r="J21" s="1547"/>
      <c r="K21" s="1547"/>
      <c r="L21" s="1547"/>
      <c r="M21" s="1547"/>
      <c r="N21" s="1547"/>
      <c r="O21" s="1547"/>
      <c r="P21" s="1547"/>
      <c r="Q21" s="1547"/>
      <c r="R21" s="1548"/>
    </row>
    <row r="22" spans="1:18" ht="11.25" customHeight="1" x14ac:dyDescent="0.25">
      <c r="A22" s="63" t="s">
        <v>583</v>
      </c>
      <c r="B22" s="405"/>
      <c r="C22" s="1547"/>
      <c r="D22" s="1547"/>
      <c r="E22" s="1547"/>
      <c r="F22" s="1547"/>
      <c r="G22" s="1547"/>
      <c r="H22" s="1547"/>
      <c r="I22" s="1547"/>
      <c r="J22" s="1547"/>
      <c r="K22" s="1547"/>
      <c r="L22" s="1547"/>
      <c r="M22" s="1547"/>
      <c r="N22" s="1547"/>
      <c r="O22" s="1547"/>
      <c r="P22" s="1547"/>
      <c r="Q22" s="1547"/>
      <c r="R22" s="1548"/>
    </row>
    <row r="23" spans="1:18" ht="11.25" customHeight="1" x14ac:dyDescent="0.25">
      <c r="A23" s="63" t="s">
        <v>584</v>
      </c>
      <c r="B23" s="405"/>
      <c r="C23" s="1547"/>
      <c r="D23" s="1547"/>
      <c r="E23" s="1547"/>
      <c r="F23" s="1547"/>
      <c r="G23" s="1547"/>
      <c r="H23" s="1547"/>
      <c r="I23" s="1547"/>
      <c r="J23" s="1547"/>
      <c r="K23" s="1547"/>
      <c r="L23" s="1547"/>
      <c r="M23" s="1547"/>
      <c r="N23" s="1547"/>
      <c r="O23" s="1547"/>
      <c r="P23" s="1547"/>
      <c r="Q23" s="1547"/>
      <c r="R23" s="1548"/>
    </row>
    <row r="24" spans="1:18" ht="11.25" customHeight="1" x14ac:dyDescent="0.25">
      <c r="A24" s="63" t="s">
        <v>265</v>
      </c>
      <c r="B24" s="405"/>
      <c r="C24" s="1547"/>
      <c r="D24" s="1547"/>
      <c r="E24" s="1547"/>
      <c r="F24" s="1547"/>
      <c r="G24" s="1547"/>
      <c r="H24" s="1547"/>
      <c r="I24" s="1547"/>
      <c r="J24" s="1547"/>
      <c r="K24" s="1547"/>
      <c r="L24" s="1547"/>
      <c r="M24" s="1547"/>
      <c r="N24" s="1547"/>
      <c r="O24" s="1547"/>
      <c r="P24" s="1547"/>
      <c r="Q24" s="1547"/>
      <c r="R24" s="1548"/>
    </row>
    <row r="25" spans="1:18" ht="11.25" customHeight="1" x14ac:dyDescent="0.25">
      <c r="A25" s="54" t="s">
        <v>1366</v>
      </c>
      <c r="B25" s="55"/>
      <c r="C25" s="371"/>
      <c r="D25" s="371"/>
      <c r="E25" s="371"/>
      <c r="F25" s="371"/>
      <c r="G25" s="371"/>
      <c r="H25" s="371"/>
      <c r="I25" s="371"/>
      <c r="J25" s="371"/>
      <c r="K25" s="371"/>
      <c r="L25" s="371"/>
      <c r="M25" s="371"/>
      <c r="N25" s="371"/>
      <c r="O25" s="371"/>
      <c r="P25" s="371"/>
      <c r="Q25" s="371"/>
      <c r="R25" s="374"/>
    </row>
    <row r="26" spans="1:18" ht="11.25" customHeight="1" x14ac:dyDescent="0.25">
      <c r="A26" s="63" t="s">
        <v>454</v>
      </c>
      <c r="B26" s="55"/>
      <c r="C26" s="1562"/>
      <c r="D26" s="1562"/>
      <c r="E26" s="1562"/>
      <c r="F26" s="1562"/>
      <c r="G26" s="1562"/>
      <c r="H26" s="1562"/>
      <c r="I26" s="1562"/>
      <c r="J26" s="1562"/>
      <c r="K26" s="1562"/>
      <c r="L26" s="1562"/>
      <c r="M26" s="1562"/>
      <c r="N26" s="1562"/>
      <c r="O26" s="1562"/>
      <c r="P26" s="1562"/>
      <c r="Q26" s="1562"/>
      <c r="R26" s="1566"/>
    </row>
    <row r="27" spans="1:18" ht="11.25" customHeight="1" x14ac:dyDescent="0.25">
      <c r="A27" s="63" t="s">
        <v>455</v>
      </c>
      <c r="B27" s="55"/>
      <c r="C27" s="1562"/>
      <c r="D27" s="1562"/>
      <c r="E27" s="1562"/>
      <c r="F27" s="1562"/>
      <c r="G27" s="1562"/>
      <c r="H27" s="1562"/>
      <c r="I27" s="1562"/>
      <c r="J27" s="1562"/>
      <c r="K27" s="1562"/>
      <c r="L27" s="1562"/>
      <c r="M27" s="1562"/>
      <c r="N27" s="1562"/>
      <c r="O27" s="1562"/>
      <c r="P27" s="1562"/>
      <c r="Q27" s="1562"/>
      <c r="R27" s="1566"/>
    </row>
    <row r="28" spans="1:18" ht="11.25" customHeight="1" x14ac:dyDescent="0.25">
      <c r="A28" s="63" t="s">
        <v>456</v>
      </c>
      <c r="B28" s="55"/>
      <c r="C28" s="1562"/>
      <c r="D28" s="1562"/>
      <c r="E28" s="1562"/>
      <c r="F28" s="1562"/>
      <c r="G28" s="1562"/>
      <c r="H28" s="1562"/>
      <c r="I28" s="1562"/>
      <c r="J28" s="1562"/>
      <c r="K28" s="1562"/>
      <c r="L28" s="1562"/>
      <c r="M28" s="1562"/>
      <c r="N28" s="1562"/>
      <c r="O28" s="1562"/>
      <c r="P28" s="1562"/>
      <c r="Q28" s="1562"/>
      <c r="R28" s="1566"/>
    </row>
    <row r="29" spans="1:18" ht="11.25" customHeight="1" x14ac:dyDescent="0.25">
      <c r="A29" s="63" t="s">
        <v>457</v>
      </c>
      <c r="B29" s="55"/>
      <c r="C29" s="1562"/>
      <c r="D29" s="1562"/>
      <c r="E29" s="1562"/>
      <c r="F29" s="1562"/>
      <c r="G29" s="1562"/>
      <c r="H29" s="1562"/>
      <c r="I29" s="1562"/>
      <c r="J29" s="1562"/>
      <c r="K29" s="1562"/>
      <c r="L29" s="1562"/>
      <c r="M29" s="1562"/>
      <c r="N29" s="1562"/>
      <c r="O29" s="1562"/>
      <c r="P29" s="1562"/>
      <c r="Q29" s="1562"/>
      <c r="R29" s="1566"/>
    </row>
    <row r="30" spans="1:18" ht="11.25" customHeight="1" x14ac:dyDescent="0.25">
      <c r="A30" s="63" t="s">
        <v>458</v>
      </c>
      <c r="B30" s="55"/>
      <c r="C30" s="1562"/>
      <c r="D30" s="1562"/>
      <c r="E30" s="1562"/>
      <c r="F30" s="1562"/>
      <c r="G30" s="1562"/>
      <c r="H30" s="1562"/>
      <c r="I30" s="1562"/>
      <c r="J30" s="1562"/>
      <c r="K30" s="1562"/>
      <c r="L30" s="1562"/>
      <c r="M30" s="1562"/>
      <c r="N30" s="1562"/>
      <c r="O30" s="1562"/>
      <c r="P30" s="1562"/>
      <c r="Q30" s="1562"/>
      <c r="R30" s="1566"/>
    </row>
    <row r="31" spans="1:18" ht="11.25" customHeight="1" x14ac:dyDescent="0.25">
      <c r="A31" s="63" t="s">
        <v>459</v>
      </c>
      <c r="B31" s="405">
        <v>2</v>
      </c>
      <c r="C31" s="1562"/>
      <c r="D31" s="1562"/>
      <c r="E31" s="1562"/>
      <c r="F31" s="1562"/>
      <c r="G31" s="1562"/>
      <c r="H31" s="1562"/>
      <c r="I31" s="1562"/>
      <c r="J31" s="1562"/>
      <c r="K31" s="1562"/>
      <c r="L31" s="1562"/>
      <c r="M31" s="1562"/>
      <c r="N31" s="1562"/>
      <c r="O31" s="1562"/>
      <c r="P31" s="1562"/>
      <c r="Q31" s="1562"/>
      <c r="R31" s="1566"/>
    </row>
    <row r="32" spans="1:18" ht="11.25" customHeight="1" x14ac:dyDescent="0.25">
      <c r="A32" s="118" t="s">
        <v>1367</v>
      </c>
      <c r="B32" s="55"/>
      <c r="C32" s="406"/>
      <c r="D32" s="406"/>
      <c r="E32" s="406"/>
      <c r="F32" s="406"/>
      <c r="G32" s="406"/>
      <c r="H32" s="406"/>
      <c r="I32" s="406"/>
      <c r="J32" s="406"/>
      <c r="K32" s="406"/>
      <c r="L32" s="406"/>
      <c r="M32" s="406"/>
      <c r="N32" s="406"/>
      <c r="O32" s="406"/>
      <c r="P32" s="406"/>
      <c r="Q32" s="406"/>
      <c r="R32" s="407"/>
    </row>
    <row r="33" spans="1:19" ht="15.75" customHeight="1" x14ac:dyDescent="0.25">
      <c r="A33" s="63" t="s">
        <v>1292</v>
      </c>
      <c r="B33" s="55">
        <v>6</v>
      </c>
      <c r="C33" s="1568"/>
      <c r="D33" s="1568"/>
      <c r="E33" s="1568"/>
      <c r="F33" s="1568"/>
      <c r="G33" s="1568"/>
      <c r="H33" s="1568"/>
      <c r="I33" s="1568"/>
      <c r="J33" s="1568"/>
      <c r="K33" s="1568"/>
      <c r="L33" s="1568"/>
      <c r="M33" s="1568"/>
      <c r="N33" s="1568"/>
      <c r="O33" s="1568"/>
      <c r="P33" s="1568"/>
      <c r="Q33" s="1568"/>
      <c r="R33" s="1571"/>
    </row>
    <row r="34" spans="1:19" ht="11.25" customHeight="1" x14ac:dyDescent="0.25">
      <c r="A34" s="63" t="s">
        <v>1293</v>
      </c>
      <c r="B34" s="55">
        <v>6</v>
      </c>
      <c r="C34" s="1568"/>
      <c r="D34" s="1568"/>
      <c r="E34" s="1568"/>
      <c r="F34" s="1568"/>
      <c r="G34" s="1568"/>
      <c r="H34" s="1568"/>
      <c r="I34" s="1568"/>
      <c r="J34" s="1568"/>
      <c r="K34" s="1568"/>
      <c r="L34" s="1568"/>
      <c r="M34" s="1568"/>
      <c r="N34" s="1568"/>
      <c r="O34" s="1568"/>
      <c r="P34" s="1568"/>
      <c r="Q34" s="1568"/>
      <c r="R34" s="1571"/>
    </row>
    <row r="35" spans="1:19" ht="11.25" customHeight="1" x14ac:dyDescent="0.25">
      <c r="A35" s="63" t="s">
        <v>1294</v>
      </c>
      <c r="B35" s="55">
        <v>6</v>
      </c>
      <c r="C35" s="1568"/>
      <c r="D35" s="1568"/>
      <c r="E35" s="1568"/>
      <c r="F35" s="1568"/>
      <c r="G35" s="1568"/>
      <c r="H35" s="1568"/>
      <c r="I35" s="1568"/>
      <c r="J35" s="1568"/>
      <c r="K35" s="1568"/>
      <c r="L35" s="1568"/>
      <c r="M35" s="1568"/>
      <c r="N35" s="1568"/>
      <c r="O35" s="1568"/>
      <c r="P35" s="1568"/>
      <c r="Q35" s="1568"/>
      <c r="R35" s="1571"/>
    </row>
    <row r="36" spans="1:19" ht="11.25" customHeight="1" x14ac:dyDescent="0.25">
      <c r="A36" s="63" t="s">
        <v>1295</v>
      </c>
      <c r="B36" s="369">
        <v>6</v>
      </c>
      <c r="C36" s="1573"/>
      <c r="D36" s="1573"/>
      <c r="E36" s="1573"/>
      <c r="F36" s="1573"/>
      <c r="G36" s="1573"/>
      <c r="H36" s="1573"/>
      <c r="I36" s="1573"/>
      <c r="J36" s="1573"/>
      <c r="K36" s="1573"/>
      <c r="L36" s="1573"/>
      <c r="M36" s="1573"/>
      <c r="N36" s="1573"/>
      <c r="O36" s="1573"/>
      <c r="P36" s="1573"/>
      <c r="Q36" s="1573"/>
      <c r="R36" s="1610"/>
    </row>
    <row r="37" spans="1:19" ht="15.75" customHeight="1" x14ac:dyDescent="0.25">
      <c r="A37" s="382" t="s">
        <v>1368</v>
      </c>
      <c r="B37" s="408"/>
      <c r="C37" s="409"/>
      <c r="D37" s="409"/>
      <c r="E37" s="409"/>
      <c r="F37" s="409"/>
      <c r="G37" s="409"/>
      <c r="H37" s="409"/>
      <c r="I37" s="409"/>
      <c r="J37" s="409"/>
      <c r="K37" s="409"/>
      <c r="L37" s="409"/>
      <c r="M37" s="409"/>
      <c r="N37" s="409"/>
      <c r="O37" s="409"/>
      <c r="P37" s="409"/>
      <c r="Q37" s="409"/>
      <c r="R37" s="410"/>
    </row>
    <row r="38" spans="1:19" ht="11.25" customHeight="1" x14ac:dyDescent="0.25">
      <c r="A38" s="63" t="s">
        <v>264</v>
      </c>
      <c r="B38" s="405">
        <v>3</v>
      </c>
      <c r="C38" s="1611"/>
      <c r="D38" s="1611"/>
      <c r="E38" s="1611"/>
      <c r="F38" s="1611"/>
      <c r="G38" s="1611"/>
      <c r="H38" s="1611"/>
      <c r="I38" s="1611"/>
      <c r="J38" s="1611"/>
      <c r="K38" s="1611"/>
      <c r="L38" s="1611"/>
      <c r="M38" s="1611"/>
      <c r="N38" s="1611"/>
      <c r="O38" s="1611"/>
      <c r="P38" s="1611"/>
      <c r="Q38" s="1611"/>
      <c r="R38" s="1612"/>
    </row>
    <row r="39" spans="1:19" ht="11.25" customHeight="1" x14ac:dyDescent="0.25">
      <c r="A39" s="63" t="s">
        <v>1296</v>
      </c>
      <c r="B39" s="405"/>
      <c r="C39" s="1316"/>
      <c r="D39" s="1316"/>
      <c r="E39" s="1316"/>
      <c r="F39" s="1316"/>
      <c r="G39" s="1316"/>
      <c r="H39" s="1316"/>
      <c r="I39" s="1316"/>
      <c r="J39" s="1316"/>
      <c r="K39" s="1316"/>
      <c r="L39" s="1316"/>
      <c r="M39" s="1316"/>
      <c r="N39" s="1316"/>
      <c r="O39" s="1316"/>
      <c r="P39" s="1316"/>
      <c r="Q39" s="1316"/>
      <c r="R39" s="1319"/>
      <c r="S39" s="411">
        <f>SUM(C39:R39)</f>
        <v>0</v>
      </c>
    </row>
    <row r="40" spans="1:19" ht="11.25" customHeight="1" x14ac:dyDescent="0.25">
      <c r="A40" s="63" t="s">
        <v>1297</v>
      </c>
      <c r="B40" s="405"/>
      <c r="C40" s="1316"/>
      <c r="D40" s="1316"/>
      <c r="E40" s="1316"/>
      <c r="F40" s="1316"/>
      <c r="G40" s="1316"/>
      <c r="H40" s="1316"/>
      <c r="I40" s="1316"/>
      <c r="J40" s="1316"/>
      <c r="K40" s="1316"/>
      <c r="L40" s="1316"/>
      <c r="M40" s="1316"/>
      <c r="N40" s="1316"/>
      <c r="O40" s="1316"/>
      <c r="P40" s="1316"/>
      <c r="Q40" s="1316"/>
      <c r="R40" s="1319"/>
      <c r="S40" s="411">
        <f>SUM(C40:R40)</f>
        <v>0</v>
      </c>
    </row>
    <row r="41" spans="1:19" ht="11.25" customHeight="1" x14ac:dyDescent="0.25">
      <c r="A41" s="63" t="s">
        <v>1404</v>
      </c>
      <c r="B41" s="405">
        <v>4</v>
      </c>
      <c r="C41" s="1587"/>
      <c r="D41" s="1587"/>
      <c r="E41" s="1587"/>
      <c r="F41" s="1587"/>
      <c r="G41" s="1587"/>
      <c r="H41" s="1587"/>
      <c r="I41" s="1587"/>
      <c r="J41" s="1587"/>
      <c r="K41" s="1587"/>
      <c r="L41" s="1587"/>
      <c r="M41" s="1587"/>
      <c r="N41" s="1587"/>
      <c r="O41" s="1587"/>
      <c r="P41" s="1587"/>
      <c r="Q41" s="1587"/>
      <c r="R41" s="1590"/>
    </row>
    <row r="42" spans="1:19" ht="11.25" customHeight="1" x14ac:dyDescent="0.25">
      <c r="A42" s="63" t="s">
        <v>1332</v>
      </c>
      <c r="B42" s="405"/>
      <c r="C42" s="1329"/>
      <c r="D42" s="1329"/>
      <c r="E42" s="1329"/>
      <c r="F42" s="1329"/>
      <c r="G42" s="1329"/>
      <c r="H42" s="1329"/>
      <c r="I42" s="1329"/>
      <c r="J42" s="1329"/>
      <c r="K42" s="1329"/>
      <c r="L42" s="1329"/>
      <c r="M42" s="1329"/>
      <c r="N42" s="1329"/>
      <c r="O42" s="1329"/>
      <c r="P42" s="1329"/>
      <c r="Q42" s="1329"/>
      <c r="R42" s="1330"/>
    </row>
    <row r="43" spans="1:19" ht="15.75" customHeight="1" x14ac:dyDescent="0.25">
      <c r="A43" s="63" t="s">
        <v>357</v>
      </c>
      <c r="B43" s="405"/>
      <c r="C43" s="1613"/>
      <c r="D43" s="1613"/>
      <c r="E43" s="1613"/>
      <c r="F43" s="1613"/>
      <c r="G43" s="1613"/>
      <c r="H43" s="1613"/>
      <c r="I43" s="1613"/>
      <c r="J43" s="1613"/>
      <c r="K43" s="1613"/>
      <c r="L43" s="1613"/>
      <c r="M43" s="1613"/>
      <c r="N43" s="1613"/>
      <c r="O43" s="1613"/>
      <c r="P43" s="1613"/>
      <c r="Q43" s="1613"/>
      <c r="R43" s="1614"/>
    </row>
    <row r="44" spans="1:19" ht="11.25" customHeight="1" x14ac:dyDescent="0.25">
      <c r="A44" s="63" t="s">
        <v>450</v>
      </c>
      <c r="B44" s="405"/>
      <c r="C44" s="1329"/>
      <c r="D44" s="1329"/>
      <c r="E44" s="1329"/>
      <c r="F44" s="1329"/>
      <c r="G44" s="1329"/>
      <c r="H44" s="1329"/>
      <c r="I44" s="1329"/>
      <c r="J44" s="1329"/>
      <c r="K44" s="1329"/>
      <c r="L44" s="1329"/>
      <c r="M44" s="1329"/>
      <c r="N44" s="1329"/>
      <c r="O44" s="1329"/>
      <c r="P44" s="1329"/>
      <c r="Q44" s="1329"/>
      <c r="R44" s="1330"/>
    </row>
    <row r="45" spans="1:19" ht="11.25" customHeight="1" x14ac:dyDescent="0.25">
      <c r="A45" s="63" t="s">
        <v>451</v>
      </c>
      <c r="B45" s="405"/>
      <c r="C45" s="1329"/>
      <c r="D45" s="1329"/>
      <c r="E45" s="1329"/>
      <c r="F45" s="1329"/>
      <c r="G45" s="1329"/>
      <c r="H45" s="1329"/>
      <c r="I45" s="1329"/>
      <c r="J45" s="1329"/>
      <c r="K45" s="1329"/>
      <c r="L45" s="1329"/>
      <c r="M45" s="1329"/>
      <c r="N45" s="1329"/>
      <c r="O45" s="1329"/>
      <c r="P45" s="1329"/>
      <c r="Q45" s="1329"/>
      <c r="R45" s="1330"/>
    </row>
    <row r="46" spans="1:19" ht="11.25" customHeight="1" x14ac:dyDescent="0.25">
      <c r="A46" s="63" t="s">
        <v>452</v>
      </c>
      <c r="B46" s="405"/>
      <c r="C46" s="1329"/>
      <c r="D46" s="1329"/>
      <c r="E46" s="1329"/>
      <c r="F46" s="1329"/>
      <c r="G46" s="1329"/>
      <c r="H46" s="1329"/>
      <c r="I46" s="1329"/>
      <c r="J46" s="1329"/>
      <c r="K46" s="1329"/>
      <c r="L46" s="1329"/>
      <c r="M46" s="1329"/>
      <c r="N46" s="1329"/>
      <c r="O46" s="1329"/>
      <c r="P46" s="1329"/>
      <c r="Q46" s="1329"/>
      <c r="R46" s="1330"/>
    </row>
    <row r="47" spans="1:19" ht="11.25" customHeight="1" x14ac:dyDescent="0.25">
      <c r="A47" s="63" t="s">
        <v>1331</v>
      </c>
      <c r="B47" s="405"/>
      <c r="C47" s="1329"/>
      <c r="D47" s="1329"/>
      <c r="E47" s="1329"/>
      <c r="F47" s="1329"/>
      <c r="G47" s="1329"/>
      <c r="H47" s="1329"/>
      <c r="I47" s="1329"/>
      <c r="J47" s="1329"/>
      <c r="K47" s="1329"/>
      <c r="L47" s="1329"/>
      <c r="M47" s="1329"/>
      <c r="N47" s="1329"/>
      <c r="O47" s="1329"/>
      <c r="P47" s="1329"/>
      <c r="Q47" s="1329"/>
      <c r="R47" s="1330"/>
    </row>
    <row r="48" spans="1:19" ht="11.25" customHeight="1" x14ac:dyDescent="0.25">
      <c r="A48" s="118" t="s">
        <v>569</v>
      </c>
      <c r="B48" s="405"/>
      <c r="C48" s="412"/>
      <c r="D48" s="412"/>
      <c r="E48" s="412"/>
      <c r="F48" s="412"/>
      <c r="G48" s="412"/>
      <c r="H48" s="412"/>
      <c r="I48" s="412"/>
      <c r="J48" s="412"/>
      <c r="K48" s="412"/>
      <c r="L48" s="412"/>
      <c r="M48" s="412"/>
      <c r="N48" s="412"/>
      <c r="O48" s="412"/>
      <c r="P48" s="412"/>
      <c r="Q48" s="412"/>
      <c r="R48" s="413"/>
    </row>
    <row r="49" spans="1:18" ht="4.9000000000000004" customHeight="1" x14ac:dyDescent="0.25">
      <c r="A49" s="170"/>
      <c r="B49" s="179"/>
      <c r="C49" s="394"/>
      <c r="D49" s="394"/>
      <c r="E49" s="394"/>
      <c r="F49" s="394"/>
      <c r="G49" s="394"/>
      <c r="H49" s="394"/>
      <c r="I49" s="394"/>
      <c r="J49" s="394"/>
      <c r="K49" s="394"/>
      <c r="L49" s="394"/>
      <c r="M49" s="394"/>
      <c r="N49" s="394"/>
      <c r="O49" s="394"/>
      <c r="P49" s="394"/>
      <c r="Q49" s="394"/>
      <c r="R49" s="397"/>
    </row>
    <row r="50" spans="1:18" s="464" customFormat="1" x14ac:dyDescent="0.25">
      <c r="A50" s="101" t="str">
        <f>head27a</f>
        <v>References</v>
      </c>
      <c r="B50" s="645"/>
      <c r="C50" s="647"/>
      <c r="D50" s="647"/>
      <c r="E50" s="647"/>
      <c r="F50" s="647"/>
      <c r="G50" s="647"/>
      <c r="H50" s="647"/>
      <c r="I50" s="647"/>
      <c r="J50" s="647"/>
      <c r="K50" s="647"/>
      <c r="L50" s="647"/>
      <c r="M50" s="647"/>
      <c r="N50" s="647"/>
      <c r="O50" s="647"/>
      <c r="P50" s="647"/>
      <c r="Q50" s="647"/>
      <c r="R50" s="647"/>
    </row>
    <row r="51" spans="1:18" s="464" customFormat="1" x14ac:dyDescent="0.25">
      <c r="A51" s="105" t="s">
        <v>462</v>
      </c>
      <c r="B51" s="645"/>
      <c r="C51" s="647"/>
      <c r="D51" s="647"/>
      <c r="E51" s="647"/>
      <c r="F51" s="647"/>
      <c r="G51" s="647"/>
      <c r="H51" s="647"/>
      <c r="I51" s="647"/>
      <c r="J51" s="647"/>
      <c r="K51" s="647"/>
      <c r="L51" s="647"/>
      <c r="M51" s="647"/>
      <c r="N51" s="647"/>
      <c r="O51" s="647"/>
      <c r="P51" s="647"/>
      <c r="Q51" s="647"/>
      <c r="R51" s="647"/>
    </row>
    <row r="52" spans="1:18" s="464" customFormat="1" x14ac:dyDescent="0.25">
      <c r="A52" s="105" t="s">
        <v>463</v>
      </c>
      <c r="B52" s="645"/>
      <c r="C52" s="647"/>
      <c r="D52" s="647"/>
      <c r="E52" s="647"/>
      <c r="F52" s="647"/>
      <c r="G52" s="647"/>
      <c r="H52" s="647"/>
      <c r="I52" s="647"/>
      <c r="J52" s="647"/>
      <c r="K52" s="647"/>
      <c r="L52" s="647"/>
      <c r="M52" s="647"/>
      <c r="N52" s="647"/>
      <c r="O52" s="647"/>
      <c r="P52" s="647"/>
      <c r="Q52" s="647"/>
      <c r="R52" s="647"/>
    </row>
    <row r="53" spans="1:18" s="464" customFormat="1" x14ac:dyDescent="0.25">
      <c r="A53" s="132" t="s">
        <v>2045</v>
      </c>
      <c r="B53" s="645"/>
      <c r="C53" s="647"/>
      <c r="D53" s="647"/>
      <c r="E53" s="647"/>
      <c r="F53" s="647"/>
      <c r="G53" s="647"/>
      <c r="H53" s="647"/>
      <c r="I53" s="647"/>
      <c r="J53" s="647"/>
      <c r="K53" s="647"/>
      <c r="L53" s="647"/>
      <c r="M53" s="647"/>
      <c r="N53" s="647"/>
      <c r="O53" s="647"/>
      <c r="P53" s="647"/>
      <c r="Q53" s="647"/>
      <c r="R53" s="647"/>
    </row>
    <row r="54" spans="1:18" s="464" customFormat="1" x14ac:dyDescent="0.25">
      <c r="A54" s="105" t="s">
        <v>465</v>
      </c>
      <c r="B54" s="645"/>
      <c r="C54" s="647"/>
      <c r="D54" s="647"/>
      <c r="E54" s="647"/>
      <c r="F54" s="647"/>
      <c r="G54" s="647"/>
      <c r="H54" s="647"/>
      <c r="I54" s="647"/>
      <c r="J54" s="647"/>
      <c r="K54" s="647"/>
      <c r="L54" s="647"/>
      <c r="M54" s="647"/>
      <c r="N54" s="647"/>
      <c r="O54" s="647"/>
      <c r="P54" s="647"/>
      <c r="Q54" s="647"/>
      <c r="R54" s="647"/>
    </row>
    <row r="55" spans="1:18" s="464" customFormat="1" x14ac:dyDescent="0.25">
      <c r="A55" s="132" t="s">
        <v>1422</v>
      </c>
      <c r="B55" s="645"/>
      <c r="C55" s="647"/>
      <c r="D55" s="647"/>
      <c r="E55" s="647"/>
      <c r="F55" s="647"/>
      <c r="G55" s="647"/>
      <c r="H55" s="647"/>
      <c r="I55" s="647"/>
      <c r="J55" s="647"/>
      <c r="K55" s="647"/>
      <c r="L55" s="647"/>
      <c r="M55" s="647"/>
      <c r="N55" s="647"/>
      <c r="O55" s="647"/>
      <c r="P55" s="647"/>
      <c r="Q55" s="647"/>
      <c r="R55" s="647"/>
    </row>
    <row r="56" spans="1:18" s="464" customFormat="1" x14ac:dyDescent="0.25">
      <c r="A56" s="132" t="s">
        <v>1424</v>
      </c>
      <c r="B56" s="645"/>
      <c r="C56" s="647"/>
      <c r="D56" s="647"/>
      <c r="E56" s="647"/>
      <c r="F56" s="647"/>
      <c r="G56" s="647"/>
      <c r="H56" s="647"/>
      <c r="I56" s="647"/>
      <c r="J56" s="647"/>
      <c r="K56" s="647"/>
      <c r="L56" s="647"/>
      <c r="M56" s="647"/>
      <c r="N56" s="647"/>
      <c r="O56" s="647"/>
      <c r="P56" s="647"/>
      <c r="Q56" s="647"/>
      <c r="R56" s="647"/>
    </row>
    <row r="57" spans="1:18" ht="15.75" customHeight="1" x14ac:dyDescent="0.25">
      <c r="A57" s="591"/>
      <c r="B57" s="591"/>
      <c r="C57" s="591"/>
      <c r="D57" s="591"/>
      <c r="E57" s="591"/>
      <c r="F57" s="591"/>
      <c r="G57" s="591"/>
      <c r="H57" s="591"/>
      <c r="I57" s="591"/>
      <c r="J57" s="591"/>
      <c r="K57" s="591"/>
      <c r="L57" s="591"/>
      <c r="M57" s="591"/>
      <c r="N57" s="591"/>
      <c r="O57" s="591"/>
      <c r="P57" s="591"/>
      <c r="Q57" s="591"/>
      <c r="R57" s="591"/>
    </row>
    <row r="58" spans="1:18" ht="38.25" customHeight="1" x14ac:dyDescent="0.25">
      <c r="A58" s="1099"/>
      <c r="B58" s="1099"/>
      <c r="C58" s="1100"/>
      <c r="D58" s="1100"/>
      <c r="E58" s="1100"/>
      <c r="F58" s="1100"/>
      <c r="G58" s="1100"/>
      <c r="H58" s="1100"/>
      <c r="I58" s="1100"/>
      <c r="J58" s="1100"/>
      <c r="K58" s="1100"/>
      <c r="L58" s="1100"/>
      <c r="M58" s="1100"/>
      <c r="N58" s="1100"/>
      <c r="O58" s="1100"/>
      <c r="P58" s="1100"/>
      <c r="Q58" s="1100"/>
      <c r="R58" s="1100"/>
    </row>
    <row r="59" spans="1:18" ht="11.25" customHeight="1" x14ac:dyDescent="0.25">
      <c r="A59" s="364"/>
      <c r="C59" s="104"/>
      <c r="D59" s="104"/>
      <c r="E59" s="104"/>
      <c r="F59" s="104"/>
      <c r="G59" s="104"/>
      <c r="H59" s="104"/>
      <c r="I59" s="104"/>
      <c r="J59" s="104"/>
      <c r="K59" s="104"/>
      <c r="L59" s="104"/>
      <c r="M59" s="104"/>
      <c r="N59" s="104"/>
      <c r="O59" s="104"/>
      <c r="P59" s="104"/>
      <c r="Q59" s="104"/>
      <c r="R59" s="104"/>
    </row>
    <row r="60" spans="1:18" ht="11.25" customHeight="1" x14ac:dyDescent="0.25">
      <c r="A60" s="364"/>
      <c r="C60" s="104"/>
      <c r="D60" s="104"/>
      <c r="E60" s="104"/>
      <c r="F60" s="104"/>
      <c r="G60" s="104"/>
      <c r="H60" s="104"/>
      <c r="I60" s="104"/>
      <c r="J60" s="104"/>
      <c r="K60" s="104"/>
      <c r="L60" s="104"/>
      <c r="M60" s="104"/>
      <c r="N60" s="104"/>
      <c r="O60" s="104"/>
      <c r="P60" s="104"/>
      <c r="Q60" s="104"/>
      <c r="R60" s="104"/>
    </row>
    <row r="61" spans="1:18" ht="11.25" customHeight="1" x14ac:dyDescent="0.25">
      <c r="A61" s="1101"/>
      <c r="C61" s="1010"/>
      <c r="D61" s="1010"/>
      <c r="E61" s="1010"/>
      <c r="F61" s="1010"/>
      <c r="G61" s="1010"/>
      <c r="H61" s="1010"/>
      <c r="I61" s="1010"/>
      <c r="J61" s="1010"/>
      <c r="K61" s="1010"/>
      <c r="L61" s="1010"/>
      <c r="M61" s="1010"/>
      <c r="N61" s="1010"/>
      <c r="O61" s="1010"/>
      <c r="P61" s="1010"/>
      <c r="Q61" s="1010"/>
      <c r="R61" s="1010"/>
    </row>
    <row r="62" spans="1:18" ht="11.25" customHeight="1" x14ac:dyDescent="0.25">
      <c r="A62" s="1101"/>
      <c r="C62" s="1010"/>
      <c r="D62" s="1010"/>
      <c r="E62" s="1010"/>
      <c r="F62" s="1010"/>
      <c r="G62" s="1010"/>
      <c r="H62" s="1010"/>
      <c r="I62" s="1010"/>
      <c r="J62" s="1010"/>
      <c r="K62" s="1010"/>
      <c r="L62" s="1010"/>
      <c r="M62" s="1010"/>
      <c r="N62" s="1010"/>
      <c r="O62" s="1010"/>
      <c r="P62" s="1010"/>
      <c r="Q62" s="1010"/>
      <c r="R62" s="1010"/>
    </row>
    <row r="63" spans="1:18" ht="11.25" customHeight="1" x14ac:dyDescent="0.25">
      <c r="A63" s="1101"/>
      <c r="C63" s="1010"/>
      <c r="D63" s="1010"/>
      <c r="E63" s="1010"/>
      <c r="F63" s="1010"/>
      <c r="G63" s="1010"/>
      <c r="H63" s="1010"/>
      <c r="I63" s="1010"/>
      <c r="J63" s="1010"/>
      <c r="K63" s="1010"/>
      <c r="L63" s="1010"/>
      <c r="M63" s="1010"/>
      <c r="N63" s="1010"/>
      <c r="O63" s="1010"/>
      <c r="P63" s="1010"/>
      <c r="Q63" s="1010"/>
      <c r="R63" s="1010"/>
    </row>
    <row r="64" spans="1:18" ht="11.25" customHeight="1" x14ac:dyDescent="0.25">
      <c r="A64" s="1101"/>
      <c r="C64" s="1010"/>
      <c r="D64" s="1010"/>
      <c r="E64" s="1010"/>
      <c r="F64" s="1010"/>
      <c r="G64" s="1010"/>
      <c r="H64" s="1010"/>
      <c r="I64" s="1010"/>
      <c r="J64" s="1010"/>
      <c r="K64" s="1010"/>
      <c r="L64" s="1010"/>
      <c r="M64" s="1010"/>
      <c r="N64" s="1010"/>
      <c r="O64" s="1010"/>
      <c r="P64" s="1010"/>
      <c r="Q64" s="1010"/>
      <c r="R64" s="1010"/>
    </row>
    <row r="65" spans="1:18" ht="11.25" customHeight="1" x14ac:dyDescent="0.25">
      <c r="A65" s="1101"/>
      <c r="C65" s="1010"/>
      <c r="D65" s="1010"/>
      <c r="E65" s="1010"/>
      <c r="F65" s="1010"/>
      <c r="G65" s="1010"/>
      <c r="H65" s="1010"/>
      <c r="I65" s="1010"/>
      <c r="J65" s="1010"/>
      <c r="K65" s="1010"/>
      <c r="L65" s="1010"/>
      <c r="M65" s="1010"/>
      <c r="N65" s="1010"/>
      <c r="O65" s="1010"/>
      <c r="P65" s="1010"/>
      <c r="Q65" s="1010"/>
      <c r="R65" s="1010"/>
    </row>
    <row r="66" spans="1:18" ht="11.25" customHeight="1" x14ac:dyDescent="0.25">
      <c r="A66" s="1101"/>
      <c r="C66" s="1010"/>
      <c r="D66" s="1010"/>
      <c r="E66" s="1010"/>
      <c r="F66" s="1010"/>
      <c r="G66" s="1010"/>
      <c r="H66" s="1010"/>
      <c r="I66" s="1010"/>
      <c r="J66" s="1010"/>
      <c r="K66" s="1010"/>
      <c r="L66" s="1010"/>
      <c r="M66" s="1010"/>
      <c r="N66" s="1010"/>
      <c r="O66" s="1010"/>
      <c r="P66" s="1010"/>
      <c r="Q66" s="1010"/>
      <c r="R66" s="1010"/>
    </row>
    <row r="67" spans="1:18" ht="11.25" customHeight="1" x14ac:dyDescent="0.25">
      <c r="A67" s="1101"/>
      <c r="C67" s="1010"/>
      <c r="D67" s="1010"/>
      <c r="E67" s="1010"/>
      <c r="F67" s="1010"/>
      <c r="G67" s="1010"/>
      <c r="H67" s="1010"/>
      <c r="I67" s="1010"/>
      <c r="J67" s="1010"/>
      <c r="K67" s="1010"/>
      <c r="L67" s="1010"/>
      <c r="M67" s="1010"/>
      <c r="N67" s="1010"/>
      <c r="O67" s="1010"/>
      <c r="P67" s="1010"/>
      <c r="Q67" s="1010"/>
      <c r="R67" s="1010"/>
    </row>
    <row r="68" spans="1:18" ht="11.25" customHeight="1" x14ac:dyDescent="0.25">
      <c r="A68" s="1101"/>
      <c r="C68" s="1010"/>
      <c r="D68" s="1010"/>
      <c r="E68" s="1010"/>
      <c r="F68" s="1010"/>
      <c r="G68" s="1010"/>
      <c r="H68" s="1010"/>
      <c r="I68" s="1010"/>
      <c r="J68" s="1010"/>
      <c r="K68" s="1010"/>
      <c r="L68" s="1010"/>
      <c r="M68" s="1010"/>
      <c r="N68" s="1010"/>
      <c r="O68" s="1010"/>
      <c r="P68" s="1010"/>
      <c r="Q68" s="1010"/>
      <c r="R68" s="1010"/>
    </row>
    <row r="69" spans="1:18" ht="11.25" customHeight="1" x14ac:dyDescent="0.25">
      <c r="A69" s="1101"/>
      <c r="C69" s="1010"/>
      <c r="D69" s="1010"/>
      <c r="E69" s="1010"/>
      <c r="F69" s="1010"/>
      <c r="G69" s="1010"/>
      <c r="H69" s="1010"/>
      <c r="I69" s="1010"/>
      <c r="J69" s="1010"/>
      <c r="K69" s="1010"/>
      <c r="L69" s="1010"/>
      <c r="M69" s="1010"/>
      <c r="N69" s="1010"/>
      <c r="O69" s="1010"/>
      <c r="P69" s="1010"/>
      <c r="Q69" s="1010"/>
      <c r="R69" s="1010"/>
    </row>
    <row r="70" spans="1:18" ht="11.25" customHeight="1" x14ac:dyDescent="0.25">
      <c r="A70" s="1101"/>
      <c r="C70" s="1010"/>
      <c r="D70" s="1010"/>
      <c r="E70" s="1010"/>
      <c r="F70" s="1010"/>
      <c r="G70" s="1010"/>
      <c r="H70" s="1010"/>
      <c r="I70" s="1010"/>
      <c r="J70" s="1010"/>
      <c r="K70" s="1010"/>
      <c r="L70" s="1010"/>
      <c r="M70" s="1010"/>
      <c r="N70" s="1010"/>
      <c r="O70" s="1010"/>
      <c r="P70" s="1010"/>
      <c r="Q70" s="1010"/>
      <c r="R70" s="1010"/>
    </row>
    <row r="71" spans="1:18" ht="11.25" customHeight="1" x14ac:dyDescent="0.25">
      <c r="A71" s="1101"/>
      <c r="C71" s="1010"/>
      <c r="D71" s="1010"/>
      <c r="E71" s="1010"/>
      <c r="F71" s="1010"/>
      <c r="G71" s="1010"/>
      <c r="H71" s="1010"/>
      <c r="I71" s="1010"/>
      <c r="J71" s="1010"/>
      <c r="K71" s="1010"/>
      <c r="L71" s="1010"/>
      <c r="M71" s="1010"/>
      <c r="N71" s="1010"/>
      <c r="O71" s="1010"/>
      <c r="P71" s="1010"/>
      <c r="Q71" s="1010"/>
      <c r="R71" s="1010"/>
    </row>
    <row r="72" spans="1:18" ht="11.25" customHeight="1" x14ac:dyDescent="0.25">
      <c r="A72" s="1101"/>
      <c r="C72" s="1105"/>
      <c r="D72" s="1105"/>
      <c r="E72" s="1105"/>
      <c r="F72" s="1105"/>
      <c r="G72" s="1105"/>
      <c r="H72" s="1105"/>
      <c r="I72" s="668"/>
      <c r="J72" s="1105"/>
      <c r="K72" s="1105"/>
      <c r="L72" s="1105"/>
      <c r="M72" s="1105"/>
      <c r="N72" s="1105"/>
      <c r="O72" s="1105"/>
      <c r="P72" s="1105"/>
      <c r="Q72" s="1105"/>
      <c r="R72" s="1105"/>
    </row>
    <row r="73" spans="1:18" ht="11.25" customHeight="1" x14ac:dyDescent="0.25">
      <c r="A73" s="1101"/>
      <c r="C73" s="645"/>
      <c r="D73" s="645"/>
      <c r="E73" s="645"/>
      <c r="F73" s="645"/>
      <c r="G73" s="645"/>
      <c r="H73" s="645"/>
      <c r="I73" s="645"/>
      <c r="J73" s="645"/>
      <c r="K73" s="645"/>
      <c r="L73" s="645"/>
      <c r="M73" s="645"/>
      <c r="N73" s="645"/>
      <c r="O73" s="645"/>
      <c r="P73" s="645"/>
      <c r="Q73" s="645"/>
      <c r="R73" s="645"/>
    </row>
    <row r="74" spans="1:18" ht="11.25" customHeight="1" x14ac:dyDescent="0.25">
      <c r="A74" s="1101"/>
      <c r="C74" s="1106"/>
      <c r="D74" s="1106"/>
      <c r="E74" s="1106"/>
      <c r="F74" s="1106"/>
      <c r="G74" s="1106"/>
      <c r="H74" s="1106"/>
      <c r="I74" s="1106"/>
      <c r="J74" s="1106"/>
      <c r="K74" s="1106"/>
      <c r="L74" s="1106"/>
      <c r="M74" s="1106"/>
      <c r="N74" s="1106"/>
      <c r="O74" s="1106"/>
      <c r="P74" s="1106"/>
      <c r="Q74" s="1106"/>
      <c r="R74" s="1106"/>
    </row>
    <row r="75" spans="1:18" ht="11.25" customHeight="1" x14ac:dyDescent="0.25">
      <c r="A75" s="1101"/>
      <c r="C75" s="645"/>
      <c r="D75" s="645"/>
      <c r="E75" s="645"/>
      <c r="F75" s="645"/>
      <c r="G75" s="645"/>
      <c r="H75" s="645"/>
      <c r="I75" s="645"/>
      <c r="J75" s="645"/>
      <c r="K75" s="645"/>
      <c r="L75" s="645"/>
      <c r="M75" s="645"/>
      <c r="N75" s="645"/>
      <c r="O75" s="645"/>
      <c r="P75" s="645"/>
      <c r="Q75" s="645"/>
      <c r="R75" s="645"/>
    </row>
    <row r="76" spans="1:18" ht="11.25" customHeight="1" x14ac:dyDescent="0.25">
      <c r="A76" s="1101"/>
      <c r="C76" s="645"/>
      <c r="D76" s="645"/>
      <c r="E76" s="645"/>
      <c r="F76" s="645"/>
      <c r="G76" s="645"/>
      <c r="H76" s="645"/>
      <c r="I76" s="645"/>
      <c r="J76" s="645"/>
      <c r="K76" s="645"/>
      <c r="L76" s="645"/>
      <c r="M76" s="645"/>
      <c r="N76" s="645"/>
      <c r="O76" s="645"/>
      <c r="P76" s="645"/>
      <c r="Q76" s="645"/>
      <c r="R76" s="645"/>
    </row>
    <row r="77" spans="1:18" ht="11.25" customHeight="1" x14ac:dyDescent="0.25">
      <c r="A77" s="1101"/>
      <c r="C77" s="645"/>
      <c r="D77" s="645"/>
      <c r="E77" s="645"/>
      <c r="F77" s="645"/>
      <c r="G77" s="645"/>
      <c r="H77" s="645"/>
      <c r="I77" s="645"/>
      <c r="J77" s="645"/>
      <c r="K77" s="645"/>
      <c r="L77" s="645"/>
      <c r="M77" s="645"/>
      <c r="N77" s="645"/>
      <c r="O77" s="645"/>
      <c r="P77" s="645"/>
      <c r="Q77" s="645"/>
      <c r="R77" s="645"/>
    </row>
    <row r="78" spans="1:18" ht="11.25" customHeight="1" x14ac:dyDescent="0.25">
      <c r="A78" s="1101"/>
      <c r="B78" s="1104"/>
      <c r="C78" s="645"/>
      <c r="D78" s="645"/>
      <c r="E78" s="645"/>
      <c r="F78" s="645"/>
      <c r="G78" s="645"/>
      <c r="H78" s="645"/>
      <c r="I78" s="645"/>
      <c r="J78" s="645"/>
      <c r="K78" s="645"/>
      <c r="L78" s="645"/>
      <c r="M78" s="645"/>
      <c r="N78" s="645"/>
      <c r="O78" s="645"/>
      <c r="P78" s="645"/>
      <c r="Q78" s="645"/>
      <c r="R78" s="645"/>
    </row>
    <row r="79" spans="1:18" ht="11.25" customHeight="1" x14ac:dyDescent="0.25">
      <c r="A79" s="1101"/>
      <c r="B79" s="1104"/>
      <c r="C79" s="645"/>
      <c r="D79" s="645"/>
      <c r="E79" s="645"/>
      <c r="F79" s="645"/>
      <c r="G79" s="645"/>
      <c r="H79" s="645"/>
      <c r="I79" s="645"/>
      <c r="J79" s="645"/>
      <c r="K79" s="645"/>
      <c r="L79" s="645"/>
      <c r="M79" s="645"/>
      <c r="N79" s="645"/>
      <c r="O79" s="645"/>
      <c r="P79" s="645"/>
      <c r="Q79" s="645"/>
      <c r="R79" s="645"/>
    </row>
    <row r="80" spans="1:18" ht="11.25" customHeight="1" x14ac:dyDescent="0.25">
      <c r="A80" s="1101"/>
      <c r="B80" s="1104"/>
      <c r="C80" s="645"/>
      <c r="D80" s="645"/>
      <c r="E80" s="645"/>
      <c r="F80" s="645"/>
      <c r="G80" s="645"/>
      <c r="H80" s="645"/>
      <c r="I80" s="645"/>
      <c r="J80" s="645"/>
      <c r="K80" s="645"/>
      <c r="L80" s="645"/>
      <c r="M80" s="645"/>
      <c r="N80" s="645"/>
      <c r="O80" s="645"/>
      <c r="P80" s="645"/>
      <c r="Q80" s="645"/>
      <c r="R80" s="645"/>
    </row>
    <row r="81" spans="1:18" ht="11.25" customHeight="1" x14ac:dyDescent="0.25">
      <c r="A81" s="364"/>
      <c r="C81" s="109"/>
      <c r="D81" s="109"/>
      <c r="E81" s="109"/>
      <c r="F81" s="109"/>
      <c r="G81" s="109"/>
      <c r="H81" s="109"/>
      <c r="I81" s="109"/>
      <c r="J81" s="109"/>
      <c r="K81" s="109"/>
      <c r="L81" s="109"/>
      <c r="M81" s="109"/>
      <c r="N81" s="109"/>
      <c r="O81" s="109"/>
      <c r="P81" s="109"/>
      <c r="Q81" s="109"/>
      <c r="R81" s="109"/>
    </row>
    <row r="82" spans="1:18" ht="11.25" customHeight="1" x14ac:dyDescent="0.25">
      <c r="A82" s="1101"/>
      <c r="C82" s="1107"/>
      <c r="D82" s="1107"/>
      <c r="E82" s="1107"/>
      <c r="F82" s="1107"/>
      <c r="G82" s="1107"/>
      <c r="H82" s="1107"/>
      <c r="I82" s="1107"/>
      <c r="J82" s="1107"/>
      <c r="K82" s="1107"/>
      <c r="L82" s="1107"/>
      <c r="M82" s="1107"/>
      <c r="N82" s="1107"/>
      <c r="O82" s="1107"/>
      <c r="P82" s="1107"/>
      <c r="Q82" s="1107"/>
      <c r="R82" s="1107"/>
    </row>
    <row r="83" spans="1:18" ht="11.25" customHeight="1" x14ac:dyDescent="0.25">
      <c r="A83" s="1101"/>
      <c r="C83" s="1107"/>
      <c r="D83" s="1107"/>
      <c r="E83" s="1107"/>
      <c r="F83" s="1107"/>
      <c r="G83" s="1107"/>
      <c r="H83" s="1107"/>
      <c r="I83" s="1107"/>
      <c r="J83" s="1107"/>
      <c r="K83" s="1107"/>
      <c r="L83" s="1107"/>
      <c r="M83" s="1107"/>
      <c r="N83" s="1107"/>
      <c r="O83" s="1107"/>
      <c r="P83" s="1107"/>
      <c r="Q83" s="1107"/>
      <c r="R83" s="1107"/>
    </row>
    <row r="84" spans="1:18" ht="11.25" customHeight="1" x14ac:dyDescent="0.25">
      <c r="A84" s="1101"/>
      <c r="C84" s="1107"/>
      <c r="D84" s="1107"/>
      <c r="E84" s="1107"/>
      <c r="F84" s="1107"/>
      <c r="G84" s="1107"/>
      <c r="H84" s="1107"/>
      <c r="I84" s="1107"/>
      <c r="J84" s="1107"/>
      <c r="K84" s="1107"/>
      <c r="L84" s="1107"/>
      <c r="M84" s="1107"/>
      <c r="N84" s="1107"/>
      <c r="O84" s="1107"/>
      <c r="P84" s="1107"/>
      <c r="Q84" s="1107"/>
      <c r="R84" s="1107"/>
    </row>
    <row r="85" spans="1:18" ht="11.25" customHeight="1" x14ac:dyDescent="0.25">
      <c r="A85" s="1101"/>
      <c r="C85" s="1107"/>
      <c r="D85" s="1107"/>
      <c r="E85" s="1107"/>
      <c r="F85" s="1107"/>
      <c r="G85" s="1107"/>
      <c r="H85" s="1107"/>
      <c r="I85" s="1107"/>
      <c r="J85" s="1107"/>
      <c r="K85" s="1107"/>
      <c r="L85" s="1107"/>
      <c r="M85" s="1107"/>
      <c r="N85" s="1107"/>
      <c r="O85" s="1107"/>
      <c r="P85" s="1107"/>
      <c r="Q85" s="1107"/>
      <c r="R85" s="1107"/>
    </row>
    <row r="86" spans="1:18" ht="11.25" customHeight="1" x14ac:dyDescent="0.25">
      <c r="A86" s="1101"/>
      <c r="C86" s="1107"/>
      <c r="D86" s="1107"/>
      <c r="E86" s="1107"/>
      <c r="F86" s="1107"/>
      <c r="G86" s="1107"/>
      <c r="H86" s="1107"/>
      <c r="I86" s="1107"/>
      <c r="J86" s="1107"/>
      <c r="K86" s="1107"/>
      <c r="L86" s="1107"/>
      <c r="M86" s="1107"/>
      <c r="N86" s="1107"/>
      <c r="O86" s="1107"/>
      <c r="P86" s="1107"/>
      <c r="Q86" s="1107"/>
      <c r="R86" s="1107"/>
    </row>
    <row r="87" spans="1:18" ht="11.25" customHeight="1" x14ac:dyDescent="0.25">
      <c r="A87" s="1101"/>
      <c r="B87" s="1104"/>
      <c r="C87" s="1107"/>
      <c r="D87" s="1107"/>
      <c r="E87" s="1107"/>
      <c r="F87" s="1107"/>
      <c r="G87" s="1107"/>
      <c r="H87" s="1107"/>
      <c r="I87" s="1107"/>
      <c r="J87" s="1107"/>
      <c r="K87" s="1107"/>
      <c r="L87" s="1107"/>
      <c r="M87" s="1107"/>
      <c r="N87" s="1107"/>
      <c r="O87" s="1107"/>
      <c r="P87" s="1107"/>
      <c r="Q87" s="1107"/>
      <c r="R87" s="1107"/>
    </row>
    <row r="88" spans="1:18" ht="11.25" customHeight="1" x14ac:dyDescent="0.25">
      <c r="A88" s="103"/>
      <c r="C88" s="1102"/>
      <c r="D88" s="1102"/>
      <c r="E88" s="1102"/>
      <c r="F88" s="1102"/>
      <c r="G88" s="1102"/>
      <c r="H88" s="1102"/>
      <c r="I88" s="1102"/>
      <c r="J88" s="1102"/>
      <c r="K88" s="1102"/>
      <c r="L88" s="1102"/>
      <c r="M88" s="1102"/>
      <c r="N88" s="1102"/>
      <c r="O88" s="1102"/>
      <c r="P88" s="1102"/>
      <c r="Q88" s="1102"/>
      <c r="R88" s="1102"/>
    </row>
    <row r="89" spans="1:18" ht="11.25" customHeight="1" x14ac:dyDescent="0.25">
      <c r="A89" s="1101"/>
      <c r="C89" s="1108"/>
      <c r="D89" s="1108"/>
      <c r="E89" s="1108"/>
      <c r="F89" s="1108"/>
      <c r="G89" s="1108"/>
      <c r="H89" s="1108"/>
      <c r="I89" s="1108"/>
      <c r="J89" s="1108"/>
      <c r="K89" s="1108"/>
      <c r="L89" s="1108"/>
      <c r="M89" s="1108"/>
      <c r="N89" s="1108"/>
      <c r="O89" s="1108"/>
      <c r="P89" s="1108"/>
      <c r="Q89" s="1108"/>
      <c r="R89" s="1108"/>
    </row>
    <row r="90" spans="1:18" ht="11.25" customHeight="1" x14ac:dyDescent="0.25">
      <c r="A90" s="1101"/>
      <c r="C90" s="1108"/>
      <c r="D90" s="1108"/>
      <c r="E90" s="1108"/>
      <c r="F90" s="1108"/>
      <c r="G90" s="1108"/>
      <c r="H90" s="1108"/>
      <c r="I90" s="1108"/>
      <c r="J90" s="1108"/>
      <c r="K90" s="1108"/>
      <c r="L90" s="1108"/>
      <c r="M90" s="1108"/>
      <c r="N90" s="1108"/>
      <c r="O90" s="1108"/>
      <c r="P90" s="1108"/>
      <c r="Q90" s="1108"/>
      <c r="R90" s="1108"/>
    </row>
    <row r="91" spans="1:18" ht="11.25" customHeight="1" x14ac:dyDescent="0.25">
      <c r="A91" s="1101"/>
      <c r="C91" s="1108"/>
      <c r="D91" s="1108"/>
      <c r="E91" s="1108"/>
      <c r="F91" s="1108"/>
      <c r="G91" s="1108"/>
      <c r="H91" s="1108"/>
      <c r="I91" s="1108"/>
      <c r="J91" s="1108"/>
      <c r="K91" s="1108"/>
      <c r="L91" s="1108"/>
      <c r="M91" s="1108"/>
      <c r="N91" s="1108"/>
      <c r="O91" s="1108"/>
      <c r="P91" s="1108"/>
      <c r="Q91" s="1108"/>
      <c r="R91" s="1108"/>
    </row>
    <row r="92" spans="1:18" ht="11.25" customHeight="1" x14ac:dyDescent="0.25">
      <c r="A92" s="1101"/>
      <c r="B92" s="1109"/>
      <c r="C92" s="1110"/>
      <c r="D92" s="1110"/>
      <c r="E92" s="1110"/>
      <c r="F92" s="1110"/>
      <c r="G92" s="1110"/>
      <c r="H92" s="1110"/>
      <c r="I92" s="1110"/>
      <c r="J92" s="1110"/>
      <c r="K92" s="1110"/>
      <c r="L92" s="1110"/>
      <c r="M92" s="1110"/>
      <c r="N92" s="1110"/>
      <c r="O92" s="1110"/>
      <c r="P92" s="1110"/>
      <c r="Q92" s="1110"/>
      <c r="R92" s="1110"/>
    </row>
    <row r="93" spans="1:18" ht="11.25" customHeight="1" x14ac:dyDescent="0.25">
      <c r="A93" s="364"/>
      <c r="B93" s="1109"/>
      <c r="C93" s="1103"/>
      <c r="D93" s="1103"/>
      <c r="E93" s="1103"/>
      <c r="F93" s="1103"/>
      <c r="G93" s="1103"/>
      <c r="H93" s="1103"/>
      <c r="I93" s="1103"/>
      <c r="J93" s="1103"/>
      <c r="K93" s="1103"/>
      <c r="L93" s="1103"/>
      <c r="M93" s="1103"/>
      <c r="N93" s="1103"/>
      <c r="O93" s="1103"/>
      <c r="P93" s="1103"/>
      <c r="Q93" s="1103"/>
      <c r="R93" s="1103"/>
    </row>
    <row r="94" spans="1:18" ht="11.25" customHeight="1" x14ac:dyDescent="0.25">
      <c r="A94" s="1101"/>
      <c r="B94" s="1104"/>
      <c r="C94" s="1111"/>
      <c r="D94" s="1111"/>
      <c r="E94" s="1111"/>
      <c r="F94" s="1111"/>
      <c r="G94" s="1111"/>
      <c r="H94" s="1111"/>
      <c r="I94" s="1111"/>
      <c r="J94" s="1111"/>
      <c r="K94" s="1111"/>
      <c r="L94" s="1111"/>
      <c r="M94" s="1111"/>
      <c r="N94" s="1111"/>
      <c r="O94" s="1111"/>
      <c r="P94" s="1111"/>
      <c r="Q94" s="1111"/>
      <c r="R94" s="1111"/>
    </row>
    <row r="95" spans="1:18" ht="11.25" customHeight="1" x14ac:dyDescent="0.25">
      <c r="A95" s="1101"/>
      <c r="B95" s="1104"/>
      <c r="C95" s="770"/>
      <c r="D95" s="770"/>
      <c r="E95" s="770"/>
      <c r="F95" s="770"/>
      <c r="G95" s="770"/>
      <c r="H95" s="770"/>
      <c r="I95" s="770"/>
      <c r="J95" s="770"/>
      <c r="K95" s="770"/>
      <c r="L95" s="770"/>
      <c r="M95" s="770"/>
      <c r="N95" s="770"/>
      <c r="O95" s="770"/>
      <c r="P95" s="770"/>
      <c r="Q95" s="770"/>
      <c r="R95" s="770"/>
    </row>
    <row r="96" spans="1:18" ht="11.25" customHeight="1" x14ac:dyDescent="0.25">
      <c r="A96" s="1101"/>
      <c r="B96" s="1104"/>
      <c r="C96" s="770"/>
      <c r="D96" s="770"/>
      <c r="E96" s="770"/>
      <c r="F96" s="770"/>
      <c r="G96" s="770"/>
      <c r="H96" s="770"/>
      <c r="I96" s="770"/>
      <c r="J96" s="770"/>
      <c r="K96" s="770"/>
      <c r="L96" s="770"/>
      <c r="M96" s="770"/>
      <c r="N96" s="770"/>
      <c r="O96" s="770"/>
      <c r="P96" s="770"/>
      <c r="Q96" s="770"/>
      <c r="R96" s="770"/>
    </row>
    <row r="97" spans="1:18" ht="11.25" customHeight="1" x14ac:dyDescent="0.25">
      <c r="A97" s="1101"/>
      <c r="B97" s="1104"/>
      <c r="C97" s="1112"/>
      <c r="D97" s="1112"/>
      <c r="E97" s="1112"/>
      <c r="F97" s="1112"/>
      <c r="G97" s="1112"/>
      <c r="H97" s="1112"/>
      <c r="I97" s="1112"/>
      <c r="J97" s="1112"/>
      <c r="K97" s="1112"/>
      <c r="L97" s="1112"/>
      <c r="M97" s="1112"/>
      <c r="N97" s="1112"/>
      <c r="O97" s="1112"/>
      <c r="P97" s="1112"/>
      <c r="Q97" s="1112"/>
      <c r="R97" s="1112"/>
    </row>
    <row r="98" spans="1:18" ht="11.25" customHeight="1" x14ac:dyDescent="0.25">
      <c r="A98" s="1101"/>
      <c r="B98" s="1104"/>
      <c r="C98" s="1113"/>
      <c r="D98" s="1113"/>
      <c r="E98" s="1113"/>
      <c r="F98" s="1113"/>
      <c r="G98" s="1113"/>
      <c r="H98" s="1113"/>
      <c r="I98" s="1113"/>
      <c r="J98" s="1113"/>
      <c r="K98" s="1113"/>
      <c r="L98" s="1113"/>
      <c r="M98" s="1113"/>
      <c r="N98" s="1113"/>
      <c r="O98" s="1113"/>
      <c r="P98" s="1113"/>
      <c r="Q98" s="1113"/>
      <c r="R98" s="1113"/>
    </row>
    <row r="99" spans="1:18" ht="11.25" customHeight="1" x14ac:dyDescent="0.25">
      <c r="A99" s="1101"/>
      <c r="B99" s="1104"/>
      <c r="C99" s="1113"/>
      <c r="D99" s="1113"/>
      <c r="E99" s="1113"/>
      <c r="F99" s="1113"/>
      <c r="G99" s="1113"/>
      <c r="H99" s="1113"/>
      <c r="I99" s="1113"/>
      <c r="J99" s="1113"/>
      <c r="K99" s="1113"/>
      <c r="L99" s="1113"/>
      <c r="M99" s="1113"/>
      <c r="N99" s="1113"/>
      <c r="O99" s="1113"/>
      <c r="P99" s="1113"/>
      <c r="Q99" s="1113"/>
      <c r="R99" s="1113"/>
    </row>
    <row r="100" spans="1:18" ht="11.25" customHeight="1" x14ac:dyDescent="0.25">
      <c r="A100" s="1101"/>
      <c r="B100" s="1104"/>
      <c r="C100" s="1113"/>
      <c r="D100" s="1113"/>
      <c r="E100" s="1113"/>
      <c r="F100" s="1113"/>
      <c r="G100" s="1113"/>
      <c r="H100" s="1113"/>
      <c r="I100" s="1113"/>
      <c r="J100" s="1113"/>
      <c r="K100" s="1113"/>
      <c r="L100" s="1113"/>
      <c r="M100" s="1113"/>
      <c r="N100" s="1113"/>
      <c r="O100" s="1113"/>
      <c r="P100" s="1113"/>
      <c r="Q100" s="1113"/>
      <c r="R100" s="1113"/>
    </row>
    <row r="101" spans="1:18" ht="11.25" customHeight="1" x14ac:dyDescent="0.25">
      <c r="A101" s="1101"/>
      <c r="B101" s="1104"/>
      <c r="C101" s="1113"/>
      <c r="D101" s="1113"/>
      <c r="E101" s="1113"/>
      <c r="F101" s="1113"/>
      <c r="G101" s="1113"/>
      <c r="H101" s="1113"/>
      <c r="I101" s="1113"/>
      <c r="J101" s="1113"/>
      <c r="K101" s="1113"/>
      <c r="L101" s="1113"/>
      <c r="M101" s="1113"/>
      <c r="N101" s="1113"/>
      <c r="O101" s="1113"/>
      <c r="P101" s="1113"/>
      <c r="Q101" s="1113"/>
      <c r="R101" s="1113"/>
    </row>
    <row r="102" spans="1:18" ht="11.25" customHeight="1" x14ac:dyDescent="0.25">
      <c r="A102" s="1101"/>
      <c r="B102" s="1104"/>
      <c r="C102" s="1113"/>
      <c r="D102" s="1113"/>
      <c r="E102" s="1113"/>
      <c r="F102" s="1113"/>
      <c r="G102" s="1113"/>
      <c r="H102" s="1113"/>
      <c r="I102" s="1113"/>
      <c r="J102" s="1113"/>
      <c r="K102" s="1113"/>
      <c r="L102" s="1113"/>
      <c r="M102" s="1113"/>
      <c r="N102" s="1113"/>
      <c r="O102" s="1113"/>
      <c r="P102" s="1113"/>
      <c r="Q102" s="1113"/>
      <c r="R102" s="1113"/>
    </row>
    <row r="103" spans="1:18" ht="11.25" customHeight="1" x14ac:dyDescent="0.25">
      <c r="A103" s="1101"/>
      <c r="B103" s="1104"/>
      <c r="C103" s="1113"/>
      <c r="D103" s="1113"/>
      <c r="E103" s="1113"/>
      <c r="F103" s="1113"/>
      <c r="G103" s="1113"/>
      <c r="H103" s="1113"/>
      <c r="I103" s="1113"/>
      <c r="J103" s="1113"/>
      <c r="K103" s="1113"/>
      <c r="L103" s="1113"/>
      <c r="M103" s="1113"/>
      <c r="N103" s="1113"/>
      <c r="O103" s="1113"/>
      <c r="P103" s="1113"/>
      <c r="Q103" s="1113"/>
      <c r="R103" s="1113"/>
    </row>
    <row r="104" spans="1:18" ht="11.25" customHeight="1" x14ac:dyDescent="0.25">
      <c r="A104" s="103"/>
      <c r="B104" s="1104"/>
      <c r="C104" s="113"/>
      <c r="D104" s="113"/>
      <c r="E104" s="113"/>
      <c r="F104" s="113"/>
      <c r="G104" s="113"/>
      <c r="H104" s="113"/>
      <c r="I104" s="113"/>
      <c r="J104" s="113"/>
      <c r="K104" s="113"/>
      <c r="L104" s="113"/>
      <c r="M104" s="113"/>
      <c r="N104" s="113"/>
      <c r="O104" s="113"/>
      <c r="P104" s="113"/>
      <c r="Q104" s="113"/>
      <c r="R104" s="113"/>
    </row>
    <row r="105" spans="1:18" ht="4.9000000000000004" customHeight="1" x14ac:dyDescent="0.25">
      <c r="C105" s="148"/>
      <c r="D105" s="148"/>
      <c r="E105" s="148"/>
      <c r="F105" s="148"/>
      <c r="G105" s="148"/>
      <c r="H105" s="148"/>
      <c r="I105" s="148"/>
      <c r="J105" s="148"/>
      <c r="K105" s="148"/>
      <c r="L105" s="148"/>
      <c r="M105" s="148"/>
      <c r="N105" s="148"/>
      <c r="O105" s="148"/>
      <c r="P105" s="148"/>
      <c r="Q105" s="148"/>
      <c r="R105" s="148"/>
    </row>
    <row r="106" spans="1:18" s="464" customFormat="1" x14ac:dyDescent="0.25">
      <c r="A106" s="101"/>
      <c r="B106" s="645"/>
      <c r="C106" s="647"/>
      <c r="D106" s="647"/>
      <c r="E106" s="647"/>
      <c r="F106" s="647"/>
      <c r="G106" s="647"/>
      <c r="H106" s="647"/>
      <c r="I106" s="647"/>
      <c r="J106" s="647"/>
      <c r="K106" s="647"/>
      <c r="L106" s="647"/>
      <c r="M106" s="647"/>
      <c r="N106" s="647"/>
      <c r="O106" s="647"/>
      <c r="P106" s="647"/>
      <c r="Q106" s="647"/>
      <c r="R106" s="647"/>
    </row>
    <row r="107" spans="1:18" s="464" customFormat="1" x14ac:dyDescent="0.25">
      <c r="A107" s="105"/>
      <c r="B107" s="645"/>
      <c r="C107" s="647"/>
      <c r="D107" s="647"/>
      <c r="E107" s="647"/>
      <c r="F107" s="647"/>
      <c r="G107" s="647"/>
      <c r="H107" s="647"/>
      <c r="I107" s="647"/>
      <c r="J107" s="647"/>
      <c r="K107" s="647"/>
      <c r="L107" s="647"/>
      <c r="M107" s="647"/>
      <c r="N107" s="647"/>
      <c r="O107" s="647"/>
      <c r="P107" s="647"/>
      <c r="Q107" s="647"/>
      <c r="R107" s="647"/>
    </row>
    <row r="108" spans="1:18" s="464" customFormat="1" x14ac:dyDescent="0.25">
      <c r="A108" s="105"/>
      <c r="B108" s="645"/>
      <c r="C108" s="647"/>
      <c r="D108" s="647"/>
      <c r="E108" s="647"/>
      <c r="F108" s="647"/>
      <c r="G108" s="647"/>
      <c r="H108" s="647"/>
      <c r="I108" s="647"/>
      <c r="J108" s="647"/>
      <c r="K108" s="647"/>
      <c r="L108" s="647"/>
      <c r="M108" s="647"/>
      <c r="N108" s="647"/>
      <c r="O108" s="647"/>
      <c r="P108" s="647"/>
      <c r="Q108" s="647"/>
      <c r="R108" s="647"/>
    </row>
    <row r="109" spans="1:18" s="464" customFormat="1" x14ac:dyDescent="0.25">
      <c r="A109" s="132"/>
      <c r="B109" s="645"/>
      <c r="C109" s="647"/>
      <c r="D109" s="647"/>
      <c r="E109" s="647"/>
      <c r="F109" s="647"/>
      <c r="G109" s="647"/>
      <c r="H109" s="647"/>
      <c r="I109" s="647"/>
      <c r="J109" s="647"/>
      <c r="K109" s="647"/>
      <c r="L109" s="647"/>
      <c r="M109" s="647"/>
      <c r="N109" s="647"/>
      <c r="O109" s="647"/>
      <c r="P109" s="647"/>
      <c r="Q109" s="647"/>
      <c r="R109" s="647"/>
    </row>
    <row r="110" spans="1:18" s="464" customFormat="1" x14ac:dyDescent="0.25">
      <c r="A110" s="105"/>
      <c r="B110" s="645"/>
      <c r="C110" s="647"/>
      <c r="D110" s="647"/>
      <c r="E110" s="647"/>
      <c r="F110" s="647"/>
      <c r="G110" s="647"/>
      <c r="H110" s="647"/>
      <c r="I110" s="647"/>
      <c r="J110" s="647"/>
      <c r="K110" s="647"/>
      <c r="L110" s="647"/>
      <c r="M110" s="647"/>
      <c r="N110" s="647"/>
      <c r="O110" s="647"/>
      <c r="P110" s="647"/>
      <c r="Q110" s="647"/>
      <c r="R110" s="647"/>
    </row>
    <row r="111" spans="1:18" x14ac:dyDescent="0.25">
      <c r="A111" s="132"/>
      <c r="C111" s="103"/>
      <c r="D111" s="103"/>
      <c r="E111" s="103"/>
      <c r="F111" s="103"/>
      <c r="G111" s="104"/>
      <c r="H111" s="104"/>
      <c r="I111" s="104"/>
      <c r="J111" s="104"/>
      <c r="K111" s="104"/>
      <c r="L111" s="104"/>
      <c r="M111" s="104"/>
      <c r="N111" s="104"/>
      <c r="O111" s="104"/>
      <c r="P111" s="104"/>
      <c r="Q111" s="104"/>
      <c r="R111" s="104"/>
    </row>
    <row r="112" spans="1:18" x14ac:dyDescent="0.25">
      <c r="A112" s="132"/>
      <c r="C112" s="103"/>
      <c r="D112" s="103"/>
      <c r="E112" s="103"/>
      <c r="F112" s="103"/>
      <c r="G112" s="104"/>
      <c r="H112" s="104"/>
      <c r="I112" s="104"/>
      <c r="J112" s="104"/>
      <c r="K112" s="104"/>
      <c r="L112" s="104"/>
      <c r="M112" s="104"/>
      <c r="N112" s="104"/>
      <c r="O112" s="104"/>
      <c r="P112" s="104"/>
      <c r="Q112" s="104"/>
      <c r="R112" s="104"/>
    </row>
    <row r="113" spans="2:2" ht="11.25" customHeight="1" x14ac:dyDescent="0.25"/>
    <row r="114" spans="2:2" ht="11.25" customHeight="1" x14ac:dyDescent="0.25">
      <c r="B114" s="25"/>
    </row>
    <row r="115" spans="2:2" ht="11.25" customHeight="1" x14ac:dyDescent="0.25">
      <c r="B115" s="25"/>
    </row>
    <row r="116" spans="2:2" ht="11.25" customHeight="1" x14ac:dyDescent="0.25">
      <c r="B116" s="25"/>
    </row>
    <row r="117" spans="2:2" ht="11.25" customHeight="1" x14ac:dyDescent="0.25"/>
    <row r="118" spans="2:2" ht="11.25" customHeight="1" x14ac:dyDescent="0.25"/>
    <row r="119" spans="2:2" ht="11.25" customHeight="1" x14ac:dyDescent="0.25"/>
    <row r="120" spans="2:2" ht="11.25" customHeight="1" x14ac:dyDescent="0.25"/>
    <row r="121" spans="2:2" ht="11.25" customHeight="1" x14ac:dyDescent="0.25"/>
    <row r="122" spans="2:2" ht="11.25" customHeight="1" x14ac:dyDescent="0.25"/>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dataValidations count="6">
    <dataValidation type="list" showInputMessage="1" showErrorMessage="1" promptTitle="Guidance" prompt="Select Uniform or Variable" sqref="C24:R24 C80:R80" xr:uid="{00000000-0002-0000-2000-000000000000}">
      <formula1>List7</formula1>
    </dataValidation>
    <dataValidation type="list" showInputMessage="1" showErrorMessage="1" promptTitle="Guidance" prompt="Select Yes or No" sqref="C78:R79 C22:R23" xr:uid="{00000000-0002-0000-2000-000001000000}">
      <formula1>List6</formula1>
    </dataValidation>
    <dataValidation type="list" allowBlank="1" showInputMessage="1" showErrorMessage="1" promptTitle="Select" prompt="Select one" sqref="C20:R20 C76:R76" xr:uid="{00000000-0002-0000-2000-000002000000}">
      <formula1>List5</formula1>
    </dataValidation>
    <dataValidation type="list" allowBlank="1" showInputMessage="1" showErrorMessage="1" promptTitle="Select" prompt="Select one" sqref="C19:R19 C75:R75" xr:uid="{00000000-0002-0000-2000-000003000000}">
      <formula1>List4</formula1>
    </dataValidation>
    <dataValidation type="list" allowBlank="1" showInputMessage="1" showErrorMessage="1" promptTitle="Select" prompt="Select one" sqref="C17:R17 C73:R74" xr:uid="{00000000-0002-0000-2000-000004000000}">
      <formula1>List2</formula1>
    </dataValidation>
    <dataValidation type="list" allowBlank="1" showInputMessage="1" showErrorMessage="1" promptTitle="Select" prompt="Select one" sqref="C18:R18" xr:uid="{00000000-0002-0000-2000-000005000000}">
      <formula1>List3</formula1>
    </dataValidation>
  </dataValidations>
  <printOptions horizontalCentered="1"/>
  <pageMargins left="0" right="0" top="0.59055118110236227" bottom="0.24" header="0.51181102362204722" footer="0.23622047244094491"/>
  <pageSetup paperSize="9" scale="80" orientation="landscape"/>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5"/>
  <dimension ref="A1:S166"/>
  <sheetViews>
    <sheetView showGridLines="0" zoomScaleNormal="100" workbookViewId="0">
      <selection activeCell="C6" sqref="C6"/>
    </sheetView>
  </sheetViews>
  <sheetFormatPr defaultRowHeight="12.75" x14ac:dyDescent="0.25"/>
  <cols>
    <col min="1" max="1" width="31.42578125" style="25" customWidth="1"/>
    <col min="2" max="2" width="3.7109375" style="102" customWidth="1"/>
    <col min="3" max="3" width="17.7109375" style="25" customWidth="1"/>
    <col min="4" max="10" width="9.28515625" style="25" customWidth="1"/>
    <col min="11" max="18" width="8.140625" style="25" customWidth="1"/>
    <col min="19" max="19" width="9.7109375" style="25" customWidth="1"/>
    <col min="20" max="20" width="9.42578125" style="25" customWidth="1"/>
    <col min="21" max="21" width="9.7109375" style="25" customWidth="1"/>
    <col min="22" max="24" width="9.42578125" style="25" customWidth="1"/>
    <col min="25" max="25" width="9.7109375" style="25" customWidth="1"/>
    <col min="26" max="28" width="9.42578125" style="25" customWidth="1"/>
    <col min="29" max="30" width="9.7109375" style="25" customWidth="1"/>
    <col min="31" max="16384" width="9.140625" style="25"/>
  </cols>
  <sheetData>
    <row r="1" spans="1:18" ht="13.5" x14ac:dyDescent="0.25">
      <c r="A1" s="1241" t="str">
        <f>muni&amp;" - "&amp;TableA13a</f>
        <v>EC101 Dr Beyers Naude - Supporting Table SA13a Service Tariffs by category</v>
      </c>
      <c r="B1" s="23"/>
      <c r="C1" s="23"/>
      <c r="D1" s="23"/>
      <c r="E1" s="23"/>
      <c r="F1" s="23"/>
      <c r="G1" s="23"/>
      <c r="H1" s="23"/>
      <c r="I1" s="23"/>
      <c r="J1" s="23"/>
      <c r="K1" s="591"/>
      <c r="L1" s="591"/>
      <c r="M1" s="591"/>
      <c r="N1" s="591"/>
      <c r="O1" s="591"/>
      <c r="P1" s="591"/>
      <c r="Q1" s="591"/>
      <c r="R1" s="591"/>
    </row>
    <row r="2" spans="1:18" ht="25.15" customHeight="1" x14ac:dyDescent="0.25">
      <c r="A2" s="1958" t="str">
        <f>desc</f>
        <v>Description</v>
      </c>
      <c r="B2" s="1930" t="str">
        <f>head27</f>
        <v>Ref</v>
      </c>
      <c r="C2" s="1956" t="s">
        <v>1858</v>
      </c>
      <c r="D2" s="1956" t="str">
        <f>head1b</f>
        <v>2015/16</v>
      </c>
      <c r="E2" s="1956" t="str">
        <f>head1A</f>
        <v>2016/17</v>
      </c>
      <c r="F2" s="1938" t="str">
        <f>Head1</f>
        <v>2017/18</v>
      </c>
      <c r="G2" s="1946" t="str">
        <f>Head2</f>
        <v>Current Year 2018/19</v>
      </c>
      <c r="H2" s="1242" t="str">
        <f>Head3</f>
        <v>2019/20 Medium Term Revenue &amp; Expenditure Framework</v>
      </c>
      <c r="I2" s="416"/>
      <c r="J2" s="417"/>
      <c r="K2" s="1100"/>
      <c r="L2" s="1100"/>
      <c r="M2" s="1100"/>
      <c r="N2" s="1100"/>
      <c r="O2" s="1100"/>
      <c r="P2" s="1100"/>
      <c r="Q2" s="1100"/>
      <c r="R2" s="1100"/>
    </row>
    <row r="3" spans="1:18" ht="25.15" customHeight="1" x14ac:dyDescent="0.25">
      <c r="A3" s="1960"/>
      <c r="B3" s="1933"/>
      <c r="C3" s="1957"/>
      <c r="D3" s="1957"/>
      <c r="E3" s="1957"/>
      <c r="F3" s="1939"/>
      <c r="G3" s="1947"/>
      <c r="H3" s="27" t="str">
        <f>Head9</f>
        <v>Budget Year 2019/20</v>
      </c>
      <c r="I3" s="419" t="str">
        <f>Head10</f>
        <v>Budget Year +1 2020/21</v>
      </c>
      <c r="J3" s="29" t="str">
        <f>Head11</f>
        <v>Budget Year +2 2021/22</v>
      </c>
      <c r="K3" s="104"/>
      <c r="L3" s="104"/>
      <c r="M3" s="104"/>
      <c r="N3" s="104"/>
      <c r="O3" s="104"/>
      <c r="P3" s="104"/>
      <c r="Q3" s="104"/>
      <c r="R3" s="104"/>
    </row>
    <row r="4" spans="1:18" ht="12.75" customHeight="1" x14ac:dyDescent="0.25">
      <c r="A4" s="270" t="s">
        <v>1859</v>
      </c>
      <c r="B4" s="233">
        <v>1</v>
      </c>
      <c r="C4" s="233"/>
      <c r="D4" s="1243"/>
      <c r="E4" s="1243"/>
      <c r="F4" s="1244"/>
      <c r="G4" s="1245"/>
      <c r="H4" s="1245"/>
      <c r="I4" s="1243"/>
      <c r="J4" s="1244"/>
      <c r="K4" s="104"/>
      <c r="L4" s="104"/>
      <c r="M4" s="104"/>
      <c r="N4" s="104"/>
      <c r="O4" s="104"/>
      <c r="P4" s="104"/>
      <c r="Q4" s="104"/>
      <c r="R4" s="104"/>
    </row>
    <row r="5" spans="1:18" ht="12.75" customHeight="1" x14ac:dyDescent="0.25">
      <c r="A5" s="1246" t="s">
        <v>1860</v>
      </c>
      <c r="B5" s="235"/>
      <c r="C5" s="1615" t="s">
        <v>2714</v>
      </c>
      <c r="D5" s="1616"/>
      <c r="E5" s="1616"/>
      <c r="F5" s="1617"/>
      <c r="G5" s="1618"/>
      <c r="H5" s="1618"/>
      <c r="I5" s="1616"/>
      <c r="J5" s="1617"/>
      <c r="K5" s="1010"/>
      <c r="L5" s="1010"/>
      <c r="M5" s="1010"/>
      <c r="N5" s="1010"/>
      <c r="O5" s="1010"/>
      <c r="P5" s="1010"/>
      <c r="Q5" s="1010"/>
      <c r="R5" s="1010"/>
    </row>
    <row r="6" spans="1:18" ht="12.75" customHeight="1" x14ac:dyDescent="0.25">
      <c r="A6" s="1246" t="s">
        <v>1861</v>
      </c>
      <c r="B6" s="235"/>
      <c r="C6" s="1615"/>
      <c r="D6" s="1616"/>
      <c r="E6" s="1616"/>
      <c r="F6" s="1617"/>
      <c r="G6" s="1618"/>
      <c r="H6" s="1618"/>
      <c r="I6" s="1616"/>
      <c r="J6" s="1617"/>
      <c r="K6" s="1010"/>
      <c r="L6" s="1010"/>
      <c r="M6" s="1010"/>
      <c r="N6" s="1010"/>
      <c r="O6" s="1010"/>
      <c r="P6" s="1010"/>
      <c r="Q6" s="1010"/>
      <c r="R6" s="1010"/>
    </row>
    <row r="7" spans="1:18" ht="12.75" customHeight="1" x14ac:dyDescent="0.25">
      <c r="A7" s="1246" t="s">
        <v>1862</v>
      </c>
      <c r="B7" s="235"/>
      <c r="C7" s="1615"/>
      <c r="D7" s="1616"/>
      <c r="E7" s="1616"/>
      <c r="F7" s="1617"/>
      <c r="G7" s="1618"/>
      <c r="H7" s="1618"/>
      <c r="I7" s="1616"/>
      <c r="J7" s="1617"/>
      <c r="K7" s="1010"/>
      <c r="L7" s="1010"/>
      <c r="M7" s="1010"/>
      <c r="N7" s="1010"/>
      <c r="O7" s="1010"/>
      <c r="P7" s="1010"/>
      <c r="Q7" s="1010"/>
      <c r="R7" s="1010"/>
    </row>
    <row r="8" spans="1:18" ht="12.75" customHeight="1" x14ac:dyDescent="0.25">
      <c r="A8" s="1246" t="s">
        <v>1863</v>
      </c>
      <c r="B8" s="235"/>
      <c r="C8" s="1615"/>
      <c r="D8" s="1616"/>
      <c r="E8" s="1616"/>
      <c r="F8" s="1617"/>
      <c r="G8" s="1618"/>
      <c r="H8" s="1618"/>
      <c r="I8" s="1616"/>
      <c r="J8" s="1617"/>
      <c r="K8" s="1010"/>
      <c r="L8" s="1010"/>
      <c r="M8" s="1010"/>
      <c r="N8" s="1010"/>
      <c r="O8" s="1010"/>
      <c r="P8" s="1010"/>
      <c r="Q8" s="1010"/>
      <c r="R8" s="1010"/>
    </row>
    <row r="9" spans="1:18" ht="12.75" customHeight="1" x14ac:dyDescent="0.25">
      <c r="A9" s="1246" t="s">
        <v>1864</v>
      </c>
      <c r="B9" s="235"/>
      <c r="C9" s="1615"/>
      <c r="D9" s="1616"/>
      <c r="E9" s="1616"/>
      <c r="F9" s="1617"/>
      <c r="G9" s="1618"/>
      <c r="H9" s="1618"/>
      <c r="I9" s="1616"/>
      <c r="J9" s="1617"/>
      <c r="K9" s="1010"/>
      <c r="L9" s="1010"/>
      <c r="M9" s="1010"/>
      <c r="N9" s="1010"/>
      <c r="O9" s="1010"/>
      <c r="P9" s="1010"/>
      <c r="Q9" s="1010"/>
      <c r="R9" s="1010"/>
    </row>
    <row r="10" spans="1:18" ht="12.75" customHeight="1" x14ac:dyDescent="0.25">
      <c r="A10" s="1246" t="s">
        <v>1865</v>
      </c>
      <c r="B10" s="235"/>
      <c r="C10" s="1615"/>
      <c r="D10" s="1616"/>
      <c r="E10" s="1616"/>
      <c r="F10" s="1617"/>
      <c r="G10" s="1618"/>
      <c r="H10" s="1618"/>
      <c r="I10" s="1616"/>
      <c r="J10" s="1617"/>
      <c r="K10" s="1010"/>
      <c r="L10" s="1010"/>
      <c r="M10" s="1010"/>
      <c r="N10" s="1010"/>
      <c r="O10" s="1010"/>
      <c r="P10" s="1010"/>
      <c r="Q10" s="1010"/>
      <c r="R10" s="1010"/>
    </row>
    <row r="11" spans="1:18" ht="12.75" customHeight="1" x14ac:dyDescent="0.25">
      <c r="A11" s="1246" t="s">
        <v>1866</v>
      </c>
      <c r="B11" s="235"/>
      <c r="C11" s="1615"/>
      <c r="D11" s="1616"/>
      <c r="E11" s="1616"/>
      <c r="F11" s="1617"/>
      <c r="G11" s="1618"/>
      <c r="H11" s="1618"/>
      <c r="I11" s="1616"/>
      <c r="J11" s="1617"/>
      <c r="K11" s="1010"/>
      <c r="L11" s="1010"/>
      <c r="M11" s="1010"/>
      <c r="N11" s="1010"/>
      <c r="O11" s="1010"/>
      <c r="P11" s="1010"/>
      <c r="Q11" s="1010"/>
      <c r="R11" s="1010"/>
    </row>
    <row r="12" spans="1:18" ht="12.75" customHeight="1" x14ac:dyDescent="0.25">
      <c r="A12" s="1246" t="s">
        <v>1867</v>
      </c>
      <c r="B12" s="235"/>
      <c r="C12" s="1615"/>
      <c r="D12" s="1616"/>
      <c r="E12" s="1616"/>
      <c r="F12" s="1617"/>
      <c r="G12" s="1618"/>
      <c r="H12" s="1618"/>
      <c r="I12" s="1616"/>
      <c r="J12" s="1617"/>
      <c r="K12" s="1010"/>
      <c r="L12" s="1010"/>
      <c r="M12" s="1010"/>
      <c r="N12" s="1010"/>
      <c r="O12" s="1010"/>
      <c r="P12" s="1010"/>
      <c r="Q12" s="1010"/>
      <c r="R12" s="1010"/>
    </row>
    <row r="13" spans="1:18" ht="12.75" customHeight="1" x14ac:dyDescent="0.25">
      <c r="A13" s="1246" t="s">
        <v>1868</v>
      </c>
      <c r="B13" s="235"/>
      <c r="C13" s="1615"/>
      <c r="D13" s="1616"/>
      <c r="E13" s="1616"/>
      <c r="F13" s="1617"/>
      <c r="G13" s="1618"/>
      <c r="H13" s="1618"/>
      <c r="I13" s="1616"/>
      <c r="J13" s="1617"/>
      <c r="K13" s="1010"/>
      <c r="L13" s="1010"/>
      <c r="M13" s="1010"/>
      <c r="N13" s="1010"/>
      <c r="O13" s="1010"/>
      <c r="P13" s="1010"/>
      <c r="Q13" s="1010"/>
      <c r="R13" s="1010"/>
    </row>
    <row r="14" spans="1:18" ht="12.75" customHeight="1" x14ac:dyDescent="0.25">
      <c r="A14" s="1246" t="s">
        <v>1869</v>
      </c>
      <c r="B14" s="235"/>
      <c r="C14" s="1615"/>
      <c r="D14" s="1616"/>
      <c r="E14" s="1616"/>
      <c r="F14" s="1617"/>
      <c r="G14" s="1618"/>
      <c r="H14" s="1618"/>
      <c r="I14" s="1616"/>
      <c r="J14" s="1617"/>
      <c r="K14" s="1010"/>
      <c r="L14" s="1010"/>
      <c r="M14" s="1010"/>
      <c r="N14" s="1010"/>
      <c r="O14" s="1010"/>
      <c r="P14" s="1010"/>
      <c r="Q14" s="1010"/>
      <c r="R14" s="1010"/>
    </row>
    <row r="15" spans="1:18" ht="12.75" customHeight="1" x14ac:dyDescent="0.25">
      <c r="A15" s="1246" t="s">
        <v>1870</v>
      </c>
      <c r="B15" s="235"/>
      <c r="C15" s="1615"/>
      <c r="D15" s="1616"/>
      <c r="E15" s="1616"/>
      <c r="F15" s="1617"/>
      <c r="G15" s="1618"/>
      <c r="H15" s="1618"/>
      <c r="I15" s="1616"/>
      <c r="J15" s="1617"/>
      <c r="K15" s="1010"/>
      <c r="L15" s="1010"/>
      <c r="M15" s="1010"/>
      <c r="N15" s="1010"/>
      <c r="O15" s="1010"/>
      <c r="P15" s="1010"/>
      <c r="Q15" s="1010"/>
      <c r="R15" s="1010"/>
    </row>
    <row r="16" spans="1:18" ht="12.75" customHeight="1" x14ac:dyDescent="0.25">
      <c r="A16" s="1246" t="s">
        <v>1871</v>
      </c>
      <c r="B16" s="235"/>
      <c r="C16" s="1615"/>
      <c r="D16" s="1616"/>
      <c r="E16" s="1616"/>
      <c r="F16" s="1617"/>
      <c r="G16" s="1618"/>
      <c r="H16" s="1618"/>
      <c r="I16" s="1616"/>
      <c r="J16" s="1617"/>
      <c r="K16" s="1105"/>
      <c r="L16" s="1105"/>
      <c r="M16" s="1105"/>
      <c r="N16" s="1105"/>
      <c r="O16" s="1105"/>
      <c r="P16" s="1105"/>
      <c r="Q16" s="1105"/>
      <c r="R16" s="1105"/>
    </row>
    <row r="17" spans="1:18" ht="12.75" customHeight="1" x14ac:dyDescent="0.25">
      <c r="A17" s="1246" t="s">
        <v>1872</v>
      </c>
      <c r="B17" s="235"/>
      <c r="C17" s="1615"/>
      <c r="D17" s="1616"/>
      <c r="E17" s="1616"/>
      <c r="F17" s="1617"/>
      <c r="G17" s="1618"/>
      <c r="H17" s="1618"/>
      <c r="I17" s="1616"/>
      <c r="J17" s="1617"/>
      <c r="K17" s="645"/>
      <c r="L17" s="645"/>
      <c r="M17" s="645"/>
      <c r="N17" s="645"/>
      <c r="O17" s="645"/>
      <c r="P17" s="645"/>
      <c r="Q17" s="645"/>
      <c r="R17" s="645"/>
    </row>
    <row r="18" spans="1:18" ht="12.75" customHeight="1" x14ac:dyDescent="0.25">
      <c r="A18" s="1246" t="s">
        <v>1873</v>
      </c>
      <c r="B18" s="235"/>
      <c r="C18" s="1615"/>
      <c r="D18" s="1616"/>
      <c r="E18" s="1616"/>
      <c r="F18" s="1617"/>
      <c r="G18" s="1618"/>
      <c r="H18" s="1618"/>
      <c r="I18" s="1616"/>
      <c r="J18" s="1617"/>
      <c r="K18" s="1106"/>
      <c r="L18" s="1106"/>
      <c r="M18" s="1106"/>
      <c r="N18" s="1106"/>
      <c r="O18" s="1106"/>
      <c r="P18" s="1106"/>
      <c r="Q18" s="1106"/>
      <c r="R18" s="1106"/>
    </row>
    <row r="19" spans="1:18" ht="12.75" customHeight="1" x14ac:dyDescent="0.25">
      <c r="A19" s="1246" t="s">
        <v>1874</v>
      </c>
      <c r="B19" s="235"/>
      <c r="C19" s="1615"/>
      <c r="D19" s="1616"/>
      <c r="E19" s="1616"/>
      <c r="F19" s="1617"/>
      <c r="G19" s="1618"/>
      <c r="H19" s="1618"/>
      <c r="I19" s="1616"/>
      <c r="J19" s="1617"/>
      <c r="K19" s="645"/>
      <c r="L19" s="645"/>
      <c r="M19" s="645"/>
      <c r="N19" s="645"/>
      <c r="O19" s="645"/>
      <c r="P19" s="645"/>
      <c r="Q19" s="645"/>
      <c r="R19" s="645"/>
    </row>
    <row r="20" spans="1:18" ht="12.75" customHeight="1" x14ac:dyDescent="0.25">
      <c r="A20" s="1246" t="s">
        <v>1875</v>
      </c>
      <c r="B20" s="235"/>
      <c r="C20" s="1615"/>
      <c r="D20" s="1616"/>
      <c r="E20" s="1616"/>
      <c r="F20" s="1617"/>
      <c r="G20" s="1618"/>
      <c r="H20" s="1618"/>
      <c r="I20" s="1616"/>
      <c r="J20" s="1617"/>
      <c r="K20" s="645"/>
      <c r="L20" s="645"/>
      <c r="M20" s="645"/>
      <c r="N20" s="645"/>
      <c r="O20" s="645"/>
      <c r="P20" s="645"/>
      <c r="Q20" s="645"/>
      <c r="R20" s="645"/>
    </row>
    <row r="21" spans="1:18" ht="12.75" customHeight="1" x14ac:dyDescent="0.25">
      <c r="A21" s="1246" t="s">
        <v>1876</v>
      </c>
      <c r="B21" s="235"/>
      <c r="C21" s="1615"/>
      <c r="D21" s="1616"/>
      <c r="E21" s="1616"/>
      <c r="F21" s="1617"/>
      <c r="G21" s="1618"/>
      <c r="H21" s="1618"/>
      <c r="I21" s="1616"/>
      <c r="J21" s="1617"/>
      <c r="K21" s="645"/>
      <c r="L21" s="645"/>
      <c r="M21" s="645"/>
      <c r="N21" s="645"/>
      <c r="O21" s="645"/>
      <c r="P21" s="645"/>
      <c r="Q21" s="645"/>
      <c r="R21" s="645"/>
    </row>
    <row r="22" spans="1:18" ht="12.75" customHeight="1" x14ac:dyDescent="0.25">
      <c r="A22" s="1246" t="s">
        <v>354</v>
      </c>
      <c r="B22" s="235"/>
      <c r="C22" s="1615"/>
      <c r="D22" s="1616"/>
      <c r="E22" s="1616"/>
      <c r="F22" s="1617"/>
      <c r="G22" s="1618"/>
      <c r="H22" s="1618"/>
      <c r="I22" s="1616"/>
      <c r="J22" s="1617"/>
      <c r="K22" s="645"/>
      <c r="L22" s="645"/>
      <c r="M22" s="645"/>
      <c r="N22" s="645"/>
      <c r="O22" s="645"/>
      <c r="P22" s="645"/>
      <c r="Q22" s="645"/>
      <c r="R22" s="645"/>
    </row>
    <row r="23" spans="1:18" ht="12.75" customHeight="1" x14ac:dyDescent="0.25">
      <c r="A23" s="1246" t="s">
        <v>1877</v>
      </c>
      <c r="B23" s="235"/>
      <c r="C23" s="1615"/>
      <c r="D23" s="1616"/>
      <c r="E23" s="1616"/>
      <c r="F23" s="1617"/>
      <c r="G23" s="1618"/>
      <c r="H23" s="1618"/>
      <c r="I23" s="1616"/>
      <c r="J23" s="1617"/>
      <c r="K23" s="645"/>
      <c r="L23" s="645"/>
      <c r="M23" s="645"/>
      <c r="N23" s="645"/>
      <c r="O23" s="645"/>
      <c r="P23" s="645"/>
      <c r="Q23" s="645"/>
      <c r="R23" s="645"/>
    </row>
    <row r="24" spans="1:18" ht="12.75" customHeight="1" x14ac:dyDescent="0.25">
      <c r="A24" s="1246" t="s">
        <v>1878</v>
      </c>
      <c r="B24" s="235"/>
      <c r="C24" s="1615"/>
      <c r="D24" s="1616"/>
      <c r="E24" s="1616"/>
      <c r="F24" s="1617"/>
      <c r="G24" s="1618"/>
      <c r="H24" s="1618"/>
      <c r="I24" s="1616"/>
      <c r="J24" s="1617"/>
      <c r="K24" s="645"/>
      <c r="L24" s="645"/>
      <c r="M24" s="645"/>
      <c r="N24" s="645"/>
      <c r="O24" s="645"/>
      <c r="P24" s="645"/>
      <c r="Q24" s="645"/>
      <c r="R24" s="645"/>
    </row>
    <row r="25" spans="1:18" ht="12.75" customHeight="1" x14ac:dyDescent="0.25">
      <c r="A25" s="1246" t="s">
        <v>1879</v>
      </c>
      <c r="B25" s="235"/>
      <c r="C25" s="1615"/>
      <c r="D25" s="1616"/>
      <c r="E25" s="1616"/>
      <c r="F25" s="1617"/>
      <c r="G25" s="1618"/>
      <c r="H25" s="1618"/>
      <c r="I25" s="1616"/>
      <c r="J25" s="1617"/>
      <c r="K25" s="109"/>
      <c r="L25" s="109"/>
      <c r="M25" s="109"/>
      <c r="N25" s="109"/>
      <c r="O25" s="109"/>
      <c r="P25" s="109"/>
      <c r="Q25" s="109"/>
      <c r="R25" s="109"/>
    </row>
    <row r="26" spans="1:18" ht="4.9000000000000004" customHeight="1" x14ac:dyDescent="0.25">
      <c r="A26" s="1246"/>
      <c r="B26" s="235"/>
      <c r="C26" s="1615"/>
      <c r="D26" s="1615"/>
      <c r="E26" s="1615"/>
      <c r="F26" s="1619"/>
      <c r="G26" s="1620"/>
      <c r="H26" s="1620"/>
      <c r="I26" s="1615"/>
      <c r="J26" s="1619"/>
      <c r="K26" s="109"/>
      <c r="L26" s="109"/>
      <c r="M26" s="109"/>
      <c r="N26" s="109"/>
      <c r="O26" s="109"/>
      <c r="P26" s="109"/>
      <c r="Q26" s="109"/>
      <c r="R26" s="109"/>
    </row>
    <row r="27" spans="1:18" ht="12.75" customHeight="1" x14ac:dyDescent="0.25">
      <c r="A27" s="270" t="s">
        <v>1880</v>
      </c>
      <c r="B27" s="235"/>
      <c r="C27" s="1247"/>
      <c r="D27" s="1247"/>
      <c r="E27" s="1247"/>
      <c r="F27" s="1248"/>
      <c r="G27" s="1249"/>
      <c r="H27" s="1249"/>
      <c r="I27" s="1247"/>
      <c r="J27" s="1248"/>
      <c r="K27" s="1107"/>
      <c r="L27" s="1107"/>
      <c r="M27" s="1107"/>
      <c r="N27" s="1107"/>
      <c r="O27" s="1107"/>
      <c r="P27" s="1107"/>
      <c r="Q27" s="1107"/>
      <c r="R27" s="1107"/>
    </row>
    <row r="28" spans="1:18" ht="12.75" customHeight="1" x14ac:dyDescent="0.25">
      <c r="A28" s="1250" t="s">
        <v>1860</v>
      </c>
      <c r="B28" s="235"/>
      <c r="C28" s="1247"/>
      <c r="D28" s="1247"/>
      <c r="E28" s="1247"/>
      <c r="F28" s="1248"/>
      <c r="G28" s="1249"/>
      <c r="H28" s="1249"/>
      <c r="I28" s="1247"/>
      <c r="J28" s="1248"/>
      <c r="K28" s="1107"/>
      <c r="L28" s="1107"/>
      <c r="M28" s="1107"/>
      <c r="N28" s="1107"/>
      <c r="O28" s="1107"/>
      <c r="P28" s="1107"/>
      <c r="Q28" s="1107"/>
      <c r="R28" s="1107"/>
    </row>
    <row r="29" spans="1:18" ht="12.75" customHeight="1" x14ac:dyDescent="0.25">
      <c r="A29" s="1246" t="s">
        <v>1915</v>
      </c>
      <c r="B29" s="235"/>
      <c r="C29" s="1247"/>
      <c r="D29" s="1247">
        <v>15000</v>
      </c>
      <c r="E29" s="1247">
        <v>15000</v>
      </c>
      <c r="F29" s="1248">
        <v>15000</v>
      </c>
      <c r="G29" s="1249">
        <v>15000</v>
      </c>
      <c r="H29" s="1249">
        <v>15000</v>
      </c>
      <c r="I29" s="1247">
        <v>15000</v>
      </c>
      <c r="J29" s="1248">
        <v>15000</v>
      </c>
      <c r="K29" s="1107"/>
      <c r="L29" s="1107"/>
      <c r="M29" s="1107"/>
      <c r="N29" s="1107"/>
      <c r="O29" s="1107"/>
      <c r="P29" s="1107"/>
      <c r="Q29" s="1107"/>
      <c r="R29" s="1107"/>
    </row>
    <row r="30" spans="1:18" ht="12.75" customHeight="1" x14ac:dyDescent="0.25">
      <c r="A30" s="187" t="s">
        <v>1881</v>
      </c>
      <c r="B30" s="235"/>
      <c r="C30" s="1615"/>
      <c r="D30" s="1615"/>
      <c r="E30" s="1615"/>
      <c r="F30" s="1619"/>
      <c r="G30" s="1620"/>
      <c r="H30" s="1620"/>
      <c r="I30" s="1615"/>
      <c r="J30" s="1619"/>
      <c r="K30" s="1107"/>
      <c r="L30" s="1107"/>
      <c r="M30" s="1107"/>
      <c r="N30" s="1107"/>
      <c r="O30" s="1107"/>
      <c r="P30" s="1107"/>
      <c r="Q30" s="1107"/>
      <c r="R30" s="1107"/>
    </row>
    <row r="31" spans="1:18" ht="12.75" customHeight="1" x14ac:dyDescent="0.25">
      <c r="A31" s="187" t="s">
        <v>1882</v>
      </c>
      <c r="B31" s="235"/>
      <c r="C31" s="1615"/>
      <c r="D31" s="1615"/>
      <c r="E31" s="1615"/>
      <c r="F31" s="1619"/>
      <c r="G31" s="1620"/>
      <c r="H31" s="1620"/>
      <c r="I31" s="1615"/>
      <c r="J31" s="1619"/>
      <c r="K31" s="1107"/>
      <c r="L31" s="1107"/>
      <c r="M31" s="1107"/>
      <c r="N31" s="1107"/>
      <c r="O31" s="1107"/>
      <c r="P31" s="1107"/>
      <c r="Q31" s="1107"/>
      <c r="R31" s="1107"/>
    </row>
    <row r="32" spans="1:18" ht="12.75" customHeight="1" x14ac:dyDescent="0.25">
      <c r="A32" s="187" t="s">
        <v>1883</v>
      </c>
      <c r="B32" s="235"/>
      <c r="C32" s="1615"/>
      <c r="D32" s="1615"/>
      <c r="E32" s="1615"/>
      <c r="F32" s="1619"/>
      <c r="G32" s="1620"/>
      <c r="H32" s="1620"/>
      <c r="I32" s="1615"/>
      <c r="J32" s="1619"/>
      <c r="K32" s="1107"/>
      <c r="L32" s="1107"/>
      <c r="M32" s="1107"/>
      <c r="N32" s="1107"/>
      <c r="O32" s="1107"/>
      <c r="P32" s="1107"/>
      <c r="Q32" s="1107"/>
      <c r="R32" s="1107"/>
    </row>
    <row r="33" spans="1:19" ht="12.75" customHeight="1" x14ac:dyDescent="0.25">
      <c r="A33" s="187" t="s">
        <v>1884</v>
      </c>
      <c r="B33" s="235"/>
      <c r="C33" s="1615"/>
      <c r="D33" s="1615"/>
      <c r="E33" s="1615"/>
      <c r="F33" s="1619"/>
      <c r="G33" s="1620"/>
      <c r="H33" s="1620"/>
      <c r="I33" s="1615"/>
      <c r="J33" s="1619"/>
      <c r="K33" s="1102"/>
      <c r="L33" s="1102"/>
      <c r="M33" s="1102"/>
      <c r="N33" s="1102"/>
      <c r="O33" s="1102"/>
      <c r="P33" s="1102"/>
      <c r="Q33" s="1102"/>
      <c r="R33" s="1102"/>
    </row>
    <row r="34" spans="1:19" ht="12.75" customHeight="1" x14ac:dyDescent="0.25">
      <c r="A34" s="187" t="s">
        <v>1885</v>
      </c>
      <c r="B34" s="235"/>
      <c r="C34" s="1615"/>
      <c r="D34" s="1615"/>
      <c r="E34" s="1615"/>
      <c r="F34" s="1619"/>
      <c r="G34" s="1620"/>
      <c r="H34" s="1620"/>
      <c r="I34" s="1615"/>
      <c r="J34" s="1619"/>
      <c r="K34" s="1108"/>
      <c r="L34" s="1108"/>
      <c r="M34" s="1108"/>
      <c r="N34" s="1108"/>
      <c r="O34" s="1108"/>
      <c r="P34" s="1108"/>
      <c r="Q34" s="1108"/>
      <c r="R34" s="1108"/>
    </row>
    <row r="35" spans="1:19" ht="12.75" customHeight="1" x14ac:dyDescent="0.25">
      <c r="A35" s="728" t="s">
        <v>2021</v>
      </c>
      <c r="B35" s="235">
        <v>2</v>
      </c>
      <c r="C35" s="1615"/>
      <c r="D35" s="1615"/>
      <c r="E35" s="1615"/>
      <c r="F35" s="1619"/>
      <c r="G35" s="1620"/>
      <c r="H35" s="1620"/>
      <c r="I35" s="1615"/>
      <c r="J35" s="1619"/>
      <c r="K35" s="1108"/>
      <c r="L35" s="1108"/>
      <c r="M35" s="1108"/>
      <c r="N35" s="1108"/>
      <c r="O35" s="1108"/>
      <c r="P35" s="1108"/>
      <c r="Q35" s="1108"/>
      <c r="R35" s="1108"/>
    </row>
    <row r="36" spans="1:19" ht="4.9000000000000004" customHeight="1" x14ac:dyDescent="0.25">
      <c r="A36" s="1251"/>
      <c r="B36" s="235"/>
      <c r="C36" s="235"/>
      <c r="D36" s="1252"/>
      <c r="E36" s="1252"/>
      <c r="F36" s="1253"/>
      <c r="G36" s="1254"/>
      <c r="H36" s="1254"/>
      <c r="I36" s="1252"/>
      <c r="J36" s="1253"/>
      <c r="K36" s="1110"/>
      <c r="L36" s="1110"/>
      <c r="M36" s="1110"/>
      <c r="N36" s="1110"/>
      <c r="O36" s="1110"/>
      <c r="P36" s="1110"/>
      <c r="Q36" s="1110"/>
      <c r="R36" s="1110"/>
    </row>
    <row r="37" spans="1:19" ht="12.75" customHeight="1" x14ac:dyDescent="0.25">
      <c r="A37" s="270" t="s">
        <v>1886</v>
      </c>
      <c r="B37" s="235"/>
      <c r="C37" s="235"/>
      <c r="D37" s="1247"/>
      <c r="E37" s="1247"/>
      <c r="F37" s="1248"/>
      <c r="G37" s="1249"/>
      <c r="H37" s="1249"/>
      <c r="I37" s="1247"/>
      <c r="J37" s="1248"/>
      <c r="K37" s="1103"/>
      <c r="L37" s="1103"/>
      <c r="M37" s="1103"/>
      <c r="N37" s="1103"/>
      <c r="O37" s="1103"/>
      <c r="P37" s="1103"/>
      <c r="Q37" s="1103"/>
      <c r="R37" s="1103"/>
    </row>
    <row r="38" spans="1:19" ht="12.75" customHeight="1" x14ac:dyDescent="0.25">
      <c r="A38" s="1250" t="s">
        <v>1887</v>
      </c>
      <c r="B38" s="235"/>
      <c r="C38" s="235"/>
      <c r="D38" s="1247"/>
      <c r="E38" s="1247"/>
      <c r="F38" s="1248"/>
      <c r="G38" s="1249"/>
      <c r="H38" s="1249"/>
      <c r="I38" s="1247"/>
      <c r="J38" s="1248"/>
      <c r="K38" s="1111"/>
      <c r="L38" s="1111"/>
      <c r="M38" s="1111"/>
      <c r="N38" s="1111"/>
      <c r="O38" s="1111"/>
      <c r="P38" s="1111"/>
      <c r="Q38" s="1111"/>
      <c r="R38" s="1111"/>
    </row>
    <row r="39" spans="1:19" ht="12.75" customHeight="1" x14ac:dyDescent="0.25">
      <c r="A39" s="1246" t="s">
        <v>1888</v>
      </c>
      <c r="B39" s="235"/>
      <c r="C39" s="1615"/>
      <c r="D39" s="1615"/>
      <c r="E39" s="1615"/>
      <c r="F39" s="1619"/>
      <c r="G39" s="1620"/>
      <c r="H39" s="1620"/>
      <c r="I39" s="1615"/>
      <c r="J39" s="1619"/>
      <c r="K39" s="770"/>
      <c r="L39" s="770"/>
      <c r="M39" s="770"/>
      <c r="N39" s="770"/>
      <c r="O39" s="770"/>
      <c r="P39" s="770"/>
      <c r="Q39" s="770"/>
      <c r="R39" s="770"/>
      <c r="S39" s="75">
        <f>SUM(C39:R39)</f>
        <v>0</v>
      </c>
    </row>
    <row r="40" spans="1:19" ht="12.75" customHeight="1" x14ac:dyDescent="0.25">
      <c r="A40" s="1246" t="s">
        <v>1889</v>
      </c>
      <c r="B40" s="235"/>
      <c r="C40" s="1615"/>
      <c r="D40" s="1615"/>
      <c r="E40" s="1615"/>
      <c r="F40" s="1619"/>
      <c r="G40" s="1620"/>
      <c r="H40" s="1620"/>
      <c r="I40" s="1615"/>
      <c r="J40" s="1619"/>
      <c r="K40" s="770"/>
      <c r="L40" s="770"/>
      <c r="M40" s="770"/>
      <c r="N40" s="770"/>
      <c r="O40" s="770"/>
      <c r="P40" s="770"/>
      <c r="Q40" s="770"/>
      <c r="R40" s="770"/>
      <c r="S40" s="75">
        <f>SUM(C40:R40)</f>
        <v>0</v>
      </c>
    </row>
    <row r="41" spans="1:19" ht="12.75" customHeight="1" x14ac:dyDescent="0.25">
      <c r="A41" s="1246" t="s">
        <v>1890</v>
      </c>
      <c r="B41" s="235"/>
      <c r="C41" s="1615"/>
      <c r="D41" s="1615"/>
      <c r="E41" s="1615"/>
      <c r="F41" s="1619"/>
      <c r="G41" s="1620"/>
      <c r="H41" s="1620"/>
      <c r="I41" s="1615"/>
      <c r="J41" s="1619"/>
      <c r="K41" s="1112"/>
      <c r="L41" s="1112"/>
      <c r="M41" s="1112"/>
      <c r="N41" s="1112"/>
      <c r="O41" s="1112"/>
      <c r="P41" s="1112"/>
      <c r="Q41" s="1112"/>
      <c r="R41" s="1112"/>
    </row>
    <row r="42" spans="1:19" ht="12.75" customHeight="1" x14ac:dyDescent="0.25">
      <c r="A42" s="187" t="s">
        <v>1891</v>
      </c>
      <c r="B42" s="235"/>
      <c r="C42" s="1615" t="s">
        <v>1892</v>
      </c>
      <c r="D42" s="1615"/>
      <c r="E42" s="1615"/>
      <c r="F42" s="1619"/>
      <c r="G42" s="1620"/>
      <c r="H42" s="1620"/>
      <c r="I42" s="1615"/>
      <c r="J42" s="1619"/>
      <c r="K42" s="1113"/>
      <c r="L42" s="1113"/>
      <c r="M42" s="1113"/>
      <c r="N42" s="1113"/>
      <c r="O42" s="1113"/>
      <c r="P42" s="1113"/>
      <c r="Q42" s="1113"/>
      <c r="R42" s="1113"/>
    </row>
    <row r="43" spans="1:19" ht="12.75" customHeight="1" x14ac:dyDescent="0.25">
      <c r="A43" s="187" t="s">
        <v>1893</v>
      </c>
      <c r="B43" s="235"/>
      <c r="C43" s="1615" t="s">
        <v>1894</v>
      </c>
      <c r="D43" s="1615"/>
      <c r="E43" s="1615"/>
      <c r="F43" s="1619"/>
      <c r="G43" s="1620"/>
      <c r="H43" s="1620"/>
      <c r="I43" s="1615"/>
      <c r="J43" s="1619"/>
      <c r="K43" s="1113"/>
      <c r="L43" s="1113"/>
      <c r="M43" s="1113"/>
      <c r="N43" s="1113"/>
      <c r="O43" s="1113"/>
      <c r="P43" s="1113"/>
      <c r="Q43" s="1113"/>
      <c r="R43" s="1113"/>
    </row>
    <row r="44" spans="1:19" ht="12.75" customHeight="1" x14ac:dyDescent="0.25">
      <c r="A44" s="187" t="s">
        <v>1895</v>
      </c>
      <c r="B44" s="235"/>
      <c r="C44" s="1615" t="s">
        <v>1894</v>
      </c>
      <c r="D44" s="1615"/>
      <c r="E44" s="1615"/>
      <c r="F44" s="1619"/>
      <c r="G44" s="1620"/>
      <c r="H44" s="1620"/>
      <c r="I44" s="1615"/>
      <c r="J44" s="1619"/>
      <c r="K44" s="1113"/>
      <c r="L44" s="1113"/>
      <c r="M44" s="1113"/>
      <c r="N44" s="1113"/>
      <c r="O44" s="1113"/>
      <c r="P44" s="1113"/>
      <c r="Q44" s="1113"/>
      <c r="R44" s="1113"/>
    </row>
    <row r="45" spans="1:19" ht="12.75" customHeight="1" x14ac:dyDescent="0.25">
      <c r="A45" s="187" t="s">
        <v>1896</v>
      </c>
      <c r="B45" s="235"/>
      <c r="C45" s="1615" t="s">
        <v>1894</v>
      </c>
      <c r="D45" s="1615"/>
      <c r="E45" s="1615"/>
      <c r="F45" s="1619"/>
      <c r="G45" s="1620"/>
      <c r="H45" s="1620"/>
      <c r="I45" s="1615"/>
      <c r="J45" s="1619"/>
      <c r="K45" s="1113"/>
      <c r="L45" s="1113"/>
      <c r="M45" s="1113"/>
      <c r="N45" s="1113"/>
      <c r="O45" s="1113"/>
      <c r="P45" s="1113"/>
      <c r="Q45" s="1113"/>
      <c r="R45" s="1113"/>
    </row>
    <row r="46" spans="1:19" ht="12.75" customHeight="1" x14ac:dyDescent="0.25">
      <c r="A46" s="187" t="s">
        <v>1897</v>
      </c>
      <c r="B46" s="235"/>
      <c r="C46" s="1615" t="s">
        <v>1894</v>
      </c>
      <c r="D46" s="1615"/>
      <c r="E46" s="1615"/>
      <c r="F46" s="1619"/>
      <c r="G46" s="1620"/>
      <c r="H46" s="1620"/>
      <c r="I46" s="1615"/>
      <c r="J46" s="1619"/>
      <c r="K46" s="1113"/>
      <c r="L46" s="1113"/>
      <c r="M46" s="1113"/>
      <c r="N46" s="1113"/>
      <c r="O46" s="1113"/>
      <c r="P46" s="1113"/>
      <c r="Q46" s="1113"/>
      <c r="R46" s="1113"/>
    </row>
    <row r="47" spans="1:19" ht="12.75" customHeight="1" x14ac:dyDescent="0.25">
      <c r="A47" s="728" t="s">
        <v>246</v>
      </c>
      <c r="B47" s="235">
        <v>2</v>
      </c>
      <c r="C47" s="1615"/>
      <c r="D47" s="1615"/>
      <c r="E47" s="1615"/>
      <c r="F47" s="1619"/>
      <c r="G47" s="1620"/>
      <c r="H47" s="1620"/>
      <c r="I47" s="1615"/>
      <c r="J47" s="1619"/>
      <c r="K47" s="1113"/>
      <c r="L47" s="1113"/>
      <c r="M47" s="1113"/>
      <c r="N47" s="1113"/>
      <c r="O47" s="1113"/>
      <c r="P47" s="1113"/>
      <c r="Q47" s="1113"/>
      <c r="R47" s="1113"/>
    </row>
    <row r="48" spans="1:19" ht="4.5" customHeight="1" x14ac:dyDescent="0.25">
      <c r="A48" s="74"/>
      <c r="B48" s="235"/>
      <c r="C48" s="235"/>
      <c r="D48" s="1247"/>
      <c r="E48" s="1247"/>
      <c r="F48" s="1248"/>
      <c r="G48" s="1249"/>
      <c r="H48" s="1249"/>
      <c r="I48" s="1247"/>
      <c r="J48" s="1248"/>
      <c r="K48" s="113"/>
      <c r="L48" s="113"/>
      <c r="M48" s="113"/>
      <c r="N48" s="113"/>
      <c r="O48" s="113"/>
      <c r="P48" s="113"/>
      <c r="Q48" s="113"/>
      <c r="R48" s="113"/>
    </row>
    <row r="49" spans="1:18" ht="12.75" customHeight="1" x14ac:dyDescent="0.25">
      <c r="A49" s="270" t="s">
        <v>1898</v>
      </c>
      <c r="B49" s="235"/>
      <c r="C49" s="235"/>
      <c r="D49" s="1247"/>
      <c r="E49" s="1247"/>
      <c r="F49" s="1248"/>
      <c r="G49" s="1249"/>
      <c r="H49" s="1249"/>
      <c r="I49" s="1247"/>
      <c r="J49" s="1248"/>
      <c r="K49" s="148"/>
      <c r="L49" s="148"/>
      <c r="M49" s="148"/>
      <c r="N49" s="148"/>
      <c r="O49" s="148"/>
      <c r="P49" s="148"/>
      <c r="Q49" s="148"/>
      <c r="R49" s="148"/>
    </row>
    <row r="50" spans="1:18" s="464" customFormat="1" ht="12.75" customHeight="1" x14ac:dyDescent="0.25">
      <c r="A50" s="1250" t="s">
        <v>1887</v>
      </c>
      <c r="B50" s="235"/>
      <c r="C50" s="235"/>
      <c r="D50" s="1247"/>
      <c r="E50" s="1247"/>
      <c r="F50" s="1248"/>
      <c r="G50" s="1249"/>
      <c r="H50" s="1249"/>
      <c r="I50" s="1247"/>
      <c r="J50" s="1248"/>
      <c r="K50" s="647"/>
      <c r="L50" s="647"/>
      <c r="M50" s="647"/>
      <c r="N50" s="647"/>
      <c r="O50" s="647"/>
      <c r="P50" s="647"/>
      <c r="Q50" s="647"/>
      <c r="R50" s="647"/>
    </row>
    <row r="51" spans="1:18" s="464" customFormat="1" ht="12.75" customHeight="1" x14ac:dyDescent="0.25">
      <c r="A51" s="1246" t="s">
        <v>1888</v>
      </c>
      <c r="B51" s="235"/>
      <c r="C51" s="1615"/>
      <c r="D51" s="1615"/>
      <c r="E51" s="1615"/>
      <c r="F51" s="1619"/>
      <c r="G51" s="1620"/>
      <c r="H51" s="1620"/>
      <c r="I51" s="1615"/>
      <c r="J51" s="1619"/>
      <c r="K51" s="647"/>
      <c r="L51" s="647"/>
      <c r="M51" s="647"/>
      <c r="N51" s="647"/>
      <c r="O51" s="647"/>
      <c r="P51" s="647"/>
      <c r="Q51" s="647"/>
      <c r="R51" s="647"/>
    </row>
    <row r="52" spans="1:18" s="464" customFormat="1" ht="12.75" customHeight="1" x14ac:dyDescent="0.25">
      <c r="A52" s="1246" t="s">
        <v>1889</v>
      </c>
      <c r="B52" s="235"/>
      <c r="C52" s="1615"/>
      <c r="D52" s="1615"/>
      <c r="E52" s="1615"/>
      <c r="F52" s="1619"/>
      <c r="G52" s="1620"/>
      <c r="H52" s="1620"/>
      <c r="I52" s="1615"/>
      <c r="J52" s="1619"/>
      <c r="K52" s="647"/>
      <c r="L52" s="647"/>
      <c r="M52" s="647"/>
      <c r="N52" s="647"/>
      <c r="O52" s="647"/>
      <c r="P52" s="647"/>
      <c r="Q52" s="647"/>
      <c r="R52" s="647"/>
    </row>
    <row r="53" spans="1:18" s="464" customFormat="1" ht="12.75" customHeight="1" x14ac:dyDescent="0.25">
      <c r="A53" s="1246" t="s">
        <v>1899</v>
      </c>
      <c r="B53" s="235"/>
      <c r="C53" s="1615"/>
      <c r="D53" s="1615"/>
      <c r="E53" s="1615"/>
      <c r="F53" s="1619"/>
      <c r="G53" s="1620"/>
      <c r="H53" s="1620"/>
      <c r="I53" s="1615"/>
      <c r="J53" s="1619"/>
      <c r="K53" s="647"/>
      <c r="L53" s="647"/>
      <c r="M53" s="647"/>
      <c r="N53" s="647"/>
      <c r="O53" s="647"/>
      <c r="P53" s="647"/>
      <c r="Q53" s="647"/>
      <c r="R53" s="647"/>
    </row>
    <row r="54" spans="1:18" s="464" customFormat="1" ht="12.75" customHeight="1" x14ac:dyDescent="0.25">
      <c r="A54" s="1246" t="s">
        <v>1900</v>
      </c>
      <c r="B54" s="235"/>
      <c r="C54" s="1615" t="s">
        <v>1901</v>
      </c>
      <c r="D54" s="1615"/>
      <c r="E54" s="1615"/>
      <c r="F54" s="1619"/>
      <c r="G54" s="1620"/>
      <c r="H54" s="1620"/>
      <c r="I54" s="1615"/>
      <c r="J54" s="1619"/>
      <c r="K54" s="647"/>
      <c r="L54" s="647"/>
      <c r="M54" s="647"/>
      <c r="N54" s="647"/>
      <c r="O54" s="647"/>
      <c r="P54" s="647"/>
      <c r="Q54" s="647"/>
      <c r="R54" s="647"/>
    </row>
    <row r="55" spans="1:18" s="464" customFormat="1" ht="12.75" customHeight="1" x14ac:dyDescent="0.25">
      <c r="A55" s="1246" t="s">
        <v>1902</v>
      </c>
      <c r="B55" s="235"/>
      <c r="C55" s="1615" t="s">
        <v>1901</v>
      </c>
      <c r="D55" s="1615"/>
      <c r="E55" s="1615"/>
      <c r="F55" s="1619"/>
      <c r="G55" s="1620"/>
      <c r="H55" s="1620"/>
      <c r="I55" s="1615"/>
      <c r="J55" s="1619"/>
      <c r="K55" s="647"/>
      <c r="L55" s="647"/>
      <c r="M55" s="647"/>
      <c r="N55" s="647"/>
      <c r="O55" s="647"/>
      <c r="P55" s="647"/>
      <c r="Q55" s="647"/>
      <c r="R55" s="647"/>
    </row>
    <row r="56" spans="1:18" s="464" customFormat="1" ht="12.75" customHeight="1" x14ac:dyDescent="0.25">
      <c r="A56" s="1246" t="s">
        <v>1903</v>
      </c>
      <c r="B56" s="235"/>
      <c r="C56" s="1615" t="s">
        <v>1901</v>
      </c>
      <c r="D56" s="1615"/>
      <c r="E56" s="1615"/>
      <c r="F56" s="1619"/>
      <c r="G56" s="1620"/>
      <c r="H56" s="1620"/>
      <c r="I56" s="1615"/>
      <c r="J56" s="1619"/>
      <c r="K56" s="647"/>
      <c r="L56" s="647"/>
      <c r="M56" s="647"/>
      <c r="N56" s="647"/>
      <c r="O56" s="647"/>
      <c r="P56" s="647"/>
      <c r="Q56" s="647"/>
      <c r="R56" s="647"/>
    </row>
    <row r="57" spans="1:18" ht="12.75" customHeight="1" x14ac:dyDescent="0.25">
      <c r="A57" s="1246" t="s">
        <v>1904</v>
      </c>
      <c r="B57" s="235"/>
      <c r="C57" s="1615" t="s">
        <v>1901</v>
      </c>
      <c r="D57" s="1615"/>
      <c r="E57" s="1615"/>
      <c r="F57" s="1619"/>
      <c r="G57" s="1620"/>
      <c r="H57" s="1620"/>
      <c r="I57" s="1615"/>
      <c r="J57" s="1619"/>
      <c r="K57" s="591"/>
      <c r="L57" s="591"/>
      <c r="M57" s="591"/>
      <c r="N57" s="591"/>
      <c r="O57" s="591"/>
      <c r="P57" s="591"/>
      <c r="Q57" s="591"/>
      <c r="R57" s="591"/>
    </row>
    <row r="58" spans="1:18" ht="12.75" customHeight="1" x14ac:dyDescent="0.25">
      <c r="A58" s="728" t="s">
        <v>246</v>
      </c>
      <c r="B58" s="235">
        <v>2</v>
      </c>
      <c r="C58" s="1615"/>
      <c r="D58" s="1615"/>
      <c r="E58" s="1615"/>
      <c r="F58" s="1619"/>
      <c r="G58" s="1620"/>
      <c r="H58" s="1620"/>
      <c r="I58" s="1615"/>
      <c r="J58" s="1619"/>
      <c r="K58" s="1100"/>
      <c r="L58" s="1100"/>
      <c r="M58" s="1100"/>
      <c r="N58" s="1100"/>
      <c r="O58" s="1100"/>
      <c r="P58" s="1100"/>
      <c r="Q58" s="1100"/>
      <c r="R58" s="1100"/>
    </row>
    <row r="59" spans="1:18" ht="4.5" customHeight="1" x14ac:dyDescent="0.25">
      <c r="A59" s="1246"/>
      <c r="B59" s="235"/>
      <c r="C59" s="235"/>
      <c r="D59" s="1247"/>
      <c r="E59" s="1247"/>
      <c r="F59" s="1248"/>
      <c r="G59" s="1249"/>
      <c r="H59" s="1249"/>
      <c r="I59" s="1247"/>
      <c r="J59" s="1248"/>
      <c r="K59" s="104"/>
      <c r="L59" s="104"/>
      <c r="M59" s="104"/>
      <c r="N59" s="104"/>
      <c r="O59" s="104"/>
      <c r="P59" s="104"/>
      <c r="Q59" s="104"/>
      <c r="R59" s="104"/>
    </row>
    <row r="60" spans="1:18" ht="12.75" customHeight="1" x14ac:dyDescent="0.25">
      <c r="A60" s="270" t="s">
        <v>1905</v>
      </c>
      <c r="B60" s="235"/>
      <c r="C60" s="235"/>
      <c r="D60" s="1247"/>
      <c r="E60" s="1247"/>
      <c r="F60" s="1248"/>
      <c r="G60" s="1249"/>
      <c r="H60" s="1249"/>
      <c r="I60" s="1247"/>
      <c r="J60" s="1248"/>
      <c r="K60" s="104"/>
      <c r="L60" s="104"/>
      <c r="M60" s="104"/>
      <c r="N60" s="104"/>
      <c r="O60" s="104"/>
      <c r="P60" s="104"/>
      <c r="Q60" s="104"/>
      <c r="R60" s="104"/>
    </row>
    <row r="61" spans="1:18" ht="12.75" customHeight="1" x14ac:dyDescent="0.25">
      <c r="A61" s="1250" t="s">
        <v>1887</v>
      </c>
      <c r="B61" s="235"/>
      <c r="C61" s="235"/>
      <c r="D61" s="1247"/>
      <c r="E61" s="1247"/>
      <c r="F61" s="1248"/>
      <c r="G61" s="1249"/>
      <c r="H61" s="1249"/>
      <c r="I61" s="1247"/>
      <c r="J61" s="1248"/>
      <c r="K61" s="1010"/>
      <c r="L61" s="1010"/>
      <c r="M61" s="1010"/>
      <c r="N61" s="1010"/>
      <c r="O61" s="1010"/>
      <c r="P61" s="1010"/>
      <c r="Q61" s="1010"/>
      <c r="R61" s="1010"/>
    </row>
    <row r="62" spans="1:18" ht="12.75" customHeight="1" x14ac:dyDescent="0.25">
      <c r="A62" s="1246" t="s">
        <v>1888</v>
      </c>
      <c r="B62" s="235"/>
      <c r="C62" s="1615"/>
      <c r="D62" s="1615"/>
      <c r="E62" s="1615"/>
      <c r="F62" s="1619"/>
      <c r="G62" s="1620"/>
      <c r="H62" s="1620"/>
      <c r="I62" s="1615"/>
      <c r="J62" s="1619"/>
      <c r="K62" s="1010"/>
      <c r="L62" s="1010"/>
      <c r="M62" s="1010"/>
      <c r="N62" s="1010"/>
      <c r="O62" s="1010"/>
      <c r="P62" s="1010"/>
      <c r="Q62" s="1010"/>
      <c r="R62" s="1010"/>
    </row>
    <row r="63" spans="1:18" ht="12.75" customHeight="1" x14ac:dyDescent="0.25">
      <c r="A63" s="1246" t="s">
        <v>1906</v>
      </c>
      <c r="B63" s="235"/>
      <c r="C63" s="1615"/>
      <c r="D63" s="1615"/>
      <c r="E63" s="1615"/>
      <c r="F63" s="1619"/>
      <c r="G63" s="1620"/>
      <c r="H63" s="1620"/>
      <c r="I63" s="1615"/>
      <c r="J63" s="1619"/>
      <c r="K63" s="1010"/>
      <c r="L63" s="1010"/>
      <c r="M63" s="1010"/>
      <c r="N63" s="1010"/>
      <c r="O63" s="1010"/>
      <c r="P63" s="1010"/>
      <c r="Q63" s="1010"/>
      <c r="R63" s="1010"/>
    </row>
    <row r="64" spans="1:18" ht="12.75" customHeight="1" x14ac:dyDescent="0.25">
      <c r="A64" s="1255" t="s">
        <v>1907</v>
      </c>
      <c r="B64" s="235"/>
      <c r="C64" s="1615" t="s">
        <v>1908</v>
      </c>
      <c r="D64" s="1615"/>
      <c r="E64" s="1615"/>
      <c r="F64" s="1619"/>
      <c r="G64" s="1620"/>
      <c r="H64" s="1620"/>
      <c r="I64" s="1615"/>
      <c r="J64" s="1619"/>
      <c r="K64" s="1010"/>
      <c r="L64" s="1010"/>
      <c r="M64" s="1010"/>
      <c r="N64" s="1010"/>
      <c r="O64" s="1010"/>
      <c r="P64" s="1010"/>
      <c r="Q64" s="1010"/>
      <c r="R64" s="1010"/>
    </row>
    <row r="65" spans="1:18" ht="12.75" customHeight="1" x14ac:dyDescent="0.25">
      <c r="A65" s="1246" t="s">
        <v>1928</v>
      </c>
      <c r="B65" s="235"/>
      <c r="C65" s="1615" t="s">
        <v>1892</v>
      </c>
      <c r="D65" s="1615"/>
      <c r="E65" s="1615"/>
      <c r="F65" s="1619"/>
      <c r="G65" s="1620"/>
      <c r="H65" s="1620"/>
      <c r="I65" s="1615"/>
      <c r="J65" s="1619"/>
      <c r="K65" s="1010"/>
      <c r="L65" s="1010"/>
      <c r="M65" s="1010"/>
      <c r="N65" s="1010"/>
      <c r="O65" s="1010"/>
      <c r="P65" s="1010"/>
      <c r="Q65" s="1010"/>
      <c r="R65" s="1010"/>
    </row>
    <row r="66" spans="1:18" ht="12.75" customHeight="1" x14ac:dyDescent="0.25">
      <c r="A66" s="1246" t="s">
        <v>1929</v>
      </c>
      <c r="B66" s="235"/>
      <c r="C66" s="1615" t="s">
        <v>1892</v>
      </c>
      <c r="D66" s="1615"/>
      <c r="E66" s="1615"/>
      <c r="F66" s="1619"/>
      <c r="G66" s="1620"/>
      <c r="H66" s="1620"/>
      <c r="I66" s="1615"/>
      <c r="J66" s="1619"/>
      <c r="K66" s="1010"/>
      <c r="L66" s="1010"/>
      <c r="M66" s="1010"/>
      <c r="N66" s="1010"/>
      <c r="O66" s="1010"/>
      <c r="P66" s="1010"/>
      <c r="Q66" s="1010"/>
      <c r="R66" s="1010"/>
    </row>
    <row r="67" spans="1:18" ht="12.75" customHeight="1" x14ac:dyDescent="0.25">
      <c r="A67" s="1246" t="s">
        <v>1930</v>
      </c>
      <c r="B67" s="235"/>
      <c r="C67" s="1615"/>
      <c r="D67" s="1615"/>
      <c r="E67" s="1615"/>
      <c r="F67" s="1619"/>
      <c r="G67" s="1620"/>
      <c r="H67" s="1620"/>
      <c r="I67" s="1615"/>
      <c r="J67" s="1619"/>
      <c r="K67" s="1010"/>
      <c r="L67" s="1010"/>
      <c r="M67" s="1010"/>
      <c r="N67" s="1010"/>
      <c r="O67" s="1010"/>
      <c r="P67" s="1010"/>
      <c r="Q67" s="1010"/>
      <c r="R67" s="1010"/>
    </row>
    <row r="68" spans="1:18" ht="12.75" customHeight="1" x14ac:dyDescent="0.25">
      <c r="A68" s="1246" t="s">
        <v>1931</v>
      </c>
      <c r="B68" s="235"/>
      <c r="C68" s="1615"/>
      <c r="D68" s="1615"/>
      <c r="E68" s="1615"/>
      <c r="F68" s="1619"/>
      <c r="G68" s="1620"/>
      <c r="H68" s="1620"/>
      <c r="I68" s="1615"/>
      <c r="J68" s="1619"/>
      <c r="K68" s="1010"/>
      <c r="L68" s="1010"/>
      <c r="M68" s="1010"/>
      <c r="N68" s="1010"/>
      <c r="O68" s="1010"/>
      <c r="P68" s="1010"/>
      <c r="Q68" s="1010"/>
      <c r="R68" s="1010"/>
    </row>
    <row r="69" spans="1:18" ht="12.75" customHeight="1" x14ac:dyDescent="0.25">
      <c r="A69" s="1246" t="s">
        <v>1932</v>
      </c>
      <c r="B69" s="235"/>
      <c r="C69" s="1615" t="s">
        <v>1909</v>
      </c>
      <c r="D69" s="1615"/>
      <c r="E69" s="1615"/>
      <c r="F69" s="1619"/>
      <c r="G69" s="1620"/>
      <c r="H69" s="1620"/>
      <c r="I69" s="1615"/>
      <c r="J69" s="1619"/>
      <c r="K69" s="1010"/>
      <c r="L69" s="1010"/>
      <c r="M69" s="1010"/>
      <c r="N69" s="1010"/>
      <c r="O69" s="1010"/>
      <c r="P69" s="1010"/>
      <c r="Q69" s="1010"/>
      <c r="R69" s="1010"/>
    </row>
    <row r="70" spans="1:18" ht="12.75" customHeight="1" x14ac:dyDescent="0.25">
      <c r="A70" s="1246" t="s">
        <v>1933</v>
      </c>
      <c r="B70" s="235"/>
      <c r="C70" s="1615" t="s">
        <v>1909</v>
      </c>
      <c r="D70" s="1615"/>
      <c r="E70" s="1615"/>
      <c r="F70" s="1619"/>
      <c r="G70" s="1620"/>
      <c r="H70" s="1620"/>
      <c r="I70" s="1615"/>
      <c r="J70" s="1619"/>
      <c r="K70" s="1010"/>
      <c r="L70" s="1010"/>
      <c r="M70" s="1010"/>
      <c r="N70" s="1010"/>
      <c r="O70" s="1010"/>
      <c r="P70" s="1010"/>
      <c r="Q70" s="1010"/>
      <c r="R70" s="1010"/>
    </row>
    <row r="71" spans="1:18" ht="12.75" customHeight="1" x14ac:dyDescent="0.25">
      <c r="A71" s="1246" t="s">
        <v>1934</v>
      </c>
      <c r="B71" s="235"/>
      <c r="C71" s="1615" t="s">
        <v>1909</v>
      </c>
      <c r="D71" s="1615"/>
      <c r="E71" s="1615"/>
      <c r="F71" s="1619"/>
      <c r="G71" s="1620"/>
      <c r="H71" s="1620"/>
      <c r="I71" s="1615"/>
      <c r="J71" s="1619"/>
      <c r="K71" s="1010"/>
      <c r="L71" s="1010"/>
      <c r="M71" s="1010"/>
      <c r="N71" s="1010"/>
      <c r="O71" s="1010"/>
      <c r="P71" s="1010"/>
      <c r="Q71" s="1010"/>
      <c r="R71" s="1010"/>
    </row>
    <row r="72" spans="1:18" ht="12.75" customHeight="1" x14ac:dyDescent="0.25">
      <c r="A72" s="1246" t="s">
        <v>1935</v>
      </c>
      <c r="B72" s="235"/>
      <c r="C72" s="1615" t="s">
        <v>1909</v>
      </c>
      <c r="D72" s="1615"/>
      <c r="E72" s="1615"/>
      <c r="F72" s="1619"/>
      <c r="G72" s="1620"/>
      <c r="H72" s="1620"/>
      <c r="I72" s="1615"/>
      <c r="J72" s="1619"/>
      <c r="K72" s="1010"/>
      <c r="L72" s="1010"/>
      <c r="M72" s="1010"/>
      <c r="N72" s="1010"/>
      <c r="O72" s="1010"/>
      <c r="P72" s="1010"/>
      <c r="Q72" s="1010"/>
      <c r="R72" s="1010"/>
    </row>
    <row r="73" spans="1:18" ht="12.75" customHeight="1" x14ac:dyDescent="0.25">
      <c r="A73" s="1246" t="s">
        <v>1936</v>
      </c>
      <c r="B73" s="235"/>
      <c r="C73" s="1615" t="s">
        <v>1909</v>
      </c>
      <c r="D73" s="1615"/>
      <c r="E73" s="1615"/>
      <c r="F73" s="1619"/>
      <c r="G73" s="1620"/>
      <c r="H73" s="1620"/>
      <c r="I73" s="1615"/>
      <c r="J73" s="1619"/>
      <c r="K73" s="1010"/>
      <c r="L73" s="1010"/>
      <c r="M73" s="1010"/>
      <c r="N73" s="1010"/>
      <c r="O73" s="1010"/>
      <c r="P73" s="1010"/>
      <c r="Q73" s="1010"/>
      <c r="R73" s="1010"/>
    </row>
    <row r="74" spans="1:18" ht="12.75" customHeight="1" x14ac:dyDescent="0.25">
      <c r="A74" s="1246" t="s">
        <v>1937</v>
      </c>
      <c r="B74" s="235"/>
      <c r="C74" s="1615" t="s">
        <v>1909</v>
      </c>
      <c r="D74" s="1615"/>
      <c r="E74" s="1615"/>
      <c r="F74" s="1619"/>
      <c r="G74" s="1620"/>
      <c r="H74" s="1620"/>
      <c r="I74" s="1615"/>
      <c r="J74" s="1619"/>
      <c r="K74" s="1010"/>
      <c r="L74" s="1010"/>
      <c r="M74" s="1010"/>
      <c r="N74" s="1010"/>
      <c r="O74" s="1010"/>
      <c r="P74" s="1010"/>
      <c r="Q74" s="1010"/>
      <c r="R74" s="1010"/>
    </row>
    <row r="75" spans="1:18" ht="12.75" customHeight="1" x14ac:dyDescent="0.25">
      <c r="A75" s="1246" t="s">
        <v>1938</v>
      </c>
      <c r="B75" s="235"/>
      <c r="C75" s="1615" t="s">
        <v>1909</v>
      </c>
      <c r="D75" s="1615"/>
      <c r="E75" s="1615"/>
      <c r="F75" s="1619"/>
      <c r="G75" s="1620"/>
      <c r="H75" s="1620"/>
      <c r="I75" s="1615"/>
      <c r="J75" s="1619"/>
      <c r="K75" s="1010"/>
      <c r="L75" s="1010"/>
      <c r="M75" s="1010"/>
      <c r="N75" s="1010"/>
      <c r="O75" s="1010"/>
      <c r="P75" s="1010"/>
      <c r="Q75" s="1010"/>
      <c r="R75" s="1010"/>
    </row>
    <row r="76" spans="1:18" ht="12.75" customHeight="1" x14ac:dyDescent="0.25">
      <c r="A76" s="1246" t="s">
        <v>1939</v>
      </c>
      <c r="B76" s="235"/>
      <c r="C76" s="1615" t="s">
        <v>1909</v>
      </c>
      <c r="D76" s="1615"/>
      <c r="E76" s="1615"/>
      <c r="F76" s="1619"/>
      <c r="G76" s="1620"/>
      <c r="H76" s="1620"/>
      <c r="I76" s="1615"/>
      <c r="J76" s="1619"/>
      <c r="K76" s="1010"/>
      <c r="L76" s="1010"/>
      <c r="M76" s="1010"/>
      <c r="N76" s="1010"/>
      <c r="O76" s="1010"/>
      <c r="P76" s="1010"/>
      <c r="Q76" s="1010"/>
      <c r="R76" s="1010"/>
    </row>
    <row r="77" spans="1:18" ht="12.75" customHeight="1" x14ac:dyDescent="0.25">
      <c r="A77" s="1246" t="s">
        <v>1940</v>
      </c>
      <c r="B77" s="235"/>
      <c r="C77" s="1615" t="s">
        <v>1909</v>
      </c>
      <c r="D77" s="1615"/>
      <c r="E77" s="1615"/>
      <c r="F77" s="1619"/>
      <c r="G77" s="1620"/>
      <c r="H77" s="1620"/>
      <c r="I77" s="1615"/>
      <c r="J77" s="1619"/>
      <c r="K77" s="1010"/>
      <c r="L77" s="1010"/>
      <c r="M77" s="1010"/>
      <c r="N77" s="1010"/>
      <c r="O77" s="1010"/>
      <c r="P77" s="1010"/>
      <c r="Q77" s="1010"/>
      <c r="R77" s="1010"/>
    </row>
    <row r="78" spans="1:18" ht="12.75" customHeight="1" x14ac:dyDescent="0.25">
      <c r="A78" s="1246" t="s">
        <v>1941</v>
      </c>
      <c r="B78" s="235"/>
      <c r="C78" s="1615" t="s">
        <v>1909</v>
      </c>
      <c r="D78" s="1615"/>
      <c r="E78" s="1615"/>
      <c r="F78" s="1619"/>
      <c r="G78" s="1620"/>
      <c r="H78" s="1620"/>
      <c r="I78" s="1615"/>
      <c r="J78" s="1619"/>
      <c r="K78" s="1010"/>
      <c r="L78" s="1010"/>
      <c r="M78" s="1010"/>
      <c r="N78" s="1010"/>
      <c r="O78" s="1010"/>
      <c r="P78" s="1010"/>
      <c r="Q78" s="1010"/>
      <c r="R78" s="1010"/>
    </row>
    <row r="79" spans="1:18" ht="12.75" customHeight="1" x14ac:dyDescent="0.25">
      <c r="A79" s="728" t="s">
        <v>246</v>
      </c>
      <c r="B79" s="235">
        <v>2</v>
      </c>
      <c r="C79" s="1615"/>
      <c r="D79" s="1615"/>
      <c r="E79" s="1615"/>
      <c r="F79" s="1619"/>
      <c r="G79" s="1620"/>
      <c r="H79" s="1620"/>
      <c r="I79" s="1615"/>
      <c r="J79" s="1619"/>
      <c r="K79" s="1105"/>
      <c r="L79" s="1105"/>
      <c r="M79" s="1105"/>
      <c r="N79" s="1105"/>
      <c r="O79" s="1105"/>
      <c r="P79" s="1105"/>
      <c r="Q79" s="1105"/>
      <c r="R79" s="1105"/>
    </row>
    <row r="80" spans="1:18" ht="4.9000000000000004" customHeight="1" x14ac:dyDescent="0.25">
      <c r="A80" s="1250"/>
      <c r="B80" s="235"/>
      <c r="C80" s="235"/>
      <c r="D80" s="1247"/>
      <c r="E80" s="1247"/>
      <c r="F80" s="1248"/>
      <c r="G80" s="1249"/>
      <c r="H80" s="1249"/>
      <c r="I80" s="1247"/>
      <c r="J80" s="1248"/>
      <c r="K80" s="645"/>
      <c r="L80" s="645"/>
      <c r="M80" s="645"/>
      <c r="N80" s="645"/>
      <c r="O80" s="645"/>
      <c r="P80" s="645"/>
      <c r="Q80" s="645"/>
      <c r="R80" s="645"/>
    </row>
    <row r="81" spans="1:18" ht="12.75" customHeight="1" x14ac:dyDescent="0.25">
      <c r="A81" s="270" t="s">
        <v>1910</v>
      </c>
      <c r="B81" s="235"/>
      <c r="C81" s="235"/>
      <c r="D81" s="1247"/>
      <c r="E81" s="1247"/>
      <c r="F81" s="1248"/>
      <c r="G81" s="1249"/>
      <c r="H81" s="1249"/>
      <c r="I81" s="1247"/>
      <c r="J81" s="1248"/>
      <c r="K81" s="1106"/>
      <c r="L81" s="1106"/>
      <c r="M81" s="1106"/>
      <c r="N81" s="1106"/>
      <c r="O81" s="1106"/>
      <c r="P81" s="1106"/>
      <c r="Q81" s="1106"/>
      <c r="R81" s="1106"/>
    </row>
    <row r="82" spans="1:18" ht="12.75" customHeight="1" x14ac:dyDescent="0.25">
      <c r="A82" s="1250" t="s">
        <v>1887</v>
      </c>
      <c r="B82" s="235"/>
      <c r="C82" s="235"/>
      <c r="D82" s="1247"/>
      <c r="E82" s="1247"/>
      <c r="F82" s="1248"/>
      <c r="G82" s="1249"/>
      <c r="H82" s="1249"/>
      <c r="I82" s="1247"/>
      <c r="J82" s="1248"/>
      <c r="K82" s="645"/>
      <c r="L82" s="645"/>
      <c r="M82" s="645"/>
      <c r="N82" s="645"/>
      <c r="O82" s="645"/>
      <c r="P82" s="645"/>
      <c r="Q82" s="645"/>
      <c r="R82" s="645"/>
    </row>
    <row r="83" spans="1:18" ht="12.75" customHeight="1" x14ac:dyDescent="0.25">
      <c r="A83" s="1246" t="s">
        <v>1911</v>
      </c>
      <c r="B83" s="235"/>
      <c r="C83" s="1615"/>
      <c r="D83" s="1615"/>
      <c r="E83" s="1615"/>
      <c r="F83" s="1619"/>
      <c r="G83" s="1620"/>
      <c r="H83" s="1620"/>
      <c r="I83" s="1615"/>
      <c r="J83" s="1619"/>
      <c r="K83" s="645"/>
      <c r="L83" s="645"/>
      <c r="M83" s="645"/>
      <c r="N83" s="645"/>
      <c r="O83" s="645"/>
      <c r="P83" s="645"/>
      <c r="Q83" s="645"/>
      <c r="R83" s="645"/>
    </row>
    <row r="84" spans="1:18" ht="12.75" customHeight="1" x14ac:dyDescent="0.25">
      <c r="A84" s="1246" t="s">
        <v>1912</v>
      </c>
      <c r="B84" s="235"/>
      <c r="C84" s="1615"/>
      <c r="D84" s="1615"/>
      <c r="E84" s="1615"/>
      <c r="F84" s="1619"/>
      <c r="G84" s="1620"/>
      <c r="H84" s="1620"/>
      <c r="I84" s="1615"/>
      <c r="J84" s="1619"/>
      <c r="K84" s="645"/>
      <c r="L84" s="645"/>
      <c r="M84" s="645"/>
      <c r="N84" s="645"/>
      <c r="O84" s="645"/>
      <c r="P84" s="645"/>
      <c r="Q84" s="645"/>
      <c r="R84" s="645"/>
    </row>
    <row r="85" spans="1:18" ht="12.75" customHeight="1" x14ac:dyDescent="0.25">
      <c r="A85" s="1246" t="s">
        <v>1913</v>
      </c>
      <c r="B85" s="235"/>
      <c r="C85" s="1615"/>
      <c r="D85" s="1615"/>
      <c r="E85" s="1615"/>
      <c r="F85" s="1619"/>
      <c r="G85" s="1620"/>
      <c r="H85" s="1620"/>
      <c r="I85" s="1615"/>
      <c r="J85" s="1619"/>
      <c r="K85" s="645"/>
      <c r="L85" s="645"/>
      <c r="M85" s="645"/>
      <c r="N85" s="645"/>
      <c r="O85" s="645"/>
      <c r="P85" s="645"/>
      <c r="Q85" s="645"/>
      <c r="R85" s="645"/>
    </row>
    <row r="86" spans="1:18" ht="12.75" customHeight="1" x14ac:dyDescent="0.25">
      <c r="A86" s="1246" t="s">
        <v>1914</v>
      </c>
      <c r="B86" s="235"/>
      <c r="C86" s="1615"/>
      <c r="D86" s="1615"/>
      <c r="E86" s="1615"/>
      <c r="F86" s="1619"/>
      <c r="G86" s="1620"/>
      <c r="H86" s="1620"/>
      <c r="I86" s="1615"/>
      <c r="J86" s="1619"/>
      <c r="K86" s="645"/>
      <c r="L86" s="645"/>
      <c r="M86" s="645"/>
      <c r="N86" s="645"/>
      <c r="O86" s="645"/>
      <c r="P86" s="645"/>
      <c r="Q86" s="645"/>
      <c r="R86" s="645"/>
    </row>
    <row r="87" spans="1:18" ht="4.9000000000000004" customHeight="1" x14ac:dyDescent="0.25">
      <c r="A87" s="455"/>
      <c r="B87" s="456"/>
      <c r="C87" s="456"/>
      <c r="D87" s="1256"/>
      <c r="E87" s="1256"/>
      <c r="F87" s="1257"/>
      <c r="G87" s="1258"/>
      <c r="H87" s="1258"/>
      <c r="I87" s="1256"/>
      <c r="J87" s="1257"/>
      <c r="K87" s="645"/>
      <c r="L87" s="645"/>
      <c r="M87" s="645"/>
      <c r="N87" s="645"/>
      <c r="O87" s="645"/>
      <c r="P87" s="645"/>
      <c r="Q87" s="645"/>
      <c r="R87" s="645"/>
    </row>
    <row r="88" spans="1:18" ht="11.25" customHeight="1" x14ac:dyDescent="0.25">
      <c r="A88" s="101" t="str">
        <f>head27a</f>
        <v>References</v>
      </c>
      <c r="C88" s="102"/>
      <c r="D88" s="461"/>
      <c r="E88" s="461"/>
      <c r="F88" s="461"/>
      <c r="G88" s="462"/>
      <c r="H88" s="461"/>
      <c r="I88" s="461"/>
      <c r="K88" s="109"/>
      <c r="L88" s="109"/>
      <c r="M88" s="109"/>
      <c r="N88" s="109"/>
      <c r="O88" s="109"/>
      <c r="P88" s="109"/>
      <c r="Q88" s="109"/>
      <c r="R88" s="109"/>
    </row>
    <row r="89" spans="1:18" ht="11.25" customHeight="1" x14ac:dyDescent="0.25">
      <c r="A89" s="826" t="s">
        <v>2020</v>
      </c>
      <c r="B89" s="1259"/>
      <c r="C89" s="1259"/>
      <c r="D89" s="132"/>
      <c r="E89" s="132"/>
      <c r="F89" s="132"/>
      <c r="G89" s="132"/>
      <c r="H89" s="132"/>
      <c r="I89" s="132"/>
      <c r="J89" s="132"/>
      <c r="K89" s="1107"/>
      <c r="L89" s="1107"/>
      <c r="M89" s="1107"/>
      <c r="N89" s="1107"/>
      <c r="O89" s="1107"/>
      <c r="P89" s="1107"/>
      <c r="Q89" s="1107"/>
      <c r="R89" s="1107"/>
    </row>
    <row r="90" spans="1:18" ht="11.25" customHeight="1" x14ac:dyDescent="0.25">
      <c r="A90" s="826" t="s">
        <v>2026</v>
      </c>
      <c r="B90" s="1259"/>
      <c r="C90" s="1259"/>
      <c r="D90" s="132"/>
      <c r="E90" s="132"/>
      <c r="F90" s="132"/>
      <c r="G90" s="132"/>
      <c r="H90" s="132"/>
      <c r="I90" s="132"/>
      <c r="J90" s="132"/>
      <c r="K90" s="1107"/>
      <c r="L90" s="1107"/>
      <c r="M90" s="1107"/>
      <c r="N90" s="1107"/>
      <c r="O90" s="1107"/>
      <c r="P90" s="1107"/>
      <c r="Q90" s="1107"/>
      <c r="R90" s="1107"/>
    </row>
    <row r="91" spans="1:18" ht="11.25" customHeight="1" x14ac:dyDescent="0.25">
      <c r="A91" s="1101"/>
      <c r="C91" s="1102"/>
      <c r="D91" s="1102"/>
      <c r="E91" s="1102"/>
      <c r="F91" s="1102"/>
      <c r="G91" s="1102"/>
      <c r="H91" s="1102"/>
      <c r="I91" s="1102"/>
      <c r="J91" s="1102"/>
      <c r="K91" s="1107"/>
      <c r="L91" s="1107"/>
      <c r="M91" s="1107"/>
      <c r="N91" s="1107"/>
      <c r="O91" s="1107"/>
      <c r="P91" s="1107"/>
      <c r="Q91" s="1107"/>
      <c r="R91" s="1107"/>
    </row>
    <row r="92" spans="1:18" ht="11.25" customHeight="1" x14ac:dyDescent="0.25">
      <c r="A92" s="1101"/>
      <c r="C92" s="1107"/>
      <c r="D92" s="1107"/>
      <c r="E92" s="1107"/>
      <c r="F92" s="1107"/>
      <c r="G92" s="1107"/>
      <c r="H92" s="1107"/>
      <c r="I92" s="1107"/>
      <c r="J92" s="1107"/>
      <c r="K92" s="1107"/>
      <c r="L92" s="1107"/>
      <c r="M92" s="1107"/>
      <c r="N92" s="1107"/>
      <c r="O92" s="1107"/>
      <c r="P92" s="1107"/>
      <c r="Q92" s="1107"/>
      <c r="R92" s="1107"/>
    </row>
    <row r="93" spans="1:18" ht="21" customHeight="1" x14ac:dyDescent="0.25">
      <c r="A93" s="665"/>
      <c r="B93" s="645"/>
      <c r="C93" s="1267"/>
      <c r="D93" s="1267"/>
      <c r="E93" s="1267"/>
      <c r="F93" s="1267"/>
      <c r="G93" s="1267"/>
      <c r="H93" s="1267"/>
      <c r="I93" s="1267"/>
      <c r="J93" s="1267"/>
      <c r="K93" s="1267"/>
      <c r="L93" s="1107"/>
      <c r="M93" s="1107"/>
      <c r="N93" s="1107"/>
      <c r="O93" s="1107"/>
      <c r="P93" s="1107"/>
      <c r="Q93" s="1107"/>
      <c r="R93" s="1107"/>
    </row>
    <row r="94" spans="1:18" ht="22.5" customHeight="1" x14ac:dyDescent="0.25">
      <c r="A94" s="1962"/>
      <c r="B94" s="1962"/>
      <c r="C94" s="1961"/>
      <c r="D94" s="1961"/>
      <c r="E94" s="1961"/>
      <c r="F94" s="1961"/>
      <c r="G94" s="1961"/>
      <c r="H94" s="1261"/>
      <c r="I94" s="1261"/>
      <c r="J94" s="1261"/>
      <c r="K94" s="1267"/>
      <c r="L94" s="1107"/>
      <c r="M94" s="1107"/>
      <c r="N94" s="1107"/>
      <c r="O94" s="1107"/>
      <c r="P94" s="1107"/>
      <c r="Q94" s="1107"/>
      <c r="R94" s="1107"/>
    </row>
    <row r="95" spans="1:18" ht="36.75" customHeight="1" x14ac:dyDescent="0.25">
      <c r="A95" s="1962"/>
      <c r="B95" s="1962"/>
      <c r="C95" s="1961"/>
      <c r="D95" s="1961"/>
      <c r="E95" s="1961"/>
      <c r="F95" s="1961"/>
      <c r="G95" s="1961"/>
      <c r="H95" s="1260"/>
      <c r="I95" s="1260"/>
      <c r="J95" s="1260"/>
      <c r="K95" s="1268"/>
      <c r="L95" s="1102"/>
      <c r="M95" s="1102"/>
      <c r="N95" s="1102"/>
      <c r="O95" s="1102"/>
      <c r="P95" s="1102"/>
      <c r="Q95" s="1102"/>
      <c r="R95" s="1102"/>
    </row>
    <row r="96" spans="1:18" ht="21.75" customHeight="1" x14ac:dyDescent="0.25">
      <c r="A96" s="1265"/>
      <c r="B96" s="1262"/>
      <c r="C96" s="1269"/>
      <c r="D96" s="1269"/>
      <c r="E96" s="1269"/>
      <c r="F96" s="1269"/>
      <c r="G96" s="1269"/>
      <c r="H96" s="1269"/>
      <c r="I96" s="1269"/>
      <c r="J96" s="1269"/>
      <c r="K96" s="464"/>
      <c r="L96" s="1108"/>
      <c r="M96" s="1108"/>
      <c r="N96" s="1108"/>
      <c r="O96" s="1108"/>
      <c r="P96" s="1108"/>
      <c r="Q96" s="1108"/>
      <c r="R96" s="1108"/>
    </row>
    <row r="97" spans="1:18" ht="11.65" customHeight="1" x14ac:dyDescent="0.25">
      <c r="A97" s="1266"/>
      <c r="B97" s="1262"/>
      <c r="C97" s="1269"/>
      <c r="D97" s="1269"/>
      <c r="E97" s="1269"/>
      <c r="F97" s="1269"/>
      <c r="G97" s="1269"/>
      <c r="H97" s="1269"/>
      <c r="I97" s="1269"/>
      <c r="J97" s="1269"/>
      <c r="K97" s="464"/>
      <c r="L97" s="1108"/>
      <c r="M97" s="1108"/>
      <c r="N97" s="1108"/>
      <c r="O97" s="1108"/>
      <c r="P97" s="1108"/>
      <c r="Q97" s="1108"/>
      <c r="R97" s="1108"/>
    </row>
    <row r="98" spans="1:18" ht="11.65" customHeight="1" x14ac:dyDescent="0.25">
      <c r="A98" s="1266"/>
      <c r="B98" s="1262"/>
      <c r="C98" s="1269"/>
      <c r="D98" s="1269"/>
      <c r="E98" s="1269"/>
      <c r="F98" s="1269"/>
      <c r="G98" s="1269"/>
      <c r="H98" s="1269"/>
      <c r="I98" s="1269"/>
      <c r="J98" s="1269"/>
      <c r="K98" s="464"/>
      <c r="L98" s="1108"/>
      <c r="M98" s="1108"/>
      <c r="N98" s="1108"/>
      <c r="O98" s="1108"/>
      <c r="P98" s="1108"/>
      <c r="Q98" s="1108"/>
      <c r="R98" s="1108"/>
    </row>
    <row r="99" spans="1:18" ht="11.65" customHeight="1" x14ac:dyDescent="0.25">
      <c r="A99" s="1266"/>
      <c r="B99" s="1262"/>
      <c r="C99" s="1269"/>
      <c r="D99" s="1269"/>
      <c r="E99" s="1269"/>
      <c r="F99" s="1269"/>
      <c r="G99" s="1269"/>
      <c r="H99" s="1269"/>
      <c r="I99" s="1269"/>
      <c r="J99" s="1269"/>
      <c r="K99" s="464"/>
      <c r="L99" s="1108"/>
      <c r="M99" s="1108"/>
      <c r="N99" s="1108"/>
      <c r="O99" s="1108"/>
      <c r="P99" s="1108"/>
      <c r="Q99" s="1108"/>
      <c r="R99" s="1108"/>
    </row>
    <row r="100" spans="1:18" ht="21" customHeight="1" x14ac:dyDescent="0.25">
      <c r="A100" s="1265"/>
      <c r="B100" s="1262"/>
      <c r="C100" s="1269"/>
      <c r="D100" s="1269"/>
      <c r="E100" s="1269"/>
      <c r="F100" s="1269"/>
      <c r="G100" s="1269"/>
      <c r="H100" s="1269"/>
      <c r="I100" s="1269"/>
      <c r="J100" s="1269"/>
      <c r="K100" s="464"/>
      <c r="L100" s="1108"/>
      <c r="M100" s="1108"/>
      <c r="N100" s="1108"/>
      <c r="O100" s="1108"/>
      <c r="P100" s="1108"/>
      <c r="Q100" s="1108"/>
      <c r="R100" s="1108"/>
    </row>
    <row r="101" spans="1:18" ht="11.65" customHeight="1" x14ac:dyDescent="0.25">
      <c r="A101" s="1266"/>
      <c r="B101" s="1262"/>
      <c r="C101" s="1269"/>
      <c r="D101" s="1269"/>
      <c r="E101" s="1269"/>
      <c r="F101" s="1269"/>
      <c r="G101" s="1269"/>
      <c r="H101" s="1269"/>
      <c r="I101" s="1269"/>
      <c r="J101" s="1269"/>
      <c r="K101" s="464"/>
      <c r="L101" s="1108"/>
      <c r="M101" s="1108"/>
      <c r="N101" s="1108"/>
      <c r="O101" s="1108"/>
      <c r="P101" s="1108"/>
      <c r="Q101" s="1108"/>
      <c r="R101" s="1108"/>
    </row>
    <row r="102" spans="1:18" ht="11.65" customHeight="1" x14ac:dyDescent="0.25">
      <c r="A102" s="1266"/>
      <c r="B102" s="1262"/>
      <c r="C102" s="1269"/>
      <c r="D102" s="1269"/>
      <c r="E102" s="1269"/>
      <c r="F102" s="1269"/>
      <c r="G102" s="1269"/>
      <c r="H102" s="1269"/>
      <c r="I102" s="1269"/>
      <c r="J102" s="1269"/>
      <c r="K102" s="464"/>
      <c r="L102" s="1108"/>
      <c r="M102" s="1108"/>
      <c r="N102" s="1108"/>
      <c r="O102" s="1108"/>
      <c r="P102" s="1108"/>
      <c r="Q102" s="1108"/>
      <c r="R102" s="1108"/>
    </row>
    <row r="103" spans="1:18" ht="11.65" customHeight="1" x14ac:dyDescent="0.25">
      <c r="A103" s="1266"/>
      <c r="B103" s="1262"/>
      <c r="C103" s="1269"/>
      <c r="D103" s="1269"/>
      <c r="E103" s="1269"/>
      <c r="F103" s="1269"/>
      <c r="G103" s="1269"/>
      <c r="H103" s="1269"/>
      <c r="I103" s="1269"/>
      <c r="J103" s="1269"/>
      <c r="K103" s="464"/>
      <c r="L103" s="1108"/>
      <c r="M103" s="1108"/>
      <c r="N103" s="1108"/>
      <c r="O103" s="1108"/>
      <c r="P103" s="1108"/>
      <c r="Q103" s="1108"/>
      <c r="R103" s="1108"/>
    </row>
    <row r="104" spans="1:18" ht="11.65" customHeight="1" x14ac:dyDescent="0.25">
      <c r="A104" s="1266"/>
      <c r="B104" s="1262"/>
      <c r="C104" s="1269"/>
      <c r="D104" s="1269"/>
      <c r="E104" s="1269"/>
      <c r="F104" s="1269"/>
      <c r="G104" s="1269"/>
      <c r="H104" s="1269"/>
      <c r="I104" s="1269"/>
      <c r="J104" s="1269"/>
      <c r="K104" s="464"/>
      <c r="L104" s="1108"/>
      <c r="M104" s="1108"/>
      <c r="N104" s="1108"/>
      <c r="O104" s="1108"/>
      <c r="P104" s="1108"/>
      <c r="Q104" s="1108"/>
      <c r="R104" s="1108"/>
    </row>
    <row r="105" spans="1:18" ht="21" customHeight="1" x14ac:dyDescent="0.25">
      <c r="A105" s="1265"/>
      <c r="B105" s="1262"/>
      <c r="C105" s="1269"/>
      <c r="D105" s="1269"/>
      <c r="E105" s="1269"/>
      <c r="F105" s="1269"/>
      <c r="G105" s="1269"/>
      <c r="H105" s="1269"/>
      <c r="I105" s="1269"/>
      <c r="J105" s="1269"/>
      <c r="K105" s="464"/>
      <c r="L105" s="1108"/>
      <c r="M105" s="1108"/>
      <c r="N105" s="1108"/>
      <c r="O105" s="1108"/>
      <c r="P105" s="1108"/>
      <c r="Q105" s="1108"/>
      <c r="R105" s="1108"/>
    </row>
    <row r="106" spans="1:18" ht="11.65" customHeight="1" x14ac:dyDescent="0.25">
      <c r="A106" s="1266"/>
      <c r="B106" s="1262"/>
      <c r="C106" s="1269"/>
      <c r="D106" s="1269"/>
      <c r="E106" s="1269"/>
      <c r="F106" s="1269"/>
      <c r="G106" s="1269"/>
      <c r="H106" s="1269"/>
      <c r="I106" s="1269"/>
      <c r="J106" s="1269"/>
      <c r="K106" s="464"/>
      <c r="L106" s="1108"/>
      <c r="M106" s="1108"/>
      <c r="N106" s="1108"/>
      <c r="O106" s="1108"/>
      <c r="P106" s="1108"/>
      <c r="Q106" s="1108"/>
      <c r="R106" s="1108"/>
    </row>
    <row r="107" spans="1:18" ht="11.65" customHeight="1" x14ac:dyDescent="0.25">
      <c r="A107" s="1266"/>
      <c r="B107" s="1262"/>
      <c r="C107" s="1269"/>
      <c r="D107" s="1269"/>
      <c r="E107" s="1269"/>
      <c r="F107" s="1269"/>
      <c r="G107" s="1269"/>
      <c r="H107" s="1269"/>
      <c r="I107" s="1269"/>
      <c r="J107" s="1269"/>
      <c r="K107" s="464"/>
      <c r="L107" s="1108"/>
      <c r="M107" s="1108"/>
      <c r="N107" s="1108"/>
      <c r="O107" s="1108"/>
      <c r="P107" s="1108"/>
      <c r="Q107" s="1108"/>
      <c r="R107" s="1108"/>
    </row>
    <row r="108" spans="1:18" ht="11.65" customHeight="1" x14ac:dyDescent="0.25">
      <c r="A108" s="1266"/>
      <c r="B108" s="1262"/>
      <c r="C108" s="1269"/>
      <c r="D108" s="1269"/>
      <c r="E108" s="1269"/>
      <c r="F108" s="1269"/>
      <c r="G108" s="1269"/>
      <c r="H108" s="1269"/>
      <c r="I108" s="1269"/>
      <c r="J108" s="1269"/>
      <c r="K108" s="464"/>
      <c r="L108" s="1108"/>
      <c r="M108" s="1108"/>
      <c r="N108" s="1108"/>
      <c r="O108" s="1108"/>
      <c r="P108" s="1108"/>
      <c r="Q108" s="1108"/>
      <c r="R108" s="1108"/>
    </row>
    <row r="109" spans="1:18" ht="21" customHeight="1" x14ac:dyDescent="0.25">
      <c r="A109" s="1265"/>
      <c r="B109" s="1262"/>
      <c r="C109" s="1269"/>
      <c r="D109" s="1269"/>
      <c r="E109" s="1269"/>
      <c r="F109" s="1269"/>
      <c r="G109" s="1269"/>
      <c r="H109" s="1269"/>
      <c r="I109" s="1269"/>
      <c r="J109" s="1269"/>
      <c r="K109" s="648"/>
      <c r="L109" s="1110"/>
      <c r="M109" s="1110"/>
      <c r="N109" s="1110"/>
      <c r="O109" s="1110"/>
      <c r="P109" s="1110"/>
      <c r="Q109" s="1110"/>
      <c r="R109" s="1110"/>
    </row>
    <row r="110" spans="1:18" ht="11.65" customHeight="1" x14ac:dyDescent="0.25">
      <c r="A110" s="1266"/>
      <c r="B110" s="1262"/>
      <c r="C110" s="1269"/>
      <c r="D110" s="1269"/>
      <c r="E110" s="1269"/>
      <c r="F110" s="1269"/>
      <c r="G110" s="1269"/>
      <c r="H110" s="1269"/>
      <c r="I110" s="1269"/>
      <c r="J110" s="1269"/>
      <c r="K110" s="648"/>
      <c r="L110" s="1110"/>
      <c r="M110" s="1110"/>
      <c r="N110" s="1110"/>
      <c r="O110" s="1110"/>
      <c r="P110" s="1110"/>
      <c r="Q110" s="1110"/>
      <c r="R110" s="1110"/>
    </row>
    <row r="111" spans="1:18" ht="11.65" customHeight="1" x14ac:dyDescent="0.25">
      <c r="A111" s="1266"/>
      <c r="B111" s="1262"/>
      <c r="C111" s="1269"/>
      <c r="D111" s="1269"/>
      <c r="E111" s="1269"/>
      <c r="F111" s="1269"/>
      <c r="G111" s="1269"/>
      <c r="H111" s="1269"/>
      <c r="I111" s="1269"/>
      <c r="J111" s="1269"/>
      <c r="K111" s="648"/>
      <c r="L111" s="1110"/>
      <c r="M111" s="1110"/>
      <c r="N111" s="1110"/>
      <c r="O111" s="1110"/>
      <c r="P111" s="1110"/>
      <c r="Q111" s="1110"/>
      <c r="R111" s="1110"/>
    </row>
    <row r="112" spans="1:18" ht="11.65" customHeight="1" x14ac:dyDescent="0.25">
      <c r="A112" s="1266"/>
      <c r="B112" s="1262"/>
      <c r="C112" s="1269"/>
      <c r="D112" s="1269"/>
      <c r="E112" s="1269"/>
      <c r="F112" s="1269"/>
      <c r="G112" s="1269"/>
      <c r="H112" s="1269"/>
      <c r="I112" s="1269"/>
      <c r="J112" s="1269"/>
      <c r="K112" s="648"/>
      <c r="L112" s="1110"/>
      <c r="M112" s="1110"/>
      <c r="N112" s="1110"/>
      <c r="O112" s="1110"/>
      <c r="P112" s="1110"/>
      <c r="Q112" s="1110"/>
      <c r="R112" s="1110"/>
    </row>
    <row r="113" spans="1:18" ht="5.25" customHeight="1" x14ac:dyDescent="0.25">
      <c r="A113" s="1264"/>
      <c r="B113" s="1262"/>
      <c r="C113" s="1269"/>
      <c r="D113" s="1269"/>
      <c r="E113" s="1269"/>
      <c r="F113" s="1269"/>
      <c r="G113" s="1269"/>
      <c r="H113" s="1269"/>
      <c r="I113" s="1269"/>
      <c r="J113" s="1269"/>
      <c r="K113" s="103"/>
      <c r="L113" s="1103"/>
      <c r="M113" s="1103"/>
      <c r="N113" s="1103"/>
      <c r="O113" s="1103"/>
      <c r="P113" s="1103"/>
      <c r="Q113" s="1103"/>
      <c r="R113" s="1103"/>
    </row>
    <row r="114" spans="1:18" ht="11.25" customHeight="1" x14ac:dyDescent="0.25">
      <c r="A114" s="1101"/>
      <c r="B114" s="1109"/>
      <c r="C114" s="648"/>
      <c r="D114" s="648"/>
      <c r="E114" s="648"/>
      <c r="F114" s="648"/>
      <c r="G114" s="648"/>
      <c r="H114" s="648"/>
      <c r="I114" s="648"/>
      <c r="J114" s="648"/>
      <c r="K114" s="1267"/>
      <c r="L114" s="1111"/>
      <c r="M114" s="1111"/>
      <c r="N114" s="1111"/>
      <c r="O114" s="1111"/>
      <c r="P114" s="1111"/>
      <c r="Q114" s="1111"/>
      <c r="R114" s="1111"/>
    </row>
    <row r="115" spans="1:18" ht="11.25" customHeight="1" x14ac:dyDescent="0.25">
      <c r="A115" s="364"/>
      <c r="B115" s="1109"/>
      <c r="C115" s="103"/>
      <c r="D115" s="103"/>
      <c r="E115" s="103"/>
      <c r="F115" s="103"/>
      <c r="G115" s="103"/>
      <c r="H115" s="103"/>
      <c r="I115" s="103"/>
      <c r="J115" s="103"/>
      <c r="K115" s="464"/>
      <c r="L115" s="770"/>
      <c r="M115" s="770"/>
      <c r="N115" s="770"/>
      <c r="O115" s="770"/>
      <c r="P115" s="770"/>
      <c r="Q115" s="770"/>
      <c r="R115" s="770"/>
    </row>
    <row r="116" spans="1:18" ht="11.25" customHeight="1" x14ac:dyDescent="0.25">
      <c r="A116" s="1101"/>
      <c r="B116" s="1104"/>
      <c r="C116" s="1267"/>
      <c r="D116" s="1267"/>
      <c r="E116" s="1267"/>
      <c r="F116" s="1267"/>
      <c r="G116" s="1267"/>
      <c r="H116" s="1267"/>
      <c r="I116" s="1267"/>
      <c r="J116" s="1267"/>
      <c r="K116" s="464"/>
      <c r="L116" s="770"/>
      <c r="M116" s="770"/>
      <c r="N116" s="770"/>
      <c r="O116" s="770"/>
      <c r="P116" s="770"/>
      <c r="Q116" s="770"/>
      <c r="R116" s="770"/>
    </row>
    <row r="117" spans="1:18" ht="11.25" customHeight="1" x14ac:dyDescent="0.25">
      <c r="A117" s="1101"/>
      <c r="B117" s="1104"/>
      <c r="C117" s="464"/>
      <c r="D117" s="464"/>
      <c r="E117" s="464"/>
      <c r="F117" s="464"/>
      <c r="G117" s="464"/>
      <c r="H117" s="464"/>
      <c r="I117" s="464"/>
      <c r="J117" s="464"/>
      <c r="K117" s="1270"/>
      <c r="L117" s="1112"/>
      <c r="M117" s="1112"/>
      <c r="N117" s="1112"/>
      <c r="O117" s="1112"/>
      <c r="P117" s="1112"/>
      <c r="Q117" s="1112"/>
      <c r="R117" s="1112"/>
    </row>
    <row r="118" spans="1:18" ht="11.25" customHeight="1" x14ac:dyDescent="0.25">
      <c r="A118" s="1101"/>
      <c r="B118" s="1104"/>
      <c r="C118" s="770"/>
      <c r="D118" s="770"/>
      <c r="E118" s="770"/>
      <c r="F118" s="770"/>
      <c r="G118" s="770"/>
      <c r="H118" s="770"/>
      <c r="I118" s="770"/>
      <c r="J118" s="770"/>
      <c r="K118" s="1113"/>
      <c r="L118" s="1113"/>
      <c r="M118" s="1113"/>
      <c r="N118" s="1113"/>
      <c r="O118" s="1113"/>
      <c r="P118" s="1113"/>
      <c r="Q118" s="1113"/>
      <c r="R118" s="1113"/>
    </row>
    <row r="119" spans="1:18" ht="11.25" customHeight="1" x14ac:dyDescent="0.25">
      <c r="A119" s="1101"/>
      <c r="B119" s="1104"/>
      <c r="C119" s="1112"/>
      <c r="D119" s="1112"/>
      <c r="E119" s="1112"/>
      <c r="F119" s="1112"/>
      <c r="G119" s="1112"/>
      <c r="H119" s="1112"/>
      <c r="I119" s="1112"/>
      <c r="J119" s="1112"/>
      <c r="K119" s="1113"/>
      <c r="L119" s="1113"/>
      <c r="M119" s="1113"/>
      <c r="N119" s="1113"/>
      <c r="O119" s="1113"/>
      <c r="P119" s="1113"/>
      <c r="Q119" s="1113"/>
      <c r="R119" s="1113"/>
    </row>
    <row r="120" spans="1:18" ht="11.25" customHeight="1" x14ac:dyDescent="0.25">
      <c r="A120" s="1101"/>
      <c r="B120" s="1104"/>
      <c r="C120" s="1113"/>
      <c r="D120" s="1113"/>
      <c r="E120" s="1113"/>
      <c r="F120" s="1113"/>
      <c r="G120" s="1113"/>
      <c r="H120" s="1113"/>
      <c r="I120" s="1113"/>
      <c r="J120" s="1113"/>
      <c r="K120" s="1113"/>
      <c r="L120" s="1113"/>
      <c r="M120" s="1113"/>
      <c r="N120" s="1113"/>
      <c r="O120" s="1113"/>
      <c r="P120" s="1113"/>
      <c r="Q120" s="1113"/>
      <c r="R120" s="1113"/>
    </row>
    <row r="121" spans="1:18" ht="11.25" customHeight="1" x14ac:dyDescent="0.25">
      <c r="A121" s="1101"/>
      <c r="B121" s="1104"/>
      <c r="C121" s="1113"/>
      <c r="D121" s="1113"/>
      <c r="E121" s="1113"/>
      <c r="F121" s="1113"/>
      <c r="G121" s="1113"/>
      <c r="H121" s="1113"/>
      <c r="I121" s="1113"/>
      <c r="J121" s="1113"/>
      <c r="K121" s="1113"/>
      <c r="L121" s="1113"/>
      <c r="M121" s="1113"/>
      <c r="N121" s="1113"/>
      <c r="O121" s="1113"/>
      <c r="P121" s="1113"/>
      <c r="Q121" s="1113"/>
      <c r="R121" s="1113"/>
    </row>
    <row r="122" spans="1:18" ht="11.25" customHeight="1" x14ac:dyDescent="0.25">
      <c r="A122" s="1101"/>
      <c r="B122" s="1104"/>
      <c r="C122" s="1113"/>
      <c r="D122" s="1113"/>
      <c r="E122" s="1113"/>
      <c r="F122" s="1113"/>
      <c r="G122" s="1113"/>
      <c r="H122" s="1113"/>
      <c r="I122" s="1113"/>
      <c r="J122" s="1113"/>
      <c r="K122" s="1113"/>
      <c r="L122" s="1113"/>
      <c r="M122" s="1113"/>
      <c r="N122" s="1113"/>
      <c r="O122" s="1113"/>
      <c r="P122" s="1113"/>
      <c r="Q122" s="1113"/>
      <c r="R122" s="1113"/>
    </row>
    <row r="123" spans="1:18" ht="11.25" customHeight="1" x14ac:dyDescent="0.25">
      <c r="A123" s="1101"/>
      <c r="B123" s="1104"/>
      <c r="C123" s="1113"/>
      <c r="D123" s="1113"/>
      <c r="E123" s="1113"/>
      <c r="F123" s="1113"/>
      <c r="G123" s="1113"/>
      <c r="H123" s="1113"/>
      <c r="I123" s="1113"/>
      <c r="J123" s="1113"/>
      <c r="K123" s="1113"/>
      <c r="L123" s="1113"/>
      <c r="M123" s="1113"/>
      <c r="N123" s="1113"/>
      <c r="O123" s="1113"/>
      <c r="P123" s="1113"/>
      <c r="Q123" s="1113"/>
      <c r="R123" s="1113"/>
    </row>
    <row r="124" spans="1:18" ht="11.25" customHeight="1" x14ac:dyDescent="0.25">
      <c r="A124" s="1101"/>
      <c r="B124" s="1104"/>
      <c r="C124" s="1113"/>
      <c r="D124" s="1113"/>
      <c r="E124" s="1113"/>
      <c r="F124" s="1113"/>
      <c r="G124" s="1113"/>
      <c r="H124" s="1113"/>
      <c r="I124" s="1113"/>
      <c r="J124" s="1113"/>
      <c r="K124" s="113"/>
      <c r="L124" s="113"/>
      <c r="M124" s="113"/>
      <c r="N124" s="113"/>
      <c r="O124" s="113"/>
      <c r="P124" s="113"/>
      <c r="Q124" s="113"/>
      <c r="R124" s="113"/>
    </row>
    <row r="125" spans="1:18" ht="4.9000000000000004" customHeight="1" x14ac:dyDescent="0.25">
      <c r="A125" s="1101"/>
      <c r="B125" s="1104"/>
      <c r="C125" s="1113"/>
      <c r="D125" s="1113"/>
      <c r="E125" s="1113"/>
      <c r="F125" s="1113"/>
      <c r="G125" s="1113"/>
      <c r="H125" s="1113"/>
      <c r="I125" s="1113"/>
      <c r="J125" s="1113"/>
      <c r="K125" s="148"/>
      <c r="L125" s="148"/>
      <c r="M125" s="148"/>
      <c r="N125" s="148"/>
      <c r="O125" s="148"/>
      <c r="P125" s="148"/>
      <c r="Q125" s="148"/>
      <c r="R125" s="148"/>
    </row>
    <row r="126" spans="1:18" s="464" customFormat="1" x14ac:dyDescent="0.25">
      <c r="A126" s="103"/>
      <c r="B126" s="1104"/>
      <c r="C126" s="113"/>
      <c r="D126" s="113"/>
      <c r="E126" s="113"/>
      <c r="F126" s="113"/>
      <c r="G126" s="113"/>
      <c r="H126" s="113"/>
      <c r="I126" s="113"/>
      <c r="J126" s="113"/>
      <c r="K126" s="647"/>
      <c r="L126" s="647"/>
      <c r="M126" s="647"/>
      <c r="N126" s="647"/>
      <c r="O126" s="647"/>
      <c r="P126" s="647"/>
      <c r="Q126" s="647"/>
      <c r="R126" s="647"/>
    </row>
    <row r="127" spans="1:18" s="464" customFormat="1" x14ac:dyDescent="0.25">
      <c r="A127" s="25"/>
      <c r="B127" s="102"/>
      <c r="C127" s="148"/>
      <c r="D127" s="148"/>
      <c r="E127" s="148"/>
      <c r="F127" s="148"/>
      <c r="G127" s="148"/>
      <c r="H127" s="148"/>
      <c r="I127" s="148"/>
      <c r="J127" s="148"/>
      <c r="K127" s="647"/>
      <c r="L127" s="647"/>
      <c r="M127" s="647"/>
      <c r="N127" s="647"/>
      <c r="O127" s="647"/>
      <c r="P127" s="647"/>
      <c r="Q127" s="647"/>
      <c r="R127" s="647"/>
    </row>
    <row r="128" spans="1:18" s="464" customFormat="1" x14ac:dyDescent="0.25">
      <c r="A128" s="101"/>
      <c r="B128" s="645"/>
      <c r="C128" s="647"/>
      <c r="D128" s="647"/>
      <c r="E128" s="647"/>
      <c r="F128" s="647"/>
      <c r="G128" s="647"/>
      <c r="H128" s="647"/>
      <c r="I128" s="647"/>
      <c r="J128" s="647"/>
      <c r="K128" s="647"/>
      <c r="L128" s="647"/>
      <c r="M128" s="647"/>
      <c r="N128" s="647"/>
      <c r="O128" s="647"/>
      <c r="P128" s="647"/>
      <c r="Q128" s="647"/>
      <c r="R128" s="647"/>
    </row>
    <row r="129" spans="1:18" s="464" customFormat="1" x14ac:dyDescent="0.25">
      <c r="A129" s="105"/>
      <c r="B129" s="645"/>
      <c r="C129" s="647"/>
      <c r="D129" s="647"/>
      <c r="E129" s="647"/>
      <c r="F129" s="647"/>
      <c r="G129" s="647"/>
      <c r="H129" s="647"/>
      <c r="I129" s="647"/>
      <c r="J129" s="647"/>
      <c r="K129" s="647"/>
      <c r="L129" s="647"/>
      <c r="M129" s="647"/>
      <c r="N129" s="647"/>
      <c r="O129" s="647"/>
      <c r="P129" s="647"/>
      <c r="Q129" s="647"/>
      <c r="R129" s="647"/>
    </row>
    <row r="130" spans="1:18" s="464" customFormat="1" x14ac:dyDescent="0.25">
      <c r="A130" s="105"/>
      <c r="B130" s="645"/>
      <c r="C130" s="647"/>
      <c r="D130" s="647"/>
      <c r="E130" s="647"/>
      <c r="F130" s="647"/>
      <c r="G130" s="647"/>
      <c r="H130" s="647"/>
      <c r="I130" s="647"/>
      <c r="J130" s="647"/>
      <c r="K130" s="647"/>
      <c r="L130" s="647"/>
      <c r="M130" s="647"/>
      <c r="N130" s="647"/>
      <c r="O130" s="647"/>
      <c r="P130" s="647"/>
      <c r="Q130" s="647"/>
      <c r="R130" s="647"/>
    </row>
    <row r="131" spans="1:18" x14ac:dyDescent="0.25">
      <c r="A131" s="132"/>
      <c r="B131" s="645"/>
      <c r="C131" s="647"/>
      <c r="D131" s="647"/>
      <c r="E131" s="647"/>
      <c r="F131" s="647"/>
      <c r="G131" s="647"/>
      <c r="H131" s="647"/>
      <c r="I131" s="647"/>
      <c r="J131" s="647"/>
      <c r="K131" s="104"/>
      <c r="L131" s="104"/>
      <c r="M131" s="104"/>
      <c r="N131" s="104"/>
      <c r="O131" s="104"/>
      <c r="P131" s="104"/>
      <c r="Q131" s="104"/>
      <c r="R131" s="104"/>
    </row>
    <row r="132" spans="1:18" x14ac:dyDescent="0.25">
      <c r="A132" s="105"/>
      <c r="B132" s="645"/>
      <c r="C132" s="647"/>
      <c r="D132" s="647"/>
      <c r="E132" s="647"/>
      <c r="F132" s="647"/>
      <c r="G132" s="647"/>
      <c r="H132" s="647"/>
      <c r="I132" s="647"/>
      <c r="J132" s="647"/>
      <c r="K132" s="104"/>
      <c r="L132" s="104"/>
      <c r="M132" s="104"/>
      <c r="N132" s="104"/>
      <c r="O132" s="104"/>
      <c r="P132" s="104"/>
      <c r="Q132" s="104"/>
      <c r="R132" s="104"/>
    </row>
    <row r="133" spans="1:18" ht="11.25" customHeight="1" x14ac:dyDescent="0.25">
      <c r="A133" s="132"/>
      <c r="C133" s="103"/>
      <c r="D133" s="103"/>
      <c r="E133" s="103"/>
      <c r="F133" s="103"/>
      <c r="G133" s="104"/>
      <c r="H133" s="104"/>
      <c r="I133" s="104"/>
      <c r="J133" s="104"/>
    </row>
    <row r="134" spans="1:18" ht="11.25" customHeight="1" x14ac:dyDescent="0.25">
      <c r="A134" s="132"/>
      <c r="C134" s="103"/>
      <c r="D134" s="103"/>
      <c r="E134" s="103"/>
      <c r="F134" s="103"/>
      <c r="G134" s="104"/>
      <c r="H134" s="104"/>
      <c r="I134" s="104"/>
      <c r="J134" s="104"/>
    </row>
    <row r="135" spans="1:18" ht="11.25" customHeight="1" x14ac:dyDescent="0.25"/>
    <row r="136" spans="1:18" ht="11.25" customHeight="1" x14ac:dyDescent="0.25">
      <c r="B136" s="25"/>
    </row>
    <row r="137" spans="1:18" ht="11.25" customHeight="1" x14ac:dyDescent="0.25">
      <c r="B137" s="25"/>
    </row>
    <row r="138" spans="1:18" ht="11.25" customHeight="1" x14ac:dyDescent="0.25">
      <c r="B138" s="25"/>
    </row>
    <row r="139" spans="1:18" ht="11.25" customHeight="1" x14ac:dyDescent="0.25"/>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sheetData>
  <mergeCells count="14">
    <mergeCell ref="G94:G95"/>
    <mergeCell ref="A94:A95"/>
    <mergeCell ref="B94:B95"/>
    <mergeCell ref="C94:C95"/>
    <mergeCell ref="D94:D95"/>
    <mergeCell ref="E94:E95"/>
    <mergeCell ref="F94:F95"/>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xr:uid="{00000000-0002-0000-2100-000000000000}">
      <formula1>List3</formula1>
    </dataValidation>
    <dataValidation type="list" allowBlank="1" showInputMessage="1" showErrorMessage="1" promptTitle="Select" prompt="Select one" sqref="K80:R81 C80:C81 K17:R17" xr:uid="{00000000-0002-0000-2100-000001000000}">
      <formula1>List2</formula1>
    </dataValidation>
    <dataValidation type="list" allowBlank="1" showInputMessage="1" showErrorMessage="1" promptTitle="Select" prompt="Select one" sqref="K82:R82 C82 K19:R19" xr:uid="{00000000-0002-0000-2100-000002000000}">
      <formula1>List4</formula1>
    </dataValidation>
    <dataValidation type="list" allowBlank="1" showInputMessage="1" showErrorMessage="1" promptTitle="Select" prompt="Select one" sqref="K83:R83 K20:R20" xr:uid="{00000000-0002-0000-2100-000003000000}">
      <formula1>List5</formula1>
    </dataValidation>
    <dataValidation type="list" showInputMessage="1" showErrorMessage="1" promptTitle="Guidance" prompt="Select Yes or No" sqref="K85:R86 K22:R23" xr:uid="{00000000-0002-0000-2100-000004000000}">
      <formula1>List6</formula1>
    </dataValidation>
    <dataValidation type="list" showInputMessage="1" showErrorMessage="1" promptTitle="Guidance" prompt="Select Uniform or Variable" sqref="K87:R87 K24:R24" xr:uid="{00000000-0002-0000-2100-000005000000}">
      <formula1>List7</formula1>
    </dataValidation>
  </dataValidations>
  <printOptions horizontalCentered="1"/>
  <pageMargins left="0" right="0" top="0.59055118110236227" bottom="0.24" header="0.51181102362204722" footer="0.23622047244094491"/>
  <pageSetup paperSize="9" scale="75" orientation="landscape"/>
  <headerFooter alignWithMargins="0"/>
  <rowBreaks count="1" manualBreakCount="1">
    <brk id="5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6"/>
  <dimension ref="A1:S167"/>
  <sheetViews>
    <sheetView showGridLines="0" zoomScaleNormal="100" workbookViewId="0">
      <selection activeCell="C6" sqref="C6"/>
    </sheetView>
  </sheetViews>
  <sheetFormatPr defaultRowHeight="12.75" x14ac:dyDescent="0.25"/>
  <cols>
    <col min="1" max="1" width="31.42578125" style="25" customWidth="1"/>
    <col min="2" max="2" width="3.7109375" style="102" customWidth="1"/>
    <col min="3" max="3" width="17.7109375" style="25" customWidth="1"/>
    <col min="4" max="10" width="9.28515625" style="25" customWidth="1"/>
    <col min="11" max="18" width="8.140625" style="25" customWidth="1"/>
    <col min="19" max="19" width="9.7109375" style="25" customWidth="1"/>
    <col min="20" max="20" width="9.42578125" style="25" customWidth="1"/>
    <col min="21" max="21" width="9.7109375" style="25" customWidth="1"/>
    <col min="22" max="24" width="9.42578125" style="25" customWidth="1"/>
    <col min="25" max="25" width="9.7109375" style="25" customWidth="1"/>
    <col min="26" max="28" width="9.42578125" style="25" customWidth="1"/>
    <col min="29" max="30" width="9.7109375" style="25" customWidth="1"/>
    <col min="31" max="16384" width="9.140625" style="25"/>
  </cols>
  <sheetData>
    <row r="1" spans="1:18" ht="13.5" x14ac:dyDescent="0.25">
      <c r="A1" s="1241" t="str">
        <f>muni&amp;" - "&amp;TableA13b</f>
        <v>EC101 Dr Beyers Naude - Supporting Table SA13b Service Tariffs by category - explanatory</v>
      </c>
      <c r="B1" s="23"/>
      <c r="C1" s="23"/>
      <c r="D1" s="23"/>
      <c r="E1" s="23"/>
      <c r="F1" s="23"/>
      <c r="G1" s="23"/>
      <c r="H1" s="23"/>
      <c r="I1" s="23"/>
      <c r="J1" s="23"/>
      <c r="K1" s="591"/>
      <c r="L1" s="591"/>
      <c r="M1" s="591"/>
      <c r="N1" s="591"/>
      <c r="O1" s="591"/>
      <c r="P1" s="591"/>
      <c r="Q1" s="591"/>
      <c r="R1" s="591"/>
    </row>
    <row r="2" spans="1:18" ht="25.15" customHeight="1" x14ac:dyDescent="0.25">
      <c r="A2" s="1958" t="str">
        <f>desc</f>
        <v>Description</v>
      </c>
      <c r="B2" s="1930" t="str">
        <f>head27</f>
        <v>Ref</v>
      </c>
      <c r="C2" s="1956" t="s">
        <v>1858</v>
      </c>
      <c r="D2" s="1956" t="str">
        <f>head1b</f>
        <v>2015/16</v>
      </c>
      <c r="E2" s="1956" t="str">
        <f>head1A</f>
        <v>2016/17</v>
      </c>
      <c r="F2" s="1938" t="str">
        <f>Head1</f>
        <v>2017/18</v>
      </c>
      <c r="G2" s="1946" t="str">
        <f>Head2</f>
        <v>Current Year 2018/19</v>
      </c>
      <c r="H2" s="1242" t="str">
        <f>Head3</f>
        <v>2019/20 Medium Term Revenue &amp; Expenditure Framework</v>
      </c>
      <c r="I2" s="416"/>
      <c r="J2" s="417"/>
      <c r="K2" s="1100"/>
      <c r="L2" s="1100"/>
      <c r="M2" s="1100"/>
      <c r="N2" s="1100"/>
      <c r="O2" s="1100"/>
      <c r="P2" s="1100"/>
      <c r="Q2" s="1100"/>
      <c r="R2" s="1100"/>
    </row>
    <row r="3" spans="1:18" ht="25.15" customHeight="1" x14ac:dyDescent="0.25">
      <c r="A3" s="1960"/>
      <c r="B3" s="1931"/>
      <c r="C3" s="1957"/>
      <c r="D3" s="1957"/>
      <c r="E3" s="1957"/>
      <c r="F3" s="1939"/>
      <c r="G3" s="1947"/>
      <c r="H3" s="1280" t="str">
        <f>Head9</f>
        <v>Budget Year 2019/20</v>
      </c>
      <c r="I3" s="585" t="str">
        <f>Head10</f>
        <v>Budget Year +1 2020/21</v>
      </c>
      <c r="J3" s="1281" t="str">
        <f>Head11</f>
        <v>Budget Year +2 2021/22</v>
      </c>
      <c r="K3" s="104"/>
      <c r="L3" s="104"/>
      <c r="M3" s="104"/>
      <c r="N3" s="104"/>
      <c r="O3" s="104"/>
      <c r="P3" s="104"/>
      <c r="Q3" s="104"/>
      <c r="R3" s="104"/>
    </row>
    <row r="4" spans="1:18" ht="12.75" customHeight="1" x14ac:dyDescent="0.25">
      <c r="A4" s="270" t="s">
        <v>1880</v>
      </c>
      <c r="B4" s="235"/>
      <c r="C4" s="1247"/>
      <c r="D4" s="1247"/>
      <c r="E4" s="1247"/>
      <c r="F4" s="1248"/>
      <c r="G4" s="1249"/>
      <c r="H4" s="1249"/>
      <c r="I4" s="1247"/>
      <c r="J4" s="1248"/>
      <c r="K4" s="104"/>
      <c r="L4" s="104"/>
      <c r="M4" s="104"/>
      <c r="N4" s="104"/>
      <c r="O4" s="104"/>
      <c r="P4" s="104"/>
      <c r="Q4" s="104"/>
      <c r="R4" s="104"/>
    </row>
    <row r="5" spans="1:18" ht="12.75" customHeight="1" x14ac:dyDescent="0.25">
      <c r="A5" s="1621" t="s">
        <v>2029</v>
      </c>
      <c r="B5" s="235"/>
      <c r="C5" s="1615" t="s">
        <v>2714</v>
      </c>
      <c r="D5" s="1615"/>
      <c r="E5" s="1615"/>
      <c r="F5" s="1619"/>
      <c r="G5" s="1620"/>
      <c r="H5" s="1620"/>
      <c r="I5" s="1615"/>
      <c r="J5" s="1619"/>
      <c r="K5" s="1010"/>
      <c r="L5" s="1010"/>
      <c r="M5" s="1010"/>
      <c r="N5" s="1010"/>
      <c r="O5" s="1010"/>
      <c r="P5" s="1010"/>
      <c r="Q5" s="1010"/>
      <c r="R5" s="1010"/>
    </row>
    <row r="6" spans="1:18" ht="12.75" customHeight="1" x14ac:dyDescent="0.25">
      <c r="A6" s="1621"/>
      <c r="B6" s="235"/>
      <c r="C6" s="1615"/>
      <c r="D6" s="1615"/>
      <c r="E6" s="1615"/>
      <c r="F6" s="1619"/>
      <c r="G6" s="1620"/>
      <c r="H6" s="1620"/>
      <c r="I6" s="1615"/>
      <c r="J6" s="1619"/>
      <c r="K6" s="1010"/>
      <c r="L6" s="1010"/>
      <c r="M6" s="1010"/>
      <c r="N6" s="1010"/>
      <c r="O6" s="1010"/>
      <c r="P6" s="1010"/>
      <c r="Q6" s="1010"/>
      <c r="R6" s="1010"/>
    </row>
    <row r="7" spans="1:18" ht="12.75" customHeight="1" x14ac:dyDescent="0.25">
      <c r="A7" s="1621"/>
      <c r="B7" s="235"/>
      <c r="C7" s="1615"/>
      <c r="D7" s="1615"/>
      <c r="E7" s="1615"/>
      <c r="F7" s="1619"/>
      <c r="G7" s="1620"/>
      <c r="H7" s="1620"/>
      <c r="I7" s="1615"/>
      <c r="J7" s="1619"/>
      <c r="K7" s="1010"/>
      <c r="L7" s="1010"/>
      <c r="M7" s="1010"/>
      <c r="N7" s="1010"/>
      <c r="O7" s="1010"/>
      <c r="P7" s="1010"/>
      <c r="Q7" s="1010"/>
      <c r="R7" s="1010"/>
    </row>
    <row r="8" spans="1:18" ht="12.75" customHeight="1" x14ac:dyDescent="0.25">
      <c r="A8" s="1621"/>
      <c r="B8" s="235"/>
      <c r="C8" s="1615"/>
      <c r="D8" s="1615"/>
      <c r="E8" s="1615"/>
      <c r="F8" s="1619"/>
      <c r="G8" s="1620"/>
      <c r="H8" s="1620"/>
      <c r="I8" s="1615"/>
      <c r="J8" s="1619"/>
      <c r="K8" s="1010"/>
      <c r="L8" s="1010"/>
      <c r="M8" s="1010"/>
      <c r="N8" s="1010"/>
      <c r="O8" s="1010"/>
      <c r="P8" s="1010"/>
      <c r="Q8" s="1010"/>
      <c r="R8" s="1010"/>
    </row>
    <row r="9" spans="1:18" ht="12.75" customHeight="1" x14ac:dyDescent="0.25">
      <c r="A9" s="1621"/>
      <c r="B9" s="235"/>
      <c r="C9" s="1615"/>
      <c r="D9" s="1615"/>
      <c r="E9" s="1615"/>
      <c r="F9" s="1619"/>
      <c r="G9" s="1620"/>
      <c r="H9" s="1620"/>
      <c r="I9" s="1615"/>
      <c r="J9" s="1619"/>
      <c r="K9" s="1010"/>
      <c r="L9" s="1010"/>
      <c r="M9" s="1010"/>
      <c r="N9" s="1010"/>
      <c r="O9" s="1010"/>
      <c r="P9" s="1010"/>
      <c r="Q9" s="1010"/>
      <c r="R9" s="1010"/>
    </row>
    <row r="10" spans="1:18" ht="12.75" customHeight="1" x14ac:dyDescent="0.25">
      <c r="A10" s="1621"/>
      <c r="B10" s="235"/>
      <c r="C10" s="1615"/>
      <c r="D10" s="1615"/>
      <c r="E10" s="1615"/>
      <c r="F10" s="1619"/>
      <c r="G10" s="1620"/>
      <c r="H10" s="1620"/>
      <c r="I10" s="1615"/>
      <c r="J10" s="1619"/>
      <c r="K10" s="1010"/>
      <c r="L10" s="1010"/>
      <c r="M10" s="1010"/>
      <c r="N10" s="1010"/>
      <c r="O10" s="1010"/>
      <c r="P10" s="1010"/>
      <c r="Q10" s="1010"/>
      <c r="R10" s="1010"/>
    </row>
    <row r="11" spans="1:18" ht="12.75" customHeight="1" x14ac:dyDescent="0.25">
      <c r="A11" s="1621"/>
      <c r="B11" s="235"/>
      <c r="C11" s="1615"/>
      <c r="D11" s="1615"/>
      <c r="E11" s="1615"/>
      <c r="F11" s="1619"/>
      <c r="G11" s="1620"/>
      <c r="H11" s="1620"/>
      <c r="I11" s="1615"/>
      <c r="J11" s="1619"/>
      <c r="K11" s="1010"/>
      <c r="L11" s="1010"/>
      <c r="M11" s="1010"/>
      <c r="N11" s="1010"/>
      <c r="O11" s="1010"/>
      <c r="P11" s="1010"/>
      <c r="Q11" s="1010"/>
      <c r="R11" s="1010"/>
    </row>
    <row r="12" spans="1:18" ht="12.75" customHeight="1" x14ac:dyDescent="0.25">
      <c r="A12" s="1621"/>
      <c r="B12" s="235"/>
      <c r="C12" s="1615"/>
      <c r="D12" s="1615"/>
      <c r="E12" s="1615"/>
      <c r="F12" s="1619"/>
      <c r="G12" s="1620"/>
      <c r="H12" s="1620"/>
      <c r="I12" s="1615"/>
      <c r="J12" s="1619"/>
      <c r="K12" s="1010"/>
      <c r="L12" s="1010"/>
      <c r="M12" s="1010"/>
      <c r="N12" s="1010"/>
      <c r="O12" s="1010"/>
      <c r="P12" s="1010"/>
      <c r="Q12" s="1010"/>
      <c r="R12" s="1010"/>
    </row>
    <row r="13" spans="1:18" ht="6" customHeight="1" x14ac:dyDescent="0.25">
      <c r="A13" s="1251"/>
      <c r="B13" s="235"/>
      <c r="C13" s="235"/>
      <c r="D13" s="1252"/>
      <c r="E13" s="1252"/>
      <c r="F13" s="1253"/>
      <c r="G13" s="1254"/>
      <c r="H13" s="1254"/>
      <c r="I13" s="1252"/>
      <c r="J13" s="1253"/>
      <c r="K13" s="1010"/>
      <c r="L13" s="1010"/>
      <c r="M13" s="1010"/>
      <c r="N13" s="1010"/>
      <c r="O13" s="1010"/>
      <c r="P13" s="1010"/>
      <c r="Q13" s="1010"/>
      <c r="R13" s="1010"/>
    </row>
    <row r="14" spans="1:18" ht="12.75" customHeight="1" x14ac:dyDescent="0.25">
      <c r="A14" s="270" t="s">
        <v>1886</v>
      </c>
      <c r="B14" s="235"/>
      <c r="C14" s="235"/>
      <c r="D14" s="1247"/>
      <c r="E14" s="1247"/>
      <c r="F14" s="1248"/>
      <c r="G14" s="1249"/>
      <c r="H14" s="1249"/>
      <c r="I14" s="1247"/>
      <c r="J14" s="1248"/>
      <c r="K14" s="1010"/>
      <c r="L14" s="1010"/>
      <c r="M14" s="1010"/>
      <c r="N14" s="1010"/>
      <c r="O14" s="1010"/>
      <c r="P14" s="1010"/>
      <c r="Q14" s="1010"/>
      <c r="R14" s="1010"/>
    </row>
    <row r="15" spans="1:18" ht="12.75" customHeight="1" x14ac:dyDescent="0.25">
      <c r="A15" s="1621" t="s">
        <v>2022</v>
      </c>
      <c r="B15" s="235"/>
      <c r="C15" s="1615" t="s">
        <v>1894</v>
      </c>
      <c r="D15" s="1615"/>
      <c r="E15" s="1615"/>
      <c r="F15" s="1619"/>
      <c r="G15" s="1620"/>
      <c r="H15" s="1620"/>
      <c r="I15" s="1615"/>
      <c r="J15" s="1619"/>
      <c r="K15" s="1010"/>
      <c r="L15" s="1010"/>
      <c r="M15" s="1010"/>
      <c r="N15" s="1010"/>
      <c r="O15" s="1010"/>
      <c r="P15" s="1010"/>
      <c r="Q15" s="1010"/>
      <c r="R15" s="1010"/>
    </row>
    <row r="16" spans="1:18" ht="12.75" customHeight="1" x14ac:dyDescent="0.25">
      <c r="A16" s="1621"/>
      <c r="B16" s="235"/>
      <c r="C16" s="1615" t="s">
        <v>1894</v>
      </c>
      <c r="D16" s="1615"/>
      <c r="E16" s="1615"/>
      <c r="F16" s="1619"/>
      <c r="G16" s="1620"/>
      <c r="H16" s="1620"/>
      <c r="I16" s="1615"/>
      <c r="J16" s="1619"/>
      <c r="K16" s="1105"/>
      <c r="L16" s="1105"/>
      <c r="M16" s="1105"/>
      <c r="N16" s="1105"/>
      <c r="O16" s="1105"/>
      <c r="P16" s="1105"/>
      <c r="Q16" s="1105"/>
      <c r="R16" s="1105"/>
    </row>
    <row r="17" spans="1:18" ht="12.75" customHeight="1" x14ac:dyDescent="0.25">
      <c r="A17" s="1621"/>
      <c r="B17" s="235"/>
      <c r="C17" s="1615" t="s">
        <v>1894</v>
      </c>
      <c r="D17" s="1615"/>
      <c r="E17" s="1615"/>
      <c r="F17" s="1619"/>
      <c r="G17" s="1620"/>
      <c r="H17" s="1620"/>
      <c r="I17" s="1615"/>
      <c r="J17" s="1619"/>
      <c r="K17" s="645"/>
      <c r="L17" s="645"/>
      <c r="M17" s="645"/>
      <c r="N17" s="645"/>
      <c r="O17" s="645"/>
      <c r="P17" s="645"/>
      <c r="Q17" s="645"/>
      <c r="R17" s="645"/>
    </row>
    <row r="18" spans="1:18" ht="12.75" customHeight="1" x14ac:dyDescent="0.25">
      <c r="A18" s="1621"/>
      <c r="B18" s="235"/>
      <c r="C18" s="1615" t="s">
        <v>1894</v>
      </c>
      <c r="D18" s="1615"/>
      <c r="E18" s="1615"/>
      <c r="F18" s="1619"/>
      <c r="G18" s="1620"/>
      <c r="H18" s="1620"/>
      <c r="I18" s="1615"/>
      <c r="J18" s="1619"/>
      <c r="K18" s="1106"/>
      <c r="L18" s="1106"/>
      <c r="M18" s="1106"/>
      <c r="N18" s="1106"/>
      <c r="O18" s="1106"/>
      <c r="P18" s="1106"/>
      <c r="Q18" s="1106"/>
      <c r="R18" s="1106"/>
    </row>
    <row r="19" spans="1:18" ht="12.75" customHeight="1" x14ac:dyDescent="0.25">
      <c r="A19" s="1621"/>
      <c r="B19" s="235"/>
      <c r="C19" s="1615" t="s">
        <v>1894</v>
      </c>
      <c r="D19" s="1615"/>
      <c r="E19" s="1615"/>
      <c r="F19" s="1619"/>
      <c r="G19" s="1620"/>
      <c r="H19" s="1620"/>
      <c r="I19" s="1615"/>
      <c r="J19" s="1619"/>
      <c r="K19" s="645"/>
      <c r="L19" s="645"/>
      <c r="M19" s="645"/>
      <c r="N19" s="645"/>
      <c r="O19" s="645"/>
      <c r="P19" s="645"/>
      <c r="Q19" s="645"/>
      <c r="R19" s="645"/>
    </row>
    <row r="20" spans="1:18" ht="12.75" customHeight="1" x14ac:dyDescent="0.25">
      <c r="A20" s="1621"/>
      <c r="B20" s="235"/>
      <c r="C20" s="1615" t="s">
        <v>1894</v>
      </c>
      <c r="D20" s="1615"/>
      <c r="E20" s="1615"/>
      <c r="F20" s="1619"/>
      <c r="G20" s="1620"/>
      <c r="H20" s="1620"/>
      <c r="I20" s="1615"/>
      <c r="J20" s="1619"/>
      <c r="K20" s="645"/>
      <c r="L20" s="645"/>
      <c r="M20" s="645"/>
      <c r="N20" s="645"/>
      <c r="O20" s="645"/>
      <c r="P20" s="645"/>
      <c r="Q20" s="645"/>
      <c r="R20" s="645"/>
    </row>
    <row r="21" spans="1:18" ht="12.75" customHeight="1" x14ac:dyDescent="0.25">
      <c r="A21" s="1621"/>
      <c r="B21" s="235"/>
      <c r="C21" s="1615" t="s">
        <v>1894</v>
      </c>
      <c r="D21" s="1615"/>
      <c r="E21" s="1615"/>
      <c r="F21" s="1619"/>
      <c r="G21" s="1620"/>
      <c r="H21" s="1620"/>
      <c r="I21" s="1615"/>
      <c r="J21" s="1619"/>
      <c r="K21" s="645"/>
      <c r="L21" s="645"/>
      <c r="M21" s="645"/>
      <c r="N21" s="645"/>
      <c r="O21" s="645"/>
      <c r="P21" s="645"/>
      <c r="Q21" s="645"/>
      <c r="R21" s="645"/>
    </row>
    <row r="22" spans="1:18" ht="12.75" customHeight="1" x14ac:dyDescent="0.25">
      <c r="A22" s="1621"/>
      <c r="B22" s="235"/>
      <c r="C22" s="1615" t="s">
        <v>1894</v>
      </c>
      <c r="D22" s="1615"/>
      <c r="E22" s="1615"/>
      <c r="F22" s="1619"/>
      <c r="G22" s="1620"/>
      <c r="H22" s="1620"/>
      <c r="I22" s="1615"/>
      <c r="J22" s="1619"/>
      <c r="K22" s="645"/>
      <c r="L22" s="645"/>
      <c r="M22" s="645"/>
      <c r="N22" s="645"/>
      <c r="O22" s="645"/>
      <c r="P22" s="645"/>
      <c r="Q22" s="645"/>
      <c r="R22" s="645"/>
    </row>
    <row r="23" spans="1:18" ht="12.75" customHeight="1" x14ac:dyDescent="0.25">
      <c r="A23" s="1621"/>
      <c r="B23" s="235"/>
      <c r="C23" s="1615" t="s">
        <v>1894</v>
      </c>
      <c r="D23" s="1615"/>
      <c r="E23" s="1615"/>
      <c r="F23" s="1619"/>
      <c r="G23" s="1620"/>
      <c r="H23" s="1620"/>
      <c r="I23" s="1615"/>
      <c r="J23" s="1619"/>
      <c r="K23" s="645"/>
      <c r="L23" s="645"/>
      <c r="M23" s="645"/>
      <c r="N23" s="645"/>
      <c r="O23" s="645"/>
      <c r="P23" s="645"/>
      <c r="Q23" s="645"/>
      <c r="R23" s="645"/>
    </row>
    <row r="24" spans="1:18" ht="12.75" customHeight="1" x14ac:dyDescent="0.25">
      <c r="A24" s="1621"/>
      <c r="B24" s="235"/>
      <c r="C24" s="1615" t="s">
        <v>1894</v>
      </c>
      <c r="D24" s="1615"/>
      <c r="E24" s="1615"/>
      <c r="F24" s="1619"/>
      <c r="G24" s="1620"/>
      <c r="H24" s="1620"/>
      <c r="I24" s="1615"/>
      <c r="J24" s="1619"/>
      <c r="K24" s="645"/>
      <c r="L24" s="645"/>
      <c r="M24" s="645"/>
      <c r="N24" s="645"/>
      <c r="O24" s="645"/>
      <c r="P24" s="645"/>
      <c r="Q24" s="645"/>
      <c r="R24" s="645"/>
    </row>
    <row r="25" spans="1:18" ht="6" customHeight="1" x14ac:dyDescent="0.25">
      <c r="A25" s="1282"/>
      <c r="B25" s="235"/>
      <c r="C25" s="235"/>
      <c r="D25" s="1247"/>
      <c r="E25" s="1247"/>
      <c r="F25" s="1248"/>
      <c r="G25" s="1249"/>
      <c r="H25" s="1249"/>
      <c r="I25" s="1247"/>
      <c r="J25" s="1248"/>
      <c r="K25" s="109"/>
      <c r="L25" s="109"/>
      <c r="M25" s="109"/>
      <c r="N25" s="109"/>
      <c r="O25" s="109"/>
      <c r="P25" s="109"/>
      <c r="Q25" s="109"/>
      <c r="R25" s="109"/>
    </row>
    <row r="26" spans="1:18" ht="12.75" customHeight="1" x14ac:dyDescent="0.25">
      <c r="A26" s="270" t="s">
        <v>1898</v>
      </c>
      <c r="B26" s="235"/>
      <c r="C26" s="235"/>
      <c r="D26" s="1247"/>
      <c r="E26" s="1247"/>
      <c r="F26" s="1248"/>
      <c r="G26" s="1249"/>
      <c r="H26" s="1249"/>
      <c r="I26" s="1247"/>
      <c r="J26" s="1248"/>
      <c r="K26" s="109"/>
      <c r="L26" s="109"/>
      <c r="M26" s="109"/>
      <c r="N26" s="109"/>
      <c r="O26" s="109"/>
      <c r="P26" s="109"/>
      <c r="Q26" s="109"/>
      <c r="R26" s="109"/>
    </row>
    <row r="27" spans="1:18" ht="12.75" customHeight="1" x14ac:dyDescent="0.25">
      <c r="A27" s="1621" t="s">
        <v>2022</v>
      </c>
      <c r="B27" s="235"/>
      <c r="C27" s="1615" t="s">
        <v>1901</v>
      </c>
      <c r="D27" s="1615"/>
      <c r="E27" s="1615"/>
      <c r="F27" s="1619"/>
      <c r="G27" s="1620"/>
      <c r="H27" s="1620"/>
      <c r="I27" s="1615"/>
      <c r="J27" s="1619"/>
      <c r="K27" s="1107"/>
      <c r="L27" s="1107"/>
      <c r="M27" s="1107"/>
      <c r="N27" s="1107"/>
      <c r="O27" s="1107"/>
      <c r="P27" s="1107"/>
      <c r="Q27" s="1107"/>
      <c r="R27" s="1107"/>
    </row>
    <row r="28" spans="1:18" ht="12.75" customHeight="1" x14ac:dyDescent="0.25">
      <c r="A28" s="1621"/>
      <c r="B28" s="235"/>
      <c r="C28" s="1615" t="s">
        <v>1901</v>
      </c>
      <c r="D28" s="1615"/>
      <c r="E28" s="1615"/>
      <c r="F28" s="1619"/>
      <c r="G28" s="1620"/>
      <c r="H28" s="1620"/>
      <c r="I28" s="1615"/>
      <c r="J28" s="1619"/>
      <c r="K28" s="1107"/>
      <c r="L28" s="1107"/>
      <c r="M28" s="1107"/>
      <c r="N28" s="1107"/>
      <c r="O28" s="1107"/>
      <c r="P28" s="1107"/>
      <c r="Q28" s="1107"/>
      <c r="R28" s="1107"/>
    </row>
    <row r="29" spans="1:18" ht="12.75" customHeight="1" x14ac:dyDescent="0.25">
      <c r="A29" s="1621"/>
      <c r="B29" s="235"/>
      <c r="C29" s="1615" t="s">
        <v>1901</v>
      </c>
      <c r="D29" s="1615"/>
      <c r="E29" s="1615"/>
      <c r="F29" s="1619"/>
      <c r="G29" s="1620"/>
      <c r="H29" s="1620"/>
      <c r="I29" s="1615"/>
      <c r="J29" s="1619"/>
      <c r="K29" s="1107"/>
      <c r="L29" s="1107"/>
      <c r="M29" s="1107"/>
      <c r="N29" s="1107"/>
      <c r="O29" s="1107"/>
      <c r="P29" s="1107"/>
      <c r="Q29" s="1107"/>
      <c r="R29" s="1107"/>
    </row>
    <row r="30" spans="1:18" ht="12.75" customHeight="1" x14ac:dyDescent="0.25">
      <c r="A30" s="1621"/>
      <c r="B30" s="235"/>
      <c r="C30" s="1615" t="s">
        <v>1901</v>
      </c>
      <c r="D30" s="1615"/>
      <c r="E30" s="1615"/>
      <c r="F30" s="1619"/>
      <c r="G30" s="1620"/>
      <c r="H30" s="1620"/>
      <c r="I30" s="1615"/>
      <c r="J30" s="1619"/>
      <c r="K30" s="1107"/>
      <c r="L30" s="1107"/>
      <c r="M30" s="1107"/>
      <c r="N30" s="1107"/>
      <c r="O30" s="1107"/>
      <c r="P30" s="1107"/>
      <c r="Q30" s="1107"/>
      <c r="R30" s="1107"/>
    </row>
    <row r="31" spans="1:18" ht="12.75" customHeight="1" x14ac:dyDescent="0.25">
      <c r="A31" s="1621"/>
      <c r="B31" s="235"/>
      <c r="C31" s="1615" t="s">
        <v>1901</v>
      </c>
      <c r="D31" s="1615"/>
      <c r="E31" s="1615"/>
      <c r="F31" s="1619"/>
      <c r="G31" s="1620"/>
      <c r="H31" s="1620"/>
      <c r="I31" s="1615"/>
      <c r="J31" s="1619"/>
      <c r="K31" s="1107"/>
      <c r="L31" s="1107"/>
      <c r="M31" s="1107"/>
      <c r="N31" s="1107"/>
      <c r="O31" s="1107"/>
      <c r="P31" s="1107"/>
      <c r="Q31" s="1107"/>
      <c r="R31" s="1107"/>
    </row>
    <row r="32" spans="1:18" ht="12.75" customHeight="1" x14ac:dyDescent="0.25">
      <c r="A32" s="1621"/>
      <c r="B32" s="235"/>
      <c r="C32" s="1615" t="s">
        <v>1901</v>
      </c>
      <c r="D32" s="1615"/>
      <c r="E32" s="1615"/>
      <c r="F32" s="1619"/>
      <c r="G32" s="1620"/>
      <c r="H32" s="1620"/>
      <c r="I32" s="1615"/>
      <c r="J32" s="1619"/>
      <c r="K32" s="1107"/>
      <c r="L32" s="1107"/>
      <c r="M32" s="1107"/>
      <c r="N32" s="1107"/>
      <c r="O32" s="1107"/>
      <c r="P32" s="1107"/>
      <c r="Q32" s="1107"/>
      <c r="R32" s="1107"/>
    </row>
    <row r="33" spans="1:19" ht="12.75" customHeight="1" x14ac:dyDescent="0.25">
      <c r="A33" s="1621"/>
      <c r="B33" s="235"/>
      <c r="C33" s="1615" t="s">
        <v>1901</v>
      </c>
      <c r="D33" s="1615"/>
      <c r="E33" s="1615"/>
      <c r="F33" s="1619"/>
      <c r="G33" s="1620"/>
      <c r="H33" s="1620"/>
      <c r="I33" s="1615"/>
      <c r="J33" s="1619"/>
      <c r="K33" s="1102"/>
      <c r="L33" s="1102"/>
      <c r="M33" s="1102"/>
      <c r="N33" s="1102"/>
      <c r="O33" s="1102"/>
      <c r="P33" s="1102"/>
      <c r="Q33" s="1102"/>
      <c r="R33" s="1102"/>
    </row>
    <row r="34" spans="1:19" ht="12.75" customHeight="1" x14ac:dyDescent="0.25">
      <c r="A34" s="1621"/>
      <c r="B34" s="235"/>
      <c r="C34" s="1615" t="s">
        <v>1901</v>
      </c>
      <c r="D34" s="1615"/>
      <c r="E34" s="1615"/>
      <c r="F34" s="1619"/>
      <c r="G34" s="1620"/>
      <c r="H34" s="1620"/>
      <c r="I34" s="1615"/>
      <c r="J34" s="1619"/>
      <c r="K34" s="1108"/>
      <c r="L34" s="1108"/>
      <c r="M34" s="1108"/>
      <c r="N34" s="1108"/>
      <c r="O34" s="1108"/>
      <c r="P34" s="1108"/>
      <c r="Q34" s="1108"/>
      <c r="R34" s="1108"/>
    </row>
    <row r="35" spans="1:19" ht="12.75" customHeight="1" x14ac:dyDescent="0.25">
      <c r="A35" s="1621"/>
      <c r="B35" s="235"/>
      <c r="C35" s="1615" t="s">
        <v>1901</v>
      </c>
      <c r="D35" s="1615"/>
      <c r="E35" s="1615"/>
      <c r="F35" s="1619"/>
      <c r="G35" s="1620"/>
      <c r="H35" s="1620"/>
      <c r="I35" s="1615"/>
      <c r="J35" s="1619"/>
      <c r="K35" s="1108"/>
      <c r="L35" s="1108"/>
      <c r="M35" s="1108"/>
      <c r="N35" s="1108"/>
      <c r="O35" s="1108"/>
      <c r="P35" s="1108"/>
      <c r="Q35" s="1108"/>
      <c r="R35" s="1108"/>
    </row>
    <row r="36" spans="1:19" ht="4.9000000000000004" customHeight="1" x14ac:dyDescent="0.25">
      <c r="A36" s="1283"/>
      <c r="B36" s="235"/>
      <c r="C36" s="235"/>
      <c r="D36" s="1247"/>
      <c r="E36" s="1247"/>
      <c r="F36" s="1248"/>
      <c r="G36" s="1249"/>
      <c r="H36" s="1249"/>
      <c r="I36" s="1247"/>
      <c r="J36" s="1248"/>
      <c r="K36" s="1110"/>
      <c r="L36" s="1110"/>
      <c r="M36" s="1110"/>
      <c r="N36" s="1110"/>
      <c r="O36" s="1110"/>
      <c r="P36" s="1110"/>
      <c r="Q36" s="1110"/>
      <c r="R36" s="1110"/>
    </row>
    <row r="37" spans="1:19" ht="12.75" customHeight="1" x14ac:dyDescent="0.25">
      <c r="A37" s="270" t="s">
        <v>1905</v>
      </c>
      <c r="B37" s="235"/>
      <c r="C37" s="235"/>
      <c r="D37" s="1247"/>
      <c r="E37" s="1247"/>
      <c r="F37" s="1248"/>
      <c r="G37" s="1249"/>
      <c r="H37" s="1249"/>
      <c r="I37" s="1247"/>
      <c r="J37" s="1248"/>
      <c r="K37" s="1103"/>
      <c r="L37" s="1103"/>
      <c r="M37" s="1103"/>
      <c r="N37" s="1103"/>
      <c r="O37" s="1103"/>
      <c r="P37" s="1103"/>
      <c r="Q37" s="1103"/>
      <c r="R37" s="1103"/>
    </row>
    <row r="38" spans="1:19" ht="12.75" customHeight="1" x14ac:dyDescent="0.25">
      <c r="A38" s="1621" t="s">
        <v>2022</v>
      </c>
      <c r="B38" s="235"/>
      <c r="C38" s="1615" t="s">
        <v>1909</v>
      </c>
      <c r="D38" s="1615"/>
      <c r="E38" s="1615"/>
      <c r="F38" s="1619"/>
      <c r="G38" s="1620"/>
      <c r="H38" s="1620"/>
      <c r="I38" s="1615"/>
      <c r="J38" s="1619"/>
      <c r="K38" s="1111"/>
      <c r="L38" s="1111"/>
      <c r="M38" s="1111"/>
      <c r="N38" s="1111"/>
      <c r="O38" s="1111"/>
      <c r="P38" s="1111"/>
      <c r="Q38" s="1111"/>
      <c r="R38" s="1111"/>
    </row>
    <row r="39" spans="1:19" ht="12.75" customHeight="1" x14ac:dyDescent="0.25">
      <c r="A39" s="1621"/>
      <c r="B39" s="235"/>
      <c r="C39" s="1615" t="s">
        <v>1909</v>
      </c>
      <c r="D39" s="1615"/>
      <c r="E39" s="1615"/>
      <c r="F39" s="1619"/>
      <c r="G39" s="1620"/>
      <c r="H39" s="1620"/>
      <c r="I39" s="1615"/>
      <c r="J39" s="1619"/>
      <c r="K39" s="770"/>
      <c r="L39" s="770"/>
      <c r="M39" s="770"/>
      <c r="N39" s="770"/>
      <c r="O39" s="770"/>
      <c r="P39" s="770"/>
      <c r="Q39" s="770"/>
      <c r="R39" s="770"/>
      <c r="S39" s="75">
        <f>SUM(C39:R39)</f>
        <v>0</v>
      </c>
    </row>
    <row r="40" spans="1:19" ht="12.75" customHeight="1" x14ac:dyDescent="0.25">
      <c r="A40" s="1621"/>
      <c r="B40" s="235"/>
      <c r="C40" s="1615" t="s">
        <v>1909</v>
      </c>
      <c r="D40" s="1615"/>
      <c r="E40" s="1615"/>
      <c r="F40" s="1619"/>
      <c r="G40" s="1620"/>
      <c r="H40" s="1620"/>
      <c r="I40" s="1615"/>
      <c r="J40" s="1619"/>
      <c r="K40" s="770"/>
      <c r="L40" s="770"/>
      <c r="M40" s="770"/>
      <c r="N40" s="770"/>
      <c r="O40" s="770"/>
      <c r="P40" s="770"/>
      <c r="Q40" s="770"/>
      <c r="R40" s="770"/>
      <c r="S40" s="75">
        <f>SUM(C40:R40)</f>
        <v>0</v>
      </c>
    </row>
    <row r="41" spans="1:19" ht="12.75" customHeight="1" x14ac:dyDescent="0.25">
      <c r="A41" s="1621"/>
      <c r="B41" s="235"/>
      <c r="C41" s="1615" t="s">
        <v>1909</v>
      </c>
      <c r="D41" s="1615"/>
      <c r="E41" s="1615"/>
      <c r="F41" s="1619"/>
      <c r="G41" s="1620"/>
      <c r="H41" s="1620"/>
      <c r="I41" s="1615"/>
      <c r="J41" s="1619"/>
      <c r="K41" s="1112"/>
      <c r="L41" s="1112"/>
      <c r="M41" s="1112"/>
      <c r="N41" s="1112"/>
      <c r="O41" s="1112"/>
      <c r="P41" s="1112"/>
      <c r="Q41" s="1112"/>
      <c r="R41" s="1112"/>
    </row>
    <row r="42" spans="1:19" ht="12.75" customHeight="1" x14ac:dyDescent="0.25">
      <c r="A42" s="1621"/>
      <c r="B42" s="235"/>
      <c r="C42" s="1615" t="s">
        <v>1909</v>
      </c>
      <c r="D42" s="1615"/>
      <c r="E42" s="1615"/>
      <c r="F42" s="1619"/>
      <c r="G42" s="1620"/>
      <c r="H42" s="1620"/>
      <c r="I42" s="1615"/>
      <c r="J42" s="1619"/>
      <c r="K42" s="1113"/>
      <c r="L42" s="1113"/>
      <c r="M42" s="1113"/>
      <c r="N42" s="1113"/>
      <c r="O42" s="1113"/>
      <c r="P42" s="1113"/>
      <c r="Q42" s="1113"/>
      <c r="R42" s="1113"/>
    </row>
    <row r="43" spans="1:19" ht="12.75" customHeight="1" x14ac:dyDescent="0.25">
      <c r="A43" s="1621"/>
      <c r="B43" s="235"/>
      <c r="C43" s="1615" t="s">
        <v>1909</v>
      </c>
      <c r="D43" s="1615"/>
      <c r="E43" s="1615"/>
      <c r="F43" s="1619"/>
      <c r="G43" s="1620"/>
      <c r="H43" s="1620"/>
      <c r="I43" s="1615"/>
      <c r="J43" s="1619"/>
      <c r="K43" s="1113"/>
      <c r="L43" s="1113"/>
      <c r="M43" s="1113"/>
      <c r="N43" s="1113"/>
      <c r="O43" s="1113"/>
      <c r="P43" s="1113"/>
      <c r="Q43" s="1113"/>
      <c r="R43" s="1113"/>
    </row>
    <row r="44" spans="1:19" ht="12.75" customHeight="1" x14ac:dyDescent="0.25">
      <c r="A44" s="1621"/>
      <c r="B44" s="235"/>
      <c r="C44" s="1615" t="s">
        <v>1909</v>
      </c>
      <c r="D44" s="1615"/>
      <c r="E44" s="1615"/>
      <c r="F44" s="1619"/>
      <c r="G44" s="1620"/>
      <c r="H44" s="1620"/>
      <c r="I44" s="1615"/>
      <c r="J44" s="1619"/>
      <c r="K44" s="1113"/>
      <c r="L44" s="1113"/>
      <c r="M44" s="1113"/>
      <c r="N44" s="1113"/>
      <c r="O44" s="1113"/>
      <c r="P44" s="1113"/>
      <c r="Q44" s="1113"/>
      <c r="R44" s="1113"/>
    </row>
    <row r="45" spans="1:19" ht="12.75" customHeight="1" x14ac:dyDescent="0.25">
      <c r="A45" s="1621"/>
      <c r="B45" s="235"/>
      <c r="C45" s="1615" t="s">
        <v>1909</v>
      </c>
      <c r="D45" s="1615"/>
      <c r="E45" s="1615"/>
      <c r="F45" s="1619"/>
      <c r="G45" s="1620"/>
      <c r="H45" s="1620"/>
      <c r="I45" s="1615"/>
      <c r="J45" s="1619"/>
      <c r="K45" s="1113"/>
      <c r="L45" s="1113"/>
      <c r="M45" s="1113"/>
      <c r="N45" s="1113"/>
      <c r="O45" s="1113"/>
      <c r="P45" s="1113"/>
      <c r="Q45" s="1113"/>
      <c r="R45" s="1113"/>
    </row>
    <row r="46" spans="1:19" ht="12.75" customHeight="1" x14ac:dyDescent="0.25">
      <c r="A46" s="1621"/>
      <c r="B46" s="235"/>
      <c r="C46" s="1615" t="s">
        <v>1909</v>
      </c>
      <c r="D46" s="1615"/>
      <c r="E46" s="1615"/>
      <c r="F46" s="1619"/>
      <c r="G46" s="1620"/>
      <c r="H46" s="1620"/>
      <c r="I46" s="1615"/>
      <c r="J46" s="1619"/>
      <c r="K46" s="1113"/>
      <c r="L46" s="1113"/>
      <c r="M46" s="1113"/>
      <c r="N46" s="1113"/>
      <c r="O46" s="1113"/>
      <c r="P46" s="1113"/>
      <c r="Q46" s="1113"/>
      <c r="R46" s="1113"/>
    </row>
    <row r="47" spans="1:19" ht="12.75" customHeight="1" x14ac:dyDescent="0.25">
      <c r="A47" s="1621"/>
      <c r="B47" s="235"/>
      <c r="C47" s="1615" t="s">
        <v>1909</v>
      </c>
      <c r="D47" s="1615"/>
      <c r="E47" s="1615"/>
      <c r="F47" s="1619"/>
      <c r="G47" s="1620"/>
      <c r="H47" s="1620"/>
      <c r="I47" s="1615"/>
      <c r="J47" s="1619"/>
      <c r="K47" s="1113"/>
      <c r="L47" s="1113"/>
      <c r="M47" s="1113"/>
      <c r="N47" s="1113"/>
      <c r="O47" s="1113"/>
      <c r="P47" s="1113"/>
      <c r="Q47" s="1113"/>
      <c r="R47" s="1113"/>
    </row>
    <row r="48" spans="1:19" ht="12.75" customHeight="1" x14ac:dyDescent="0.25">
      <c r="A48" s="1621"/>
      <c r="B48" s="235"/>
      <c r="C48" s="1615" t="s">
        <v>1909</v>
      </c>
      <c r="D48" s="1615"/>
      <c r="E48" s="1615"/>
      <c r="F48" s="1619"/>
      <c r="G48" s="1620"/>
      <c r="H48" s="1620"/>
      <c r="I48" s="1615"/>
      <c r="J48" s="1619"/>
      <c r="K48" s="113"/>
      <c r="L48" s="113"/>
      <c r="M48" s="113"/>
      <c r="N48" s="113"/>
      <c r="O48" s="113"/>
      <c r="P48" s="113"/>
      <c r="Q48" s="113"/>
      <c r="R48" s="113"/>
    </row>
    <row r="49" spans="1:18" ht="12.75" customHeight="1" x14ac:dyDescent="0.25">
      <c r="A49" s="1621"/>
      <c r="B49" s="235"/>
      <c r="C49" s="1615" t="s">
        <v>1909</v>
      </c>
      <c r="D49" s="1615"/>
      <c r="E49" s="1615"/>
      <c r="F49" s="1619"/>
      <c r="G49" s="1620"/>
      <c r="H49" s="1620"/>
      <c r="I49" s="1615"/>
      <c r="J49" s="1619"/>
      <c r="K49" s="148"/>
      <c r="L49" s="148"/>
      <c r="M49" s="148"/>
      <c r="N49" s="148"/>
      <c r="O49" s="148"/>
      <c r="P49" s="148"/>
      <c r="Q49" s="148"/>
      <c r="R49" s="148"/>
    </row>
    <row r="50" spans="1:18" s="464" customFormat="1" ht="12.75" customHeight="1" x14ac:dyDescent="0.25">
      <c r="A50" s="1621"/>
      <c r="B50" s="235"/>
      <c r="C50" s="1615" t="s">
        <v>1909</v>
      </c>
      <c r="D50" s="1615"/>
      <c r="E50" s="1615"/>
      <c r="F50" s="1619"/>
      <c r="G50" s="1620"/>
      <c r="H50" s="1620"/>
      <c r="I50" s="1615"/>
      <c r="J50" s="1619"/>
      <c r="K50" s="647"/>
      <c r="L50" s="647"/>
      <c r="M50" s="647"/>
      <c r="N50" s="647"/>
      <c r="O50" s="647"/>
      <c r="P50" s="647"/>
      <c r="Q50" s="647"/>
      <c r="R50" s="647"/>
    </row>
    <row r="51" spans="1:18" s="464" customFormat="1" ht="6" customHeight="1" x14ac:dyDescent="0.25">
      <c r="A51" s="1276"/>
      <c r="B51" s="456"/>
      <c r="C51" s="1277"/>
      <c r="D51" s="1277"/>
      <c r="E51" s="1277"/>
      <c r="F51" s="1278"/>
      <c r="G51" s="1279"/>
      <c r="H51" s="1279"/>
      <c r="I51" s="1277"/>
      <c r="J51" s="1278"/>
      <c r="K51" s="647"/>
      <c r="L51" s="647"/>
      <c r="M51" s="647"/>
      <c r="N51" s="647"/>
      <c r="O51" s="647"/>
      <c r="P51" s="647"/>
      <c r="Q51" s="647"/>
      <c r="R51" s="647"/>
    </row>
    <row r="52" spans="1:18" s="464" customFormat="1" ht="12.75" customHeight="1" x14ac:dyDescent="0.25">
      <c r="A52" s="1271"/>
      <c r="B52" s="272"/>
      <c r="C52" s="1272"/>
      <c r="D52" s="1272"/>
      <c r="E52" s="1272"/>
      <c r="F52" s="1272"/>
      <c r="G52" s="1272"/>
      <c r="H52" s="1272"/>
      <c r="I52" s="1272"/>
      <c r="J52" s="1272"/>
      <c r="K52" s="647"/>
      <c r="L52" s="647"/>
      <c r="M52" s="647"/>
      <c r="N52" s="647"/>
      <c r="O52" s="647"/>
      <c r="P52" s="647"/>
      <c r="Q52" s="647"/>
      <c r="R52" s="647"/>
    </row>
    <row r="53" spans="1:18" s="464" customFormat="1" ht="12.75" customHeight="1" x14ac:dyDescent="0.25">
      <c r="A53" s="1271"/>
      <c r="B53" s="272"/>
      <c r="C53" s="1272"/>
      <c r="D53" s="1272"/>
      <c r="E53" s="1272"/>
      <c r="F53" s="1272"/>
      <c r="G53" s="1272"/>
      <c r="H53" s="1272"/>
      <c r="I53" s="1272"/>
      <c r="J53" s="1272"/>
      <c r="K53" s="647"/>
      <c r="L53" s="647"/>
      <c r="M53" s="647"/>
      <c r="N53" s="647"/>
      <c r="O53" s="647"/>
      <c r="P53" s="647"/>
      <c r="Q53" s="647"/>
      <c r="R53" s="647"/>
    </row>
    <row r="54" spans="1:18" s="464" customFormat="1" ht="12.75" customHeight="1" x14ac:dyDescent="0.25">
      <c r="A54" s="1271"/>
      <c r="B54" s="272"/>
      <c r="C54" s="1272"/>
      <c r="D54" s="1272"/>
      <c r="E54" s="1272"/>
      <c r="F54" s="1272"/>
      <c r="G54" s="1272"/>
      <c r="H54" s="1272"/>
      <c r="I54" s="1272"/>
      <c r="J54" s="1272"/>
      <c r="K54" s="647"/>
      <c r="L54" s="647"/>
      <c r="M54" s="647"/>
      <c r="N54" s="647"/>
      <c r="O54" s="647"/>
      <c r="P54" s="647"/>
      <c r="Q54" s="647"/>
      <c r="R54" s="647"/>
    </row>
    <row r="55" spans="1:18" s="464" customFormat="1" ht="12.75" customHeight="1" x14ac:dyDescent="0.25">
      <c r="A55" s="1271"/>
      <c r="B55" s="272"/>
      <c r="C55" s="1272"/>
      <c r="D55" s="1272"/>
      <c r="E55" s="1272"/>
      <c r="F55" s="1272"/>
      <c r="G55" s="1272"/>
      <c r="H55" s="1272"/>
      <c r="I55" s="1272"/>
      <c r="J55" s="1272"/>
      <c r="K55" s="647"/>
      <c r="L55" s="647"/>
      <c r="M55" s="647"/>
      <c r="N55" s="647"/>
      <c r="O55" s="647"/>
      <c r="P55" s="647"/>
      <c r="Q55" s="647"/>
      <c r="R55" s="647"/>
    </row>
    <row r="56" spans="1:18" s="464" customFormat="1" ht="12.75" customHeight="1" x14ac:dyDescent="0.25">
      <c r="A56" s="1271"/>
      <c r="B56" s="272"/>
      <c r="C56" s="1272"/>
      <c r="D56" s="1272"/>
      <c r="E56" s="1272"/>
      <c r="F56" s="1272"/>
      <c r="G56" s="1272"/>
      <c r="H56" s="1272"/>
      <c r="I56" s="1272"/>
      <c r="J56" s="1272"/>
      <c r="K56" s="647"/>
      <c r="L56" s="647"/>
      <c r="M56" s="647"/>
      <c r="N56" s="647"/>
      <c r="O56" s="647"/>
      <c r="P56" s="647"/>
      <c r="Q56" s="647"/>
      <c r="R56" s="647"/>
    </row>
    <row r="57" spans="1:18" ht="12.75" customHeight="1" x14ac:dyDescent="0.25">
      <c r="A57" s="1273"/>
      <c r="B57" s="272"/>
      <c r="C57" s="1272"/>
      <c r="D57" s="1272"/>
      <c r="E57" s="1272"/>
      <c r="F57" s="1272"/>
      <c r="G57" s="1272"/>
      <c r="H57" s="1272"/>
      <c r="I57" s="1272"/>
      <c r="J57" s="1272"/>
      <c r="K57" s="591"/>
      <c r="L57" s="591"/>
      <c r="M57" s="591"/>
      <c r="N57" s="591"/>
      <c r="O57" s="591"/>
      <c r="P57" s="591"/>
      <c r="Q57" s="591"/>
      <c r="R57" s="591"/>
    </row>
    <row r="58" spans="1:18" ht="12.75" customHeight="1" x14ac:dyDescent="0.25">
      <c r="A58" s="1274"/>
      <c r="B58" s="272"/>
      <c r="C58" s="272"/>
      <c r="D58" s="1272"/>
      <c r="E58" s="1272"/>
      <c r="F58" s="1272"/>
      <c r="G58" s="1272"/>
      <c r="H58" s="1272"/>
      <c r="I58" s="1272"/>
      <c r="J58" s="1272"/>
      <c r="K58" s="1100"/>
      <c r="L58" s="1100"/>
      <c r="M58" s="1100"/>
      <c r="N58" s="1100"/>
      <c r="O58" s="1100"/>
      <c r="P58" s="1100"/>
      <c r="Q58" s="1100"/>
      <c r="R58" s="1100"/>
    </row>
    <row r="59" spans="1:18" ht="15" customHeight="1" x14ac:dyDescent="0.25">
      <c r="A59" s="1275"/>
      <c r="B59" s="272"/>
      <c r="C59" s="272"/>
      <c r="D59" s="1272"/>
      <c r="E59" s="1272"/>
      <c r="F59" s="1272"/>
      <c r="G59" s="1272"/>
      <c r="H59" s="1272"/>
      <c r="I59" s="1272"/>
      <c r="J59" s="1272"/>
      <c r="K59" s="104"/>
      <c r="L59" s="104"/>
      <c r="M59" s="104"/>
      <c r="N59" s="104"/>
      <c r="O59" s="104"/>
      <c r="P59" s="104"/>
      <c r="Q59" s="104"/>
      <c r="R59" s="104"/>
    </row>
    <row r="60" spans="1:18" ht="12.75" customHeight="1" x14ac:dyDescent="0.25">
      <c r="A60" s="1274"/>
      <c r="B60" s="272"/>
      <c r="C60" s="272"/>
      <c r="D60" s="1272"/>
      <c r="E60" s="1272"/>
      <c r="F60" s="1272"/>
      <c r="G60" s="1272"/>
      <c r="H60" s="1272"/>
      <c r="I60" s="1272"/>
      <c r="J60" s="1272"/>
      <c r="K60" s="104"/>
      <c r="L60" s="104"/>
      <c r="M60" s="104"/>
      <c r="N60" s="104"/>
      <c r="O60" s="104"/>
      <c r="P60" s="104"/>
      <c r="Q60" s="104"/>
      <c r="R60" s="104"/>
    </row>
    <row r="61" spans="1:18" ht="12.75" customHeight="1" x14ac:dyDescent="0.25">
      <c r="A61" s="1271"/>
      <c r="B61" s="272"/>
      <c r="C61" s="1272"/>
      <c r="D61" s="1272"/>
      <c r="E61" s="1272"/>
      <c r="F61" s="1272"/>
      <c r="G61" s="1272"/>
      <c r="H61" s="1272"/>
      <c r="I61" s="1272"/>
      <c r="J61" s="1272"/>
      <c r="K61" s="1010"/>
      <c r="L61" s="1010"/>
      <c r="M61" s="1010"/>
      <c r="N61" s="1010"/>
      <c r="O61" s="1010"/>
      <c r="P61" s="1010"/>
      <c r="Q61" s="1010"/>
      <c r="R61" s="1010"/>
    </row>
    <row r="62" spans="1:18" ht="12.75" customHeight="1" x14ac:dyDescent="0.25">
      <c r="A62" s="1271"/>
      <c r="B62" s="272"/>
      <c r="C62" s="1272"/>
      <c r="D62" s="1272"/>
      <c r="E62" s="1272"/>
      <c r="F62" s="1272"/>
      <c r="G62" s="1272"/>
      <c r="H62" s="1272"/>
      <c r="I62" s="1272"/>
      <c r="J62" s="1272"/>
      <c r="K62" s="1010"/>
      <c r="L62" s="1010"/>
      <c r="M62" s="1010"/>
      <c r="N62" s="1010"/>
      <c r="O62" s="1010"/>
      <c r="P62" s="1010"/>
      <c r="Q62" s="1010"/>
      <c r="R62" s="1010"/>
    </row>
    <row r="63" spans="1:18" ht="12.75" customHeight="1" x14ac:dyDescent="0.25">
      <c r="A63" s="1271"/>
      <c r="B63" s="272"/>
      <c r="C63" s="1272"/>
      <c r="D63" s="1272"/>
      <c r="E63" s="1272"/>
      <c r="F63" s="1272"/>
      <c r="G63" s="1272"/>
      <c r="H63" s="1272"/>
      <c r="I63" s="1272"/>
      <c r="J63" s="1272"/>
      <c r="K63" s="1010"/>
      <c r="L63" s="1010"/>
      <c r="M63" s="1010"/>
      <c r="N63" s="1010"/>
      <c r="O63" s="1010"/>
      <c r="P63" s="1010"/>
      <c r="Q63" s="1010"/>
      <c r="R63" s="1010"/>
    </row>
    <row r="64" spans="1:18" ht="12.75" customHeight="1" x14ac:dyDescent="0.25">
      <c r="A64" s="1271"/>
      <c r="B64" s="272"/>
      <c r="C64" s="1272"/>
      <c r="D64" s="1272"/>
      <c r="E64" s="1272"/>
      <c r="F64" s="1272"/>
      <c r="G64" s="1272"/>
      <c r="H64" s="1272"/>
      <c r="I64" s="1272"/>
      <c r="J64" s="1272"/>
      <c r="K64" s="1010"/>
      <c r="L64" s="1010"/>
      <c r="M64" s="1010"/>
      <c r="N64" s="1010"/>
      <c r="O64" s="1010"/>
      <c r="P64" s="1010"/>
      <c r="Q64" s="1010"/>
      <c r="R64" s="1010"/>
    </row>
    <row r="65" spans="1:18" ht="12.75" customHeight="1" x14ac:dyDescent="0.25">
      <c r="A65" s="1271"/>
      <c r="B65" s="272"/>
      <c r="C65" s="1272"/>
      <c r="D65" s="1272"/>
      <c r="E65" s="1272"/>
      <c r="F65" s="1272"/>
      <c r="G65" s="1272"/>
      <c r="H65" s="1272"/>
      <c r="I65" s="1272"/>
      <c r="J65" s="1272"/>
      <c r="K65" s="1010"/>
      <c r="L65" s="1010"/>
      <c r="M65" s="1010"/>
      <c r="N65" s="1010"/>
      <c r="O65" s="1010"/>
      <c r="P65" s="1010"/>
      <c r="Q65" s="1010"/>
      <c r="R65" s="1010"/>
    </row>
    <row r="66" spans="1:18" ht="12.75" customHeight="1" x14ac:dyDescent="0.25">
      <c r="A66" s="1271"/>
      <c r="B66" s="272"/>
      <c r="C66" s="1272"/>
      <c r="D66" s="1272"/>
      <c r="E66" s="1272"/>
      <c r="F66" s="1272"/>
      <c r="G66" s="1272"/>
      <c r="H66" s="1272"/>
      <c r="I66" s="1272"/>
      <c r="J66" s="1272"/>
      <c r="K66" s="1010"/>
      <c r="L66" s="1010"/>
      <c r="M66" s="1010"/>
      <c r="N66" s="1010"/>
      <c r="O66" s="1010"/>
      <c r="P66" s="1010"/>
      <c r="Q66" s="1010"/>
      <c r="R66" s="1010"/>
    </row>
    <row r="67" spans="1:18" ht="12.75" customHeight="1" x14ac:dyDescent="0.25">
      <c r="A67" s="1271"/>
      <c r="B67" s="272"/>
      <c r="C67" s="1272"/>
      <c r="D67" s="1272"/>
      <c r="E67" s="1272"/>
      <c r="F67" s="1272"/>
      <c r="G67" s="1272"/>
      <c r="H67" s="1272"/>
      <c r="I67" s="1272"/>
      <c r="J67" s="1272"/>
      <c r="K67" s="1010"/>
      <c r="L67" s="1010"/>
      <c r="M67" s="1010"/>
      <c r="N67" s="1010"/>
      <c r="O67" s="1010"/>
      <c r="P67" s="1010"/>
      <c r="Q67" s="1010"/>
      <c r="R67" s="1010"/>
    </row>
    <row r="68" spans="1:18" ht="12.75" customHeight="1" x14ac:dyDescent="0.25">
      <c r="A68" s="1271"/>
      <c r="B68" s="272"/>
      <c r="C68" s="1272"/>
      <c r="D68" s="1272"/>
      <c r="E68" s="1272"/>
      <c r="F68" s="1272"/>
      <c r="G68" s="1272"/>
      <c r="H68" s="1272"/>
      <c r="I68" s="1272"/>
      <c r="J68" s="1272"/>
      <c r="K68" s="1010"/>
      <c r="L68" s="1010"/>
      <c r="M68" s="1010"/>
      <c r="N68" s="1010"/>
      <c r="O68" s="1010"/>
      <c r="P68" s="1010"/>
      <c r="Q68" s="1010"/>
      <c r="R68" s="1010"/>
    </row>
    <row r="69" spans="1:18" ht="12.75" customHeight="1" x14ac:dyDescent="0.25">
      <c r="A69" s="1271"/>
      <c r="B69" s="272"/>
      <c r="C69" s="1272"/>
      <c r="D69" s="1272"/>
      <c r="E69" s="1272"/>
      <c r="F69" s="1272"/>
      <c r="G69" s="1272"/>
      <c r="H69" s="1272"/>
      <c r="I69" s="1272"/>
      <c r="J69" s="1272"/>
      <c r="K69" s="1010"/>
      <c r="L69" s="1010"/>
      <c r="M69" s="1010"/>
      <c r="N69" s="1010"/>
      <c r="O69" s="1010"/>
      <c r="P69" s="1010"/>
      <c r="Q69" s="1010"/>
      <c r="R69" s="1010"/>
    </row>
    <row r="70" spans="1:18" ht="12.75" customHeight="1" x14ac:dyDescent="0.25">
      <c r="A70" s="1271"/>
      <c r="B70" s="272"/>
      <c r="C70" s="1272"/>
      <c r="D70" s="1272"/>
      <c r="E70" s="1272"/>
      <c r="F70" s="1272"/>
      <c r="G70" s="1272"/>
      <c r="H70" s="1272"/>
      <c r="I70" s="1272"/>
      <c r="J70" s="1272"/>
      <c r="K70" s="1010"/>
      <c r="L70" s="1010"/>
      <c r="M70" s="1010"/>
      <c r="N70" s="1010"/>
      <c r="O70" s="1010"/>
      <c r="P70" s="1010"/>
      <c r="Q70" s="1010"/>
      <c r="R70" s="1010"/>
    </row>
    <row r="71" spans="1:18" ht="12.75" customHeight="1" x14ac:dyDescent="0.25">
      <c r="A71" s="1271"/>
      <c r="B71" s="272"/>
      <c r="C71" s="1272"/>
      <c r="D71" s="1272"/>
      <c r="E71" s="1272"/>
      <c r="F71" s="1272"/>
      <c r="G71" s="1272"/>
      <c r="H71" s="1272"/>
      <c r="I71" s="1272"/>
      <c r="J71" s="1272"/>
      <c r="K71" s="1010"/>
      <c r="L71" s="1010"/>
      <c r="M71" s="1010"/>
      <c r="N71" s="1010"/>
      <c r="O71" s="1010"/>
      <c r="P71" s="1010"/>
      <c r="Q71" s="1010"/>
      <c r="R71" s="1010"/>
    </row>
    <row r="72" spans="1:18" ht="12.75" customHeight="1" x14ac:dyDescent="0.25">
      <c r="A72" s="1271"/>
      <c r="B72" s="272"/>
      <c r="C72" s="1272"/>
      <c r="D72" s="1272"/>
      <c r="E72" s="1272"/>
      <c r="F72" s="1272"/>
      <c r="G72" s="1272"/>
      <c r="H72" s="1272"/>
      <c r="I72" s="1272"/>
      <c r="J72" s="1272"/>
      <c r="K72" s="1010"/>
      <c r="L72" s="1010"/>
      <c r="M72" s="1010"/>
      <c r="N72" s="1010"/>
      <c r="O72" s="1010"/>
      <c r="P72" s="1010"/>
      <c r="Q72" s="1010"/>
      <c r="R72" s="1010"/>
    </row>
    <row r="73" spans="1:18" ht="12.75" customHeight="1" x14ac:dyDescent="0.25">
      <c r="A73" s="1271"/>
      <c r="B73" s="272"/>
      <c r="C73" s="1272"/>
      <c r="D73" s="1272"/>
      <c r="E73" s="1272"/>
      <c r="F73" s="1272"/>
      <c r="G73" s="1272"/>
      <c r="H73" s="1272"/>
      <c r="I73" s="1272"/>
      <c r="J73" s="1272"/>
      <c r="K73" s="1010"/>
      <c r="L73" s="1010"/>
      <c r="M73" s="1010"/>
      <c r="N73" s="1010"/>
      <c r="O73" s="1010"/>
      <c r="P73" s="1010"/>
      <c r="Q73" s="1010"/>
      <c r="R73" s="1010"/>
    </row>
    <row r="74" spans="1:18" ht="12.75" customHeight="1" x14ac:dyDescent="0.25">
      <c r="A74" s="1271"/>
      <c r="B74" s="272"/>
      <c r="C74" s="1272"/>
      <c r="D74" s="1272"/>
      <c r="E74" s="1272"/>
      <c r="F74" s="1272"/>
      <c r="G74" s="1272"/>
      <c r="H74" s="1272"/>
      <c r="I74" s="1272"/>
      <c r="J74" s="1272"/>
      <c r="K74" s="1010"/>
      <c r="L74" s="1010"/>
      <c r="M74" s="1010"/>
      <c r="N74" s="1010"/>
      <c r="O74" s="1010"/>
      <c r="P74" s="1010"/>
      <c r="Q74" s="1010"/>
      <c r="R74" s="1010"/>
    </row>
    <row r="75" spans="1:18" ht="12.75" customHeight="1" x14ac:dyDescent="0.25">
      <c r="A75" s="1271"/>
      <c r="B75" s="272"/>
      <c r="C75" s="1272"/>
      <c r="D75" s="1272"/>
      <c r="E75" s="1272"/>
      <c r="F75" s="1272"/>
      <c r="G75" s="1272"/>
      <c r="H75" s="1272"/>
      <c r="I75" s="1272"/>
      <c r="J75" s="1272"/>
      <c r="K75" s="1010"/>
      <c r="L75" s="1010"/>
      <c r="M75" s="1010"/>
      <c r="N75" s="1010"/>
      <c r="O75" s="1010"/>
      <c r="P75" s="1010"/>
      <c r="Q75" s="1010"/>
      <c r="R75" s="1010"/>
    </row>
    <row r="76" spans="1:18" ht="12.75" customHeight="1" x14ac:dyDescent="0.25">
      <c r="A76" s="1271"/>
      <c r="B76" s="272"/>
      <c r="C76" s="1272"/>
      <c r="D76" s="1272"/>
      <c r="E76" s="1272"/>
      <c r="F76" s="1272"/>
      <c r="G76" s="1272"/>
      <c r="H76" s="1272"/>
      <c r="I76" s="1272"/>
      <c r="J76" s="1272"/>
      <c r="K76" s="1010"/>
      <c r="L76" s="1010"/>
      <c r="M76" s="1010"/>
      <c r="N76" s="1010"/>
      <c r="O76" s="1010"/>
      <c r="P76" s="1010"/>
      <c r="Q76" s="1010"/>
      <c r="R76" s="1010"/>
    </row>
    <row r="77" spans="1:18" ht="12.75" customHeight="1" x14ac:dyDescent="0.25">
      <c r="A77" s="1271"/>
      <c r="B77" s="272"/>
      <c r="C77" s="1272"/>
      <c r="D77" s="1272"/>
      <c r="E77" s="1272"/>
      <c r="F77" s="1272"/>
      <c r="G77" s="1272"/>
      <c r="H77" s="1272"/>
      <c r="I77" s="1272"/>
      <c r="J77" s="1272"/>
      <c r="K77" s="1010"/>
      <c r="L77" s="1010"/>
      <c r="M77" s="1010"/>
      <c r="N77" s="1010"/>
      <c r="O77" s="1010"/>
      <c r="P77" s="1010"/>
      <c r="Q77" s="1010"/>
      <c r="R77" s="1010"/>
    </row>
    <row r="78" spans="1:18" ht="12.75" customHeight="1" x14ac:dyDescent="0.25">
      <c r="A78" s="1271"/>
      <c r="B78" s="272"/>
      <c r="C78" s="1272"/>
      <c r="D78" s="1272"/>
      <c r="E78" s="1272"/>
      <c r="F78" s="1272"/>
      <c r="G78" s="1272"/>
      <c r="H78" s="1272"/>
      <c r="I78" s="1272"/>
      <c r="J78" s="1272"/>
      <c r="K78" s="1010"/>
      <c r="L78" s="1010"/>
      <c r="M78" s="1010"/>
      <c r="N78" s="1010"/>
      <c r="O78" s="1010"/>
      <c r="P78" s="1010"/>
      <c r="Q78" s="1010"/>
      <c r="R78" s="1010"/>
    </row>
    <row r="79" spans="1:18" ht="12.75" customHeight="1" x14ac:dyDescent="0.25">
      <c r="A79" s="1271"/>
      <c r="B79" s="272"/>
      <c r="C79" s="1272"/>
      <c r="D79" s="1272"/>
      <c r="E79" s="1272"/>
      <c r="F79" s="1272"/>
      <c r="G79" s="1272"/>
      <c r="H79" s="1272"/>
      <c r="I79" s="1272"/>
      <c r="J79" s="1272"/>
      <c r="K79" s="1010"/>
      <c r="L79" s="1010"/>
      <c r="M79" s="1010"/>
      <c r="N79" s="1010"/>
      <c r="O79" s="1010"/>
      <c r="P79" s="1010"/>
      <c r="Q79" s="1010"/>
      <c r="R79" s="1010"/>
    </row>
    <row r="80" spans="1:18" ht="12.75" customHeight="1" x14ac:dyDescent="0.25">
      <c r="A80" s="1273"/>
      <c r="B80" s="272"/>
      <c r="C80" s="1272"/>
      <c r="D80" s="1272"/>
      <c r="E80" s="1272"/>
      <c r="F80" s="1272"/>
      <c r="G80" s="1272"/>
      <c r="H80" s="1272"/>
      <c r="I80" s="1272"/>
      <c r="J80" s="1272"/>
      <c r="K80" s="1105"/>
      <c r="L80" s="1105"/>
      <c r="M80" s="1105"/>
      <c r="N80" s="1105"/>
      <c r="O80" s="1105"/>
      <c r="P80" s="1105"/>
      <c r="Q80" s="1105"/>
      <c r="R80" s="1105"/>
    </row>
    <row r="81" spans="1:18" ht="4.9000000000000004" customHeight="1" x14ac:dyDescent="0.25">
      <c r="A81" s="1274"/>
      <c r="B81" s="272"/>
      <c r="C81" s="272"/>
      <c r="D81" s="1272"/>
      <c r="E81" s="1272"/>
      <c r="F81" s="1272"/>
      <c r="G81" s="1272"/>
      <c r="H81" s="1272"/>
      <c r="I81" s="1272"/>
      <c r="J81" s="1272"/>
      <c r="K81" s="645"/>
      <c r="L81" s="645"/>
      <c r="M81" s="645"/>
      <c r="N81" s="645"/>
      <c r="O81" s="645"/>
      <c r="P81" s="645"/>
      <c r="Q81" s="645"/>
      <c r="R81" s="645"/>
    </row>
    <row r="82" spans="1:18" ht="12.75" customHeight="1" x14ac:dyDescent="0.25">
      <c r="A82" s="1275"/>
      <c r="B82" s="272"/>
      <c r="C82" s="272"/>
      <c r="D82" s="1272"/>
      <c r="E82" s="1272"/>
      <c r="F82" s="1272"/>
      <c r="G82" s="1272"/>
      <c r="H82" s="1272"/>
      <c r="I82" s="1272"/>
      <c r="J82" s="1272"/>
      <c r="K82" s="1106"/>
      <c r="L82" s="1106"/>
      <c r="M82" s="1106"/>
      <c r="N82" s="1106"/>
      <c r="O82" s="1106"/>
      <c r="P82" s="1106"/>
      <c r="Q82" s="1106"/>
      <c r="R82" s="1106"/>
    </row>
    <row r="83" spans="1:18" ht="12.75" customHeight="1" x14ac:dyDescent="0.25">
      <c r="A83" s="1274"/>
      <c r="B83" s="272"/>
      <c r="C83" s="272"/>
      <c r="D83" s="1272"/>
      <c r="E83" s="1272"/>
      <c r="F83" s="1272"/>
      <c r="G83" s="1272"/>
      <c r="H83" s="1272"/>
      <c r="I83" s="1272"/>
      <c r="J83" s="1272"/>
      <c r="K83" s="645"/>
      <c r="L83" s="645"/>
      <c r="M83" s="645"/>
      <c r="N83" s="645"/>
      <c r="O83" s="645"/>
      <c r="P83" s="645"/>
      <c r="Q83" s="645"/>
      <c r="R83" s="645"/>
    </row>
    <row r="84" spans="1:18" ht="12.75" customHeight="1" x14ac:dyDescent="0.25">
      <c r="A84" s="1271"/>
      <c r="B84" s="272"/>
      <c r="C84" s="1272"/>
      <c r="D84" s="1272"/>
      <c r="E84" s="1272"/>
      <c r="F84" s="1272"/>
      <c r="G84" s="1272"/>
      <c r="H84" s="1272"/>
      <c r="I84" s="1272"/>
      <c r="J84" s="1272"/>
      <c r="K84" s="645"/>
      <c r="L84" s="645"/>
      <c r="M84" s="645"/>
      <c r="N84" s="645"/>
      <c r="O84" s="645"/>
      <c r="P84" s="645"/>
      <c r="Q84" s="645"/>
      <c r="R84" s="645"/>
    </row>
    <row r="85" spans="1:18" ht="12.75" customHeight="1" x14ac:dyDescent="0.25">
      <c r="A85" s="1271"/>
      <c r="B85" s="272"/>
      <c r="C85" s="1272"/>
      <c r="D85" s="1272"/>
      <c r="E85" s="1272"/>
      <c r="F85" s="1272"/>
      <c r="G85" s="1272"/>
      <c r="H85" s="1272"/>
      <c r="I85" s="1272"/>
      <c r="J85" s="1272"/>
      <c r="K85" s="645"/>
      <c r="L85" s="645"/>
      <c r="M85" s="645"/>
      <c r="N85" s="645"/>
      <c r="O85" s="645"/>
      <c r="P85" s="645"/>
      <c r="Q85" s="645"/>
      <c r="R85" s="645"/>
    </row>
    <row r="86" spans="1:18" ht="12.75" customHeight="1" x14ac:dyDescent="0.25">
      <c r="A86" s="1271"/>
      <c r="B86" s="272"/>
      <c r="C86" s="1272"/>
      <c r="D86" s="1272"/>
      <c r="E86" s="1272"/>
      <c r="F86" s="1272"/>
      <c r="G86" s="1272"/>
      <c r="H86" s="1272"/>
      <c r="I86" s="1272"/>
      <c r="J86" s="1272"/>
      <c r="K86" s="645"/>
      <c r="L86" s="645"/>
      <c r="M86" s="645"/>
      <c r="N86" s="645"/>
      <c r="O86" s="645"/>
      <c r="P86" s="645"/>
      <c r="Q86" s="645"/>
      <c r="R86" s="645"/>
    </row>
    <row r="87" spans="1:18" ht="12.75" customHeight="1" x14ac:dyDescent="0.25">
      <c r="A87" s="1271"/>
      <c r="B87" s="272"/>
      <c r="C87" s="1272"/>
      <c r="D87" s="1272"/>
      <c r="E87" s="1272"/>
      <c r="F87" s="1272"/>
      <c r="G87" s="1272"/>
      <c r="H87" s="1272"/>
      <c r="I87" s="1272"/>
      <c r="J87" s="1272"/>
      <c r="K87" s="645"/>
      <c r="L87" s="645"/>
      <c r="M87" s="645"/>
      <c r="N87" s="645"/>
      <c r="O87" s="645"/>
      <c r="P87" s="645"/>
      <c r="Q87" s="645"/>
      <c r="R87" s="645"/>
    </row>
    <row r="88" spans="1:18" ht="4.9000000000000004" customHeight="1" x14ac:dyDescent="0.25">
      <c r="A88" s="1275"/>
      <c r="B88" s="272"/>
      <c r="C88" s="272"/>
      <c r="D88" s="1141"/>
      <c r="E88" s="1141"/>
      <c r="F88" s="1141"/>
      <c r="G88" s="1141"/>
      <c r="H88" s="1141"/>
      <c r="I88" s="1141"/>
      <c r="J88" s="1141"/>
      <c r="K88" s="645"/>
      <c r="L88" s="645"/>
      <c r="M88" s="645"/>
      <c r="N88" s="645"/>
      <c r="O88" s="645"/>
      <c r="P88" s="645"/>
      <c r="Q88" s="645"/>
      <c r="R88" s="645"/>
    </row>
    <row r="89" spans="1:18" ht="11.25" customHeight="1" x14ac:dyDescent="0.25">
      <c r="A89" s="101"/>
      <c r="C89" s="102"/>
      <c r="D89" s="461"/>
      <c r="E89" s="461"/>
      <c r="F89" s="461"/>
      <c r="G89" s="462"/>
      <c r="H89" s="461"/>
      <c r="I89" s="461"/>
      <c r="K89" s="109"/>
      <c r="L89" s="109"/>
      <c r="M89" s="109"/>
      <c r="N89" s="109"/>
      <c r="O89" s="109"/>
      <c r="P89" s="109"/>
      <c r="Q89" s="109"/>
      <c r="R89" s="109"/>
    </row>
    <row r="90" spans="1:18" ht="11.25" customHeight="1" x14ac:dyDescent="0.25">
      <c r="A90" s="826"/>
      <c r="B90" s="1259"/>
      <c r="C90" s="1259"/>
      <c r="D90" s="132"/>
      <c r="E90" s="132"/>
      <c r="F90" s="132"/>
      <c r="G90" s="132"/>
      <c r="H90" s="132"/>
      <c r="I90" s="132"/>
      <c r="J90" s="132"/>
      <c r="K90" s="1107"/>
      <c r="L90" s="1107"/>
      <c r="M90" s="1107"/>
      <c r="N90" s="1107"/>
      <c r="O90" s="1107"/>
      <c r="P90" s="1107"/>
      <c r="Q90" s="1107"/>
      <c r="R90" s="1107"/>
    </row>
    <row r="91" spans="1:18" ht="11.25" customHeight="1" x14ac:dyDescent="0.25">
      <c r="A91" s="826"/>
      <c r="B91" s="1259"/>
      <c r="C91" s="1259"/>
      <c r="D91" s="132"/>
      <c r="E91" s="132"/>
      <c r="F91" s="132"/>
      <c r="G91" s="132"/>
      <c r="H91" s="132"/>
      <c r="I91" s="132"/>
      <c r="J91" s="132"/>
      <c r="K91" s="1107"/>
      <c r="L91" s="1107"/>
      <c r="M91" s="1107"/>
      <c r="N91" s="1107"/>
      <c r="O91" s="1107"/>
      <c r="P91" s="1107"/>
      <c r="Q91" s="1107"/>
      <c r="R91" s="1107"/>
    </row>
    <row r="92" spans="1:18" ht="11.25" customHeight="1" x14ac:dyDescent="0.25">
      <c r="A92" s="1101"/>
      <c r="C92" s="1102"/>
      <c r="D92" s="1102"/>
      <c r="E92" s="1102"/>
      <c r="F92" s="1102"/>
      <c r="G92" s="1102"/>
      <c r="H92" s="1102"/>
      <c r="I92" s="1102"/>
      <c r="J92" s="1102"/>
      <c r="K92" s="1107"/>
      <c r="L92" s="1107"/>
      <c r="M92" s="1107"/>
      <c r="N92" s="1107"/>
      <c r="O92" s="1107"/>
      <c r="P92" s="1107"/>
      <c r="Q92" s="1107"/>
      <c r="R92" s="1107"/>
    </row>
    <row r="93" spans="1:18" ht="11.25" customHeight="1" x14ac:dyDescent="0.25">
      <c r="A93" s="1101"/>
      <c r="C93" s="1107"/>
      <c r="D93" s="1107"/>
      <c r="E93" s="1107"/>
      <c r="F93" s="1107"/>
      <c r="G93" s="1107"/>
      <c r="H93" s="1107"/>
      <c r="I93" s="1107"/>
      <c r="J93" s="1107"/>
      <c r="K93" s="1107"/>
      <c r="L93" s="1107"/>
      <c r="M93" s="1107"/>
      <c r="N93" s="1107"/>
      <c r="O93" s="1107"/>
      <c r="P93" s="1107"/>
      <c r="Q93" s="1107"/>
      <c r="R93" s="1107"/>
    </row>
    <row r="94" spans="1:18" ht="21" customHeight="1" x14ac:dyDescent="0.25">
      <c r="A94" s="665"/>
      <c r="B94" s="645"/>
      <c r="C94" s="1107"/>
      <c r="D94" s="1107"/>
      <c r="E94" s="1107"/>
      <c r="F94" s="1107"/>
      <c r="G94" s="1107"/>
      <c r="H94" s="1107"/>
      <c r="I94" s="1107"/>
      <c r="J94" s="1107"/>
      <c r="K94" s="1107"/>
      <c r="L94" s="1107"/>
      <c r="M94" s="1107"/>
      <c r="N94" s="1107"/>
      <c r="O94" s="1107"/>
      <c r="P94" s="1107"/>
      <c r="Q94" s="1107"/>
      <c r="R94" s="1107"/>
    </row>
    <row r="95" spans="1:18" ht="22.5" customHeight="1" x14ac:dyDescent="0.25">
      <c r="A95" s="1962"/>
      <c r="B95" s="1962"/>
      <c r="C95" s="1961"/>
      <c r="D95" s="1961"/>
      <c r="E95" s="1961"/>
      <c r="F95" s="1961"/>
      <c r="G95" s="1961"/>
      <c r="H95" s="1261"/>
      <c r="I95" s="1261"/>
      <c r="J95" s="1261"/>
      <c r="K95" s="1107"/>
      <c r="L95" s="1107"/>
      <c r="M95" s="1107"/>
      <c r="N95" s="1107"/>
      <c r="O95" s="1107"/>
      <c r="P95" s="1107"/>
      <c r="Q95" s="1107"/>
      <c r="R95" s="1107"/>
    </row>
    <row r="96" spans="1:18" ht="36.75" customHeight="1" x14ac:dyDescent="0.25">
      <c r="A96" s="1962"/>
      <c r="B96" s="1962"/>
      <c r="C96" s="1961"/>
      <c r="D96" s="1961"/>
      <c r="E96" s="1961"/>
      <c r="F96" s="1961"/>
      <c r="G96" s="1961"/>
      <c r="H96" s="1260"/>
      <c r="I96" s="1260"/>
      <c r="J96" s="1260"/>
      <c r="K96" s="1102"/>
      <c r="L96" s="1102"/>
      <c r="M96" s="1102"/>
      <c r="N96" s="1102"/>
      <c r="O96" s="1102"/>
      <c r="P96" s="1102"/>
      <c r="Q96" s="1102"/>
      <c r="R96" s="1102"/>
    </row>
    <row r="97" spans="1:18" ht="21.75" customHeight="1" x14ac:dyDescent="0.25">
      <c r="A97" s="1265"/>
      <c r="B97" s="1262"/>
      <c r="C97" s="1263"/>
      <c r="D97" s="1263"/>
      <c r="E97" s="1263"/>
      <c r="F97" s="1263"/>
      <c r="G97" s="1263"/>
      <c r="H97" s="1263"/>
      <c r="I97" s="1263"/>
      <c r="J97" s="1263"/>
      <c r="K97" s="1108"/>
      <c r="L97" s="1108"/>
      <c r="M97" s="1108"/>
      <c r="N97" s="1108"/>
      <c r="O97" s="1108"/>
      <c r="P97" s="1108"/>
      <c r="Q97" s="1108"/>
      <c r="R97" s="1108"/>
    </row>
    <row r="98" spans="1:18" ht="11.65" customHeight="1" x14ac:dyDescent="0.25">
      <c r="A98" s="1266"/>
      <c r="B98" s="1262"/>
      <c r="C98" s="1263"/>
      <c r="D98" s="1263"/>
      <c r="E98" s="1263"/>
      <c r="F98" s="1263"/>
      <c r="G98" s="1263"/>
      <c r="H98" s="1263"/>
      <c r="I98" s="1263"/>
      <c r="J98" s="1263"/>
      <c r="K98" s="1108"/>
      <c r="L98" s="1108"/>
      <c r="M98" s="1108"/>
      <c r="N98" s="1108"/>
      <c r="O98" s="1108"/>
      <c r="P98" s="1108"/>
      <c r="Q98" s="1108"/>
      <c r="R98" s="1108"/>
    </row>
    <row r="99" spans="1:18" ht="11.65" customHeight="1" x14ac:dyDescent="0.25">
      <c r="A99" s="1266"/>
      <c r="B99" s="1262"/>
      <c r="C99" s="1263"/>
      <c r="D99" s="1263"/>
      <c r="E99" s="1263"/>
      <c r="F99" s="1263"/>
      <c r="G99" s="1263"/>
      <c r="H99" s="1263"/>
      <c r="I99" s="1263"/>
      <c r="J99" s="1263"/>
      <c r="K99" s="1108"/>
      <c r="L99" s="1108"/>
      <c r="M99" s="1108"/>
      <c r="N99" s="1108"/>
      <c r="O99" s="1108"/>
      <c r="P99" s="1108"/>
      <c r="Q99" s="1108"/>
      <c r="R99" s="1108"/>
    </row>
    <row r="100" spans="1:18" ht="11.65" customHeight="1" x14ac:dyDescent="0.25">
      <c r="A100" s="1266"/>
      <c r="B100" s="1262"/>
      <c r="C100" s="1263"/>
      <c r="D100" s="1263"/>
      <c r="E100" s="1263"/>
      <c r="F100" s="1263"/>
      <c r="G100" s="1263"/>
      <c r="H100" s="1263"/>
      <c r="I100" s="1263"/>
      <c r="J100" s="1263"/>
      <c r="K100" s="1108"/>
      <c r="L100" s="1108"/>
      <c r="M100" s="1108"/>
      <c r="N100" s="1108"/>
      <c r="O100" s="1108"/>
      <c r="P100" s="1108"/>
      <c r="Q100" s="1108"/>
      <c r="R100" s="1108"/>
    </row>
    <row r="101" spans="1:18" ht="21" customHeight="1" x14ac:dyDescent="0.25">
      <c r="A101" s="1265"/>
      <c r="B101" s="1262"/>
      <c r="C101" s="1263"/>
      <c r="D101" s="1263"/>
      <c r="E101" s="1263"/>
      <c r="F101" s="1263"/>
      <c r="G101" s="1263"/>
      <c r="H101" s="1263"/>
      <c r="I101" s="1263"/>
      <c r="J101" s="1263"/>
      <c r="K101" s="1108"/>
      <c r="L101" s="1108"/>
      <c r="M101" s="1108"/>
      <c r="N101" s="1108"/>
      <c r="O101" s="1108"/>
      <c r="P101" s="1108"/>
      <c r="Q101" s="1108"/>
      <c r="R101" s="1108"/>
    </row>
    <row r="102" spans="1:18" ht="11.65" customHeight="1" x14ac:dyDescent="0.25">
      <c r="A102" s="1266"/>
      <c r="B102" s="1262"/>
      <c r="C102" s="1263"/>
      <c r="D102" s="1263"/>
      <c r="E102" s="1263"/>
      <c r="F102" s="1263"/>
      <c r="G102" s="1263"/>
      <c r="H102" s="1263"/>
      <c r="I102" s="1263"/>
      <c r="J102" s="1263"/>
      <c r="K102" s="1108"/>
      <c r="L102" s="1108"/>
      <c r="M102" s="1108"/>
      <c r="N102" s="1108"/>
      <c r="O102" s="1108"/>
      <c r="P102" s="1108"/>
      <c r="Q102" s="1108"/>
      <c r="R102" s="1108"/>
    </row>
    <row r="103" spans="1:18" ht="11.65" customHeight="1" x14ac:dyDescent="0.25">
      <c r="A103" s="1266"/>
      <c r="B103" s="1262"/>
      <c r="C103" s="1263"/>
      <c r="D103" s="1263"/>
      <c r="E103" s="1263"/>
      <c r="F103" s="1263"/>
      <c r="G103" s="1263"/>
      <c r="H103" s="1263"/>
      <c r="I103" s="1263"/>
      <c r="J103" s="1263"/>
      <c r="K103" s="1108"/>
      <c r="L103" s="1108"/>
      <c r="M103" s="1108"/>
      <c r="N103" s="1108"/>
      <c r="O103" s="1108"/>
      <c r="P103" s="1108"/>
      <c r="Q103" s="1108"/>
      <c r="R103" s="1108"/>
    </row>
    <row r="104" spans="1:18" ht="11.65" customHeight="1" x14ac:dyDescent="0.25">
      <c r="A104" s="1266"/>
      <c r="B104" s="1262"/>
      <c r="C104" s="1263"/>
      <c r="D104" s="1263"/>
      <c r="E104" s="1263"/>
      <c r="F104" s="1263"/>
      <c r="G104" s="1263"/>
      <c r="H104" s="1263"/>
      <c r="I104" s="1263"/>
      <c r="J104" s="1263"/>
      <c r="K104" s="1108"/>
      <c r="L104" s="1108"/>
      <c r="M104" s="1108"/>
      <c r="N104" s="1108"/>
      <c r="O104" s="1108"/>
      <c r="P104" s="1108"/>
      <c r="Q104" s="1108"/>
      <c r="R104" s="1108"/>
    </row>
    <row r="105" spans="1:18" ht="11.65" customHeight="1" x14ac:dyDescent="0.25">
      <c r="A105" s="1266"/>
      <c r="B105" s="1262"/>
      <c r="C105" s="1263"/>
      <c r="D105" s="1263"/>
      <c r="E105" s="1263"/>
      <c r="F105" s="1263"/>
      <c r="G105" s="1263"/>
      <c r="H105" s="1263"/>
      <c r="I105" s="1263"/>
      <c r="J105" s="1263"/>
      <c r="K105" s="1108"/>
      <c r="L105" s="1108"/>
      <c r="M105" s="1108"/>
      <c r="N105" s="1108"/>
      <c r="O105" s="1108"/>
      <c r="P105" s="1108"/>
      <c r="Q105" s="1108"/>
      <c r="R105" s="1108"/>
    </row>
    <row r="106" spans="1:18" ht="21" customHeight="1" x14ac:dyDescent="0.25">
      <c r="A106" s="1265"/>
      <c r="B106" s="1262"/>
      <c r="C106" s="1263"/>
      <c r="D106" s="1263"/>
      <c r="E106" s="1263"/>
      <c r="F106" s="1263"/>
      <c r="G106" s="1263"/>
      <c r="H106" s="1263"/>
      <c r="I106" s="1263"/>
      <c r="J106" s="1263"/>
      <c r="K106" s="1108"/>
      <c r="L106" s="1108"/>
      <c r="M106" s="1108"/>
      <c r="N106" s="1108"/>
      <c r="O106" s="1108"/>
      <c r="P106" s="1108"/>
      <c r="Q106" s="1108"/>
      <c r="R106" s="1108"/>
    </row>
    <row r="107" spans="1:18" ht="11.65" customHeight="1" x14ac:dyDescent="0.25">
      <c r="A107" s="1266"/>
      <c r="B107" s="1262"/>
      <c r="C107" s="1263"/>
      <c r="D107" s="1263"/>
      <c r="E107" s="1263"/>
      <c r="F107" s="1263"/>
      <c r="G107" s="1263"/>
      <c r="H107" s="1263"/>
      <c r="I107" s="1263"/>
      <c r="J107" s="1263"/>
      <c r="K107" s="1108"/>
      <c r="L107" s="1108"/>
      <c r="M107" s="1108"/>
      <c r="N107" s="1108"/>
      <c r="O107" s="1108"/>
      <c r="P107" s="1108"/>
      <c r="Q107" s="1108"/>
      <c r="R107" s="1108"/>
    </row>
    <row r="108" spans="1:18" ht="11.65" customHeight="1" x14ac:dyDescent="0.25">
      <c r="A108" s="1266"/>
      <c r="B108" s="1262"/>
      <c r="C108" s="1263"/>
      <c r="D108" s="1263"/>
      <c r="E108" s="1263"/>
      <c r="F108" s="1263"/>
      <c r="G108" s="1263"/>
      <c r="H108" s="1263"/>
      <c r="I108" s="1263"/>
      <c r="J108" s="1263"/>
      <c r="K108" s="1108"/>
      <c r="L108" s="1108"/>
      <c r="M108" s="1108"/>
      <c r="N108" s="1108"/>
      <c r="O108" s="1108"/>
      <c r="P108" s="1108"/>
      <c r="Q108" s="1108"/>
      <c r="R108" s="1108"/>
    </row>
    <row r="109" spans="1:18" ht="11.65" customHeight="1" x14ac:dyDescent="0.25">
      <c r="A109" s="1266"/>
      <c r="B109" s="1262"/>
      <c r="C109" s="1263"/>
      <c r="D109" s="1263"/>
      <c r="E109" s="1263"/>
      <c r="F109" s="1263"/>
      <c r="G109" s="1263"/>
      <c r="H109" s="1263"/>
      <c r="I109" s="1263"/>
      <c r="J109" s="1263"/>
      <c r="K109" s="1108"/>
      <c r="L109" s="1108"/>
      <c r="M109" s="1108"/>
      <c r="N109" s="1108"/>
      <c r="O109" s="1108"/>
      <c r="P109" s="1108"/>
      <c r="Q109" s="1108"/>
      <c r="R109" s="1108"/>
    </row>
    <row r="110" spans="1:18" ht="21" customHeight="1" x14ac:dyDescent="0.25">
      <c r="A110" s="1265"/>
      <c r="B110" s="1262"/>
      <c r="C110" s="1263"/>
      <c r="D110" s="1263"/>
      <c r="E110" s="1263"/>
      <c r="F110" s="1263"/>
      <c r="G110" s="1263"/>
      <c r="H110" s="1263"/>
      <c r="I110" s="1263"/>
      <c r="J110" s="1263"/>
      <c r="K110" s="1110"/>
      <c r="L110" s="1110"/>
      <c r="M110" s="1110"/>
      <c r="N110" s="1110"/>
      <c r="O110" s="1110"/>
      <c r="P110" s="1110"/>
      <c r="Q110" s="1110"/>
      <c r="R110" s="1110"/>
    </row>
    <row r="111" spans="1:18" ht="11.65" customHeight="1" x14ac:dyDescent="0.25">
      <c r="A111" s="1266"/>
      <c r="B111" s="1262"/>
      <c r="C111" s="1263"/>
      <c r="D111" s="1263"/>
      <c r="E111" s="1263"/>
      <c r="F111" s="1263"/>
      <c r="G111" s="1263"/>
      <c r="H111" s="1263"/>
      <c r="I111" s="1263"/>
      <c r="J111" s="1263"/>
      <c r="K111" s="1110"/>
      <c r="L111" s="1110"/>
      <c r="M111" s="1110"/>
      <c r="N111" s="1110"/>
      <c r="O111" s="1110"/>
      <c r="P111" s="1110"/>
      <c r="Q111" s="1110"/>
      <c r="R111" s="1110"/>
    </row>
    <row r="112" spans="1:18" ht="11.65" customHeight="1" x14ac:dyDescent="0.25">
      <c r="A112" s="1266"/>
      <c r="B112" s="1262"/>
      <c r="C112" s="1263"/>
      <c r="D112" s="1263"/>
      <c r="E112" s="1263"/>
      <c r="F112" s="1263"/>
      <c r="G112" s="1263"/>
      <c r="H112" s="1263"/>
      <c r="I112" s="1263"/>
      <c r="J112" s="1263"/>
      <c r="K112" s="1110"/>
      <c r="L112" s="1110"/>
      <c r="M112" s="1110"/>
      <c r="N112" s="1110"/>
      <c r="O112" s="1110"/>
      <c r="P112" s="1110"/>
      <c r="Q112" s="1110"/>
      <c r="R112" s="1110"/>
    </row>
    <row r="113" spans="1:18" ht="11.65" customHeight="1" x14ac:dyDescent="0.25">
      <c r="A113" s="1266"/>
      <c r="B113" s="1262"/>
      <c r="C113" s="1263"/>
      <c r="D113" s="1263"/>
      <c r="E113" s="1263"/>
      <c r="F113" s="1263"/>
      <c r="G113" s="1263"/>
      <c r="H113" s="1263"/>
      <c r="I113" s="1263"/>
      <c r="J113" s="1263"/>
      <c r="K113" s="1110"/>
      <c r="L113" s="1110"/>
      <c r="M113" s="1110"/>
      <c r="N113" s="1110"/>
      <c r="O113" s="1110"/>
      <c r="P113" s="1110"/>
      <c r="Q113" s="1110"/>
      <c r="R113" s="1110"/>
    </row>
    <row r="114" spans="1:18" ht="5.25" customHeight="1" x14ac:dyDescent="0.25">
      <c r="A114" s="1264"/>
      <c r="B114" s="1262"/>
      <c r="C114" s="1263"/>
      <c r="D114" s="1263"/>
      <c r="E114" s="1263"/>
      <c r="F114" s="1263"/>
      <c r="G114" s="1263"/>
      <c r="H114" s="1263"/>
      <c r="I114" s="1263"/>
      <c r="J114" s="1263"/>
      <c r="K114" s="1103"/>
      <c r="L114" s="1103"/>
      <c r="M114" s="1103"/>
      <c r="N114" s="1103"/>
      <c r="O114" s="1103"/>
      <c r="P114" s="1103"/>
      <c r="Q114" s="1103"/>
      <c r="R114" s="1103"/>
    </row>
    <row r="115" spans="1:18" ht="11.25" customHeight="1" x14ac:dyDescent="0.25">
      <c r="A115" s="1101"/>
      <c r="B115" s="1109"/>
      <c r="C115" s="1110"/>
      <c r="D115" s="1110"/>
      <c r="E115" s="1110"/>
      <c r="F115" s="1110"/>
      <c r="G115" s="1110"/>
      <c r="H115" s="1110"/>
      <c r="I115" s="1110"/>
      <c r="J115" s="1110"/>
      <c r="K115" s="1111"/>
      <c r="L115" s="1111"/>
      <c r="M115" s="1111"/>
      <c r="N115" s="1111"/>
      <c r="O115" s="1111"/>
      <c r="P115" s="1111"/>
      <c r="Q115" s="1111"/>
      <c r="R115" s="1111"/>
    </row>
    <row r="116" spans="1:18" ht="11.25" customHeight="1" x14ac:dyDescent="0.25">
      <c r="A116" s="364"/>
      <c r="B116" s="1109"/>
      <c r="C116" s="1103"/>
      <c r="D116" s="1103"/>
      <c r="E116" s="1103"/>
      <c r="F116" s="1103"/>
      <c r="G116" s="1103"/>
      <c r="H116" s="1103"/>
      <c r="I116" s="1103"/>
      <c r="J116" s="1103"/>
      <c r="K116" s="770"/>
      <c r="L116" s="770"/>
      <c r="M116" s="770"/>
      <c r="N116" s="770"/>
      <c r="O116" s="770"/>
      <c r="P116" s="770"/>
      <c r="Q116" s="770"/>
      <c r="R116" s="770"/>
    </row>
    <row r="117" spans="1:18" ht="11.25" customHeight="1" x14ac:dyDescent="0.25">
      <c r="A117" s="1101"/>
      <c r="B117" s="1104"/>
      <c r="C117" s="1111"/>
      <c r="D117" s="1111"/>
      <c r="E117" s="1111"/>
      <c r="F117" s="1111"/>
      <c r="G117" s="1111"/>
      <c r="H117" s="1111"/>
      <c r="I117" s="1111"/>
      <c r="J117" s="1111"/>
      <c r="K117" s="770"/>
      <c r="L117" s="770"/>
      <c r="M117" s="770"/>
      <c r="N117" s="770"/>
      <c r="O117" s="770"/>
      <c r="P117" s="770"/>
      <c r="Q117" s="770"/>
      <c r="R117" s="770"/>
    </row>
    <row r="118" spans="1:18" ht="11.25" customHeight="1" x14ac:dyDescent="0.25">
      <c r="A118" s="1101"/>
      <c r="B118" s="1104"/>
      <c r="C118" s="770"/>
      <c r="D118" s="770"/>
      <c r="E118" s="770"/>
      <c r="F118" s="770"/>
      <c r="G118" s="770"/>
      <c r="H118" s="770"/>
      <c r="I118" s="770"/>
      <c r="J118" s="770"/>
      <c r="K118" s="1112"/>
      <c r="L118" s="1112"/>
      <c r="M118" s="1112"/>
      <c r="N118" s="1112"/>
      <c r="O118" s="1112"/>
      <c r="P118" s="1112"/>
      <c r="Q118" s="1112"/>
      <c r="R118" s="1112"/>
    </row>
    <row r="119" spans="1:18" ht="11.25" customHeight="1" x14ac:dyDescent="0.25">
      <c r="A119" s="1101"/>
      <c r="B119" s="1104"/>
      <c r="C119" s="770"/>
      <c r="D119" s="770"/>
      <c r="E119" s="770"/>
      <c r="F119" s="770"/>
      <c r="G119" s="770"/>
      <c r="H119" s="770"/>
      <c r="I119" s="770"/>
      <c r="J119" s="770"/>
      <c r="K119" s="1113"/>
      <c r="L119" s="1113"/>
      <c r="M119" s="1113"/>
      <c r="N119" s="1113"/>
      <c r="O119" s="1113"/>
      <c r="P119" s="1113"/>
      <c r="Q119" s="1113"/>
      <c r="R119" s="1113"/>
    </row>
    <row r="120" spans="1:18" ht="11.25" customHeight="1" x14ac:dyDescent="0.25">
      <c r="A120" s="1101"/>
      <c r="B120" s="1104"/>
      <c r="C120" s="1112"/>
      <c r="D120" s="1112"/>
      <c r="E120" s="1112"/>
      <c r="F120" s="1112"/>
      <c r="G120" s="1112"/>
      <c r="H120" s="1112"/>
      <c r="I120" s="1112"/>
      <c r="J120" s="1112"/>
      <c r="K120" s="1113"/>
      <c r="L120" s="1113"/>
      <c r="M120" s="1113"/>
      <c r="N120" s="1113"/>
      <c r="O120" s="1113"/>
      <c r="P120" s="1113"/>
      <c r="Q120" s="1113"/>
      <c r="R120" s="1113"/>
    </row>
    <row r="121" spans="1:18" ht="11.25" customHeight="1" x14ac:dyDescent="0.25">
      <c r="A121" s="1101"/>
      <c r="B121" s="1104"/>
      <c r="C121" s="1113"/>
      <c r="D121" s="1113"/>
      <c r="E121" s="1113"/>
      <c r="F121" s="1113"/>
      <c r="G121" s="1113"/>
      <c r="H121" s="1113"/>
      <c r="I121" s="1113"/>
      <c r="J121" s="1113"/>
      <c r="K121" s="1113"/>
      <c r="L121" s="1113"/>
      <c r="M121" s="1113"/>
      <c r="N121" s="1113"/>
      <c r="O121" s="1113"/>
      <c r="P121" s="1113"/>
      <c r="Q121" s="1113"/>
      <c r="R121" s="1113"/>
    </row>
    <row r="122" spans="1:18" ht="11.25" customHeight="1" x14ac:dyDescent="0.25">
      <c r="A122" s="1101"/>
      <c r="B122" s="1104"/>
      <c r="C122" s="1113"/>
      <c r="D122" s="1113"/>
      <c r="E122" s="1113"/>
      <c r="F122" s="1113"/>
      <c r="G122" s="1113"/>
      <c r="H122" s="1113"/>
      <c r="I122" s="1113"/>
      <c r="J122" s="1113"/>
      <c r="K122" s="1113"/>
      <c r="L122" s="1113"/>
      <c r="M122" s="1113"/>
      <c r="N122" s="1113"/>
      <c r="O122" s="1113"/>
      <c r="P122" s="1113"/>
      <c r="Q122" s="1113"/>
      <c r="R122" s="1113"/>
    </row>
    <row r="123" spans="1:18" ht="11.25" customHeight="1" x14ac:dyDescent="0.25">
      <c r="A123" s="1101"/>
      <c r="B123" s="1104"/>
      <c r="C123" s="1113"/>
      <c r="D123" s="1113"/>
      <c r="E123" s="1113"/>
      <c r="F123" s="1113"/>
      <c r="G123" s="1113"/>
      <c r="H123" s="1113"/>
      <c r="I123" s="1113"/>
      <c r="J123" s="1113"/>
      <c r="K123" s="1113"/>
      <c r="L123" s="1113"/>
      <c r="M123" s="1113"/>
      <c r="N123" s="1113"/>
      <c r="O123" s="1113"/>
      <c r="P123" s="1113"/>
      <c r="Q123" s="1113"/>
      <c r="R123" s="1113"/>
    </row>
    <row r="124" spans="1:18" ht="11.25" customHeight="1" x14ac:dyDescent="0.25">
      <c r="A124" s="1101"/>
      <c r="B124" s="1104"/>
      <c r="C124" s="1113"/>
      <c r="D124" s="1113"/>
      <c r="E124" s="1113"/>
      <c r="F124" s="1113"/>
      <c r="G124" s="1113"/>
      <c r="H124" s="1113"/>
      <c r="I124" s="1113"/>
      <c r="J124" s="1113"/>
      <c r="K124" s="1113"/>
      <c r="L124" s="1113"/>
      <c r="M124" s="1113"/>
      <c r="N124" s="1113"/>
      <c r="O124" s="1113"/>
      <c r="P124" s="1113"/>
      <c r="Q124" s="1113"/>
      <c r="R124" s="1113"/>
    </row>
    <row r="125" spans="1:18" ht="11.25" customHeight="1" x14ac:dyDescent="0.25">
      <c r="A125" s="1101"/>
      <c r="B125" s="1104"/>
      <c r="C125" s="1113"/>
      <c r="D125" s="1113"/>
      <c r="E125" s="1113"/>
      <c r="F125" s="1113"/>
      <c r="G125" s="1113"/>
      <c r="H125" s="1113"/>
      <c r="I125" s="1113"/>
      <c r="J125" s="1113"/>
      <c r="K125" s="113"/>
      <c r="L125" s="113"/>
      <c r="M125" s="113"/>
      <c r="N125" s="113"/>
      <c r="O125" s="113"/>
      <c r="P125" s="113"/>
      <c r="Q125" s="113"/>
      <c r="R125" s="113"/>
    </row>
    <row r="126" spans="1:18" ht="4.9000000000000004" customHeight="1" x14ac:dyDescent="0.25">
      <c r="A126" s="1101"/>
      <c r="B126" s="1104"/>
      <c r="C126" s="1113"/>
      <c r="D126" s="1113"/>
      <c r="E126" s="1113"/>
      <c r="F126" s="1113"/>
      <c r="G126" s="1113"/>
      <c r="H126" s="1113"/>
      <c r="I126" s="1113"/>
      <c r="J126" s="1113"/>
      <c r="K126" s="148"/>
      <c r="L126" s="148"/>
      <c r="M126" s="148"/>
      <c r="N126" s="148"/>
      <c r="O126" s="148"/>
      <c r="P126" s="148"/>
      <c r="Q126" s="148"/>
      <c r="R126" s="148"/>
    </row>
    <row r="127" spans="1:18" s="464" customFormat="1" x14ac:dyDescent="0.25">
      <c r="A127" s="103"/>
      <c r="B127" s="1104"/>
      <c r="C127" s="113"/>
      <c r="D127" s="113"/>
      <c r="E127" s="113"/>
      <c r="F127" s="113"/>
      <c r="G127" s="113"/>
      <c r="H127" s="113"/>
      <c r="I127" s="113"/>
      <c r="J127" s="113"/>
      <c r="K127" s="647"/>
      <c r="L127" s="647"/>
      <c r="M127" s="647"/>
      <c r="N127" s="647"/>
      <c r="O127" s="647"/>
      <c r="P127" s="647"/>
      <c r="Q127" s="647"/>
      <c r="R127" s="647"/>
    </row>
    <row r="128" spans="1:18" s="464" customFormat="1" x14ac:dyDescent="0.25">
      <c r="A128" s="25"/>
      <c r="B128" s="102"/>
      <c r="C128" s="148"/>
      <c r="D128" s="148"/>
      <c r="E128" s="148"/>
      <c r="F128" s="148"/>
      <c r="G128" s="148"/>
      <c r="H128" s="148"/>
      <c r="I128" s="148"/>
      <c r="J128" s="148"/>
      <c r="K128" s="647"/>
      <c r="L128" s="647"/>
      <c r="M128" s="647"/>
      <c r="N128" s="647"/>
      <c r="O128" s="647"/>
      <c r="P128" s="647"/>
      <c r="Q128" s="647"/>
      <c r="R128" s="647"/>
    </row>
    <row r="129" spans="1:18" s="464" customFormat="1" x14ac:dyDescent="0.25">
      <c r="A129" s="101"/>
      <c r="B129" s="645"/>
      <c r="C129" s="647"/>
      <c r="D129" s="647"/>
      <c r="E129" s="647"/>
      <c r="F129" s="647"/>
      <c r="G129" s="647"/>
      <c r="H129" s="647"/>
      <c r="I129" s="647"/>
      <c r="J129" s="647"/>
      <c r="K129" s="647"/>
      <c r="L129" s="647"/>
      <c r="M129" s="647"/>
      <c r="N129" s="647"/>
      <c r="O129" s="647"/>
      <c r="P129" s="647"/>
      <c r="Q129" s="647"/>
      <c r="R129" s="647"/>
    </row>
    <row r="130" spans="1:18" s="464" customFormat="1" x14ac:dyDescent="0.25">
      <c r="A130" s="105"/>
      <c r="B130" s="645"/>
      <c r="C130" s="647"/>
      <c r="D130" s="647"/>
      <c r="E130" s="647"/>
      <c r="F130" s="647"/>
      <c r="G130" s="647"/>
      <c r="H130" s="647"/>
      <c r="I130" s="647"/>
      <c r="J130" s="647"/>
      <c r="K130" s="647"/>
      <c r="L130" s="647"/>
      <c r="M130" s="647"/>
      <c r="N130" s="647"/>
      <c r="O130" s="647"/>
      <c r="P130" s="647"/>
      <c r="Q130" s="647"/>
      <c r="R130" s="647"/>
    </row>
    <row r="131" spans="1:18" s="464" customFormat="1" x14ac:dyDescent="0.25">
      <c r="A131" s="105"/>
      <c r="B131" s="645"/>
      <c r="C131" s="647"/>
      <c r="D131" s="647"/>
      <c r="E131" s="647"/>
      <c r="F131" s="647"/>
      <c r="G131" s="647"/>
      <c r="H131" s="647"/>
      <c r="I131" s="647"/>
      <c r="J131" s="647"/>
      <c r="K131" s="647"/>
      <c r="L131" s="647"/>
      <c r="M131" s="647"/>
      <c r="N131" s="647"/>
      <c r="O131" s="647"/>
      <c r="P131" s="647"/>
      <c r="Q131" s="647"/>
      <c r="R131" s="647"/>
    </row>
    <row r="132" spans="1:18" x14ac:dyDescent="0.25">
      <c r="A132" s="132"/>
      <c r="B132" s="645"/>
      <c r="C132" s="647"/>
      <c r="D132" s="647"/>
      <c r="E132" s="647"/>
      <c r="F132" s="647"/>
      <c r="G132" s="647"/>
      <c r="H132" s="647"/>
      <c r="I132" s="647"/>
      <c r="J132" s="647"/>
      <c r="K132" s="104"/>
      <c r="L132" s="104"/>
      <c r="M132" s="104"/>
      <c r="N132" s="104"/>
      <c r="O132" s="104"/>
      <c r="P132" s="104"/>
      <c r="Q132" s="104"/>
      <c r="R132" s="104"/>
    </row>
    <row r="133" spans="1:18" x14ac:dyDescent="0.25">
      <c r="A133" s="105"/>
      <c r="B133" s="645"/>
      <c r="C133" s="647"/>
      <c r="D133" s="647"/>
      <c r="E133" s="647"/>
      <c r="F133" s="647"/>
      <c r="G133" s="647"/>
      <c r="H133" s="647"/>
      <c r="I133" s="647"/>
      <c r="J133" s="647"/>
      <c r="K133" s="104"/>
      <c r="L133" s="104"/>
      <c r="M133" s="104"/>
      <c r="N133" s="104"/>
      <c r="O133" s="104"/>
      <c r="P133" s="104"/>
      <c r="Q133" s="104"/>
      <c r="R133" s="104"/>
    </row>
    <row r="134" spans="1:18" ht="11.25" customHeight="1" x14ac:dyDescent="0.25">
      <c r="A134" s="132"/>
      <c r="C134" s="103"/>
      <c r="D134" s="103"/>
      <c r="E134" s="103"/>
      <c r="F134" s="103"/>
      <c r="G134" s="104"/>
      <c r="H134" s="104"/>
      <c r="I134" s="104"/>
      <c r="J134" s="104"/>
    </row>
    <row r="135" spans="1:18" ht="11.25" customHeight="1" x14ac:dyDescent="0.25">
      <c r="A135" s="132"/>
      <c r="C135" s="103"/>
      <c r="D135" s="103"/>
      <c r="E135" s="103"/>
      <c r="F135" s="103"/>
      <c r="G135" s="104"/>
      <c r="H135" s="104"/>
      <c r="I135" s="104"/>
      <c r="J135" s="104"/>
    </row>
    <row r="136" spans="1:18" ht="11.25" customHeight="1" x14ac:dyDescent="0.25"/>
    <row r="137" spans="1:18" ht="11.25" customHeight="1" x14ac:dyDescent="0.25">
      <c r="B137" s="25"/>
    </row>
    <row r="138" spans="1:18" ht="11.25" customHeight="1" x14ac:dyDescent="0.25">
      <c r="B138" s="25"/>
    </row>
    <row r="139" spans="1:18" ht="11.25" customHeight="1" x14ac:dyDescent="0.25">
      <c r="B139" s="25"/>
    </row>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sheetData>
  <mergeCells count="14">
    <mergeCell ref="A95:A96"/>
    <mergeCell ref="A2:A3"/>
    <mergeCell ref="B2:B3"/>
    <mergeCell ref="C2:C3"/>
    <mergeCell ref="D2:D3"/>
    <mergeCell ref="G95:G96"/>
    <mergeCell ref="G2:G3"/>
    <mergeCell ref="F2:F3"/>
    <mergeCell ref="E2:E3"/>
    <mergeCell ref="B95:B96"/>
    <mergeCell ref="C95:C96"/>
    <mergeCell ref="D95:D96"/>
    <mergeCell ref="E95:E96"/>
    <mergeCell ref="F95:F96"/>
  </mergeCells>
  <dataValidations count="6">
    <dataValidation type="list" showInputMessage="1" showErrorMessage="1" promptTitle="Guidance" prompt="Select Uniform or Variable" sqref="K88:R88 K24:R24" xr:uid="{00000000-0002-0000-2200-000000000000}">
      <formula1>List7</formula1>
    </dataValidation>
    <dataValidation type="list" showInputMessage="1" showErrorMessage="1" promptTitle="Guidance" prompt="Select Yes or No" sqref="K86:R87 K22:R23" xr:uid="{00000000-0002-0000-2200-000001000000}">
      <formula1>List6</formula1>
    </dataValidation>
    <dataValidation type="list" allowBlank="1" showInputMessage="1" showErrorMessage="1" promptTitle="Select" prompt="Select one" sqref="K84:R84 K20:R20" xr:uid="{00000000-0002-0000-2200-000002000000}">
      <formula1>List5</formula1>
    </dataValidation>
    <dataValidation type="list" allowBlank="1" showInputMessage="1" showErrorMessage="1" promptTitle="Select" prompt="Select one" sqref="K83:R83 C83 K19:R19 C60" xr:uid="{00000000-0002-0000-2200-000003000000}">
      <formula1>List4</formula1>
    </dataValidation>
    <dataValidation type="list" allowBlank="1" showInputMessage="1" showErrorMessage="1" promptTitle="Select" prompt="Select one" sqref="K81:R82 C81:C82 K17:R17 C58:C59" xr:uid="{00000000-0002-0000-2200-000004000000}">
      <formula1>List2</formula1>
    </dataValidation>
    <dataValidation type="list" allowBlank="1" showInputMessage="1" showErrorMessage="1" promptTitle="Select" prompt="Select one" sqref="K18:R18" xr:uid="{00000000-0002-0000-2200-000005000000}">
      <formula1>List3</formula1>
    </dataValidation>
  </dataValidations>
  <printOptions horizontalCentered="1"/>
  <pageMargins left="0" right="0" top="0.59055118110236227" bottom="0.24" header="0.51181102362204722" footer="0.23622047244094491"/>
  <pageSetup paperSize="9" scale="75" orientation="landscape"/>
  <headerFooter alignWithMargins="0"/>
  <rowBreaks count="1" manualBreakCount="1">
    <brk id="5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A1:AN118"/>
  <sheetViews>
    <sheetView showGridLines="0" zoomScaleNormal="100" workbookViewId="0">
      <pane xSplit="2" ySplit="4" topLeftCell="C5" activePane="bottomRight" state="frozen"/>
      <selection pane="topRight"/>
      <selection pane="bottomLeft"/>
      <selection pane="bottomRight"/>
    </sheetView>
  </sheetViews>
  <sheetFormatPr defaultRowHeight="12.75" x14ac:dyDescent="0.25"/>
  <cols>
    <col min="1" max="1" width="30.7109375" style="25" customWidth="1"/>
    <col min="2" max="2" width="3" style="102" customWidth="1"/>
    <col min="3" max="12" width="9.28515625" style="25" customWidth="1"/>
    <col min="13" max="16384" width="9.140625" style="25"/>
  </cols>
  <sheetData>
    <row r="1" spans="1:12" ht="13.5" x14ac:dyDescent="0.25">
      <c r="A1" s="23" t="str">
        <f>muni&amp;" - "&amp;TableA14</f>
        <v>EC101 Dr Beyers Naude - Supporting Table SA14 Household bills</v>
      </c>
      <c r="B1" s="23"/>
      <c r="C1" s="23"/>
      <c r="D1" s="23"/>
      <c r="E1" s="23"/>
      <c r="F1" s="23"/>
      <c r="G1" s="23"/>
      <c r="H1" s="23"/>
      <c r="I1" s="23"/>
      <c r="J1" s="23"/>
      <c r="K1" s="23"/>
      <c r="L1" s="23"/>
    </row>
    <row r="2" spans="1:12" ht="27" customHeight="1" x14ac:dyDescent="0.25">
      <c r="A2" s="1928" t="str">
        <f>desc</f>
        <v>Description</v>
      </c>
      <c r="B2" s="1930" t="str">
        <f>head27</f>
        <v>Ref</v>
      </c>
      <c r="C2" s="26" t="str">
        <f>head1b</f>
        <v>2015/16</v>
      </c>
      <c r="D2" s="26" t="str">
        <f>head1A</f>
        <v>2016/17</v>
      </c>
      <c r="E2" s="22" t="str">
        <f>Head1</f>
        <v>2017/18</v>
      </c>
      <c r="F2" s="1907" t="str">
        <f>Head2</f>
        <v>Current Year 2018/19</v>
      </c>
      <c r="G2" s="1908"/>
      <c r="H2" s="1908"/>
      <c r="I2" s="414" t="str">
        <f>Head3</f>
        <v>2019/20 Medium Term Revenue &amp; Expenditure Framework</v>
      </c>
      <c r="J2" s="415"/>
      <c r="K2" s="416"/>
      <c r="L2" s="417"/>
    </row>
    <row r="3" spans="1:12" ht="25.5" x14ac:dyDescent="0.25">
      <c r="A3" s="1932"/>
      <c r="B3" s="1933"/>
      <c r="C3" s="28" t="str">
        <f>Head5</f>
        <v>Audited Outcome</v>
      </c>
      <c r="D3" s="28" t="str">
        <f>Head5</f>
        <v>Audited Outcome</v>
      </c>
      <c r="E3" s="29" t="str">
        <f>Head5</f>
        <v>Audited Outcome</v>
      </c>
      <c r="F3" s="27" t="str">
        <f>Head6</f>
        <v>Original Budget</v>
      </c>
      <c r="G3" s="28" t="str">
        <f>Head7</f>
        <v>Adjusted Budget</v>
      </c>
      <c r="H3" s="30" t="str">
        <f>Head8</f>
        <v>Full Year Forecast</v>
      </c>
      <c r="I3" s="418" t="str">
        <f>Head9</f>
        <v>Budget Year 2019/20</v>
      </c>
      <c r="J3" s="30" t="str">
        <f>Head9</f>
        <v>Budget Year 2019/20</v>
      </c>
      <c r="K3" s="419" t="str">
        <f>Head10</f>
        <v>Budget Year +1 2020/21</v>
      </c>
      <c r="L3" s="29" t="str">
        <f>Head11</f>
        <v>Budget Year +2 2021/22</v>
      </c>
    </row>
    <row r="4" spans="1:12" x14ac:dyDescent="0.25">
      <c r="A4" s="53" t="s">
        <v>1140</v>
      </c>
      <c r="B4" s="1931"/>
      <c r="C4" s="15"/>
      <c r="D4" s="15"/>
      <c r="E4" s="32"/>
      <c r="F4" s="31"/>
      <c r="G4" s="15"/>
      <c r="H4" s="33"/>
      <c r="I4" s="16" t="s">
        <v>716</v>
      </c>
      <c r="J4" s="33"/>
      <c r="K4" s="15"/>
      <c r="L4" s="32"/>
    </row>
    <row r="5" spans="1:12" ht="25.5" x14ac:dyDescent="0.25">
      <c r="A5" s="270" t="s">
        <v>1956</v>
      </c>
      <c r="B5" s="233">
        <v>1</v>
      </c>
      <c r="C5" s="420"/>
      <c r="D5" s="420"/>
      <c r="E5" s="421"/>
      <c r="F5" s="422"/>
      <c r="G5" s="420"/>
      <c r="H5" s="423"/>
      <c r="I5" s="424"/>
      <c r="J5" s="423"/>
      <c r="K5" s="420"/>
      <c r="L5" s="421"/>
    </row>
    <row r="6" spans="1:12" x14ac:dyDescent="0.25">
      <c r="A6" s="139" t="s">
        <v>692</v>
      </c>
      <c r="B6" s="235"/>
      <c r="C6" s="425"/>
      <c r="D6" s="425"/>
      <c r="E6" s="426"/>
      <c r="F6" s="427"/>
      <c r="G6" s="425"/>
      <c r="H6" s="428"/>
      <c r="I6" s="429"/>
      <c r="J6" s="428"/>
      <c r="K6" s="425"/>
      <c r="L6" s="426"/>
    </row>
    <row r="7" spans="1:12" x14ac:dyDescent="0.25">
      <c r="A7" s="146" t="s">
        <v>470</v>
      </c>
      <c r="B7" s="235"/>
      <c r="C7" s="1622"/>
      <c r="D7" s="1622"/>
      <c r="E7" s="1623"/>
      <c r="F7" s="1624"/>
      <c r="G7" s="1622"/>
      <c r="H7" s="1625"/>
      <c r="I7" s="1626"/>
      <c r="J7" s="1625"/>
      <c r="K7" s="1622"/>
      <c r="L7" s="1623"/>
    </row>
    <row r="8" spans="1:12" x14ac:dyDescent="0.25">
      <c r="A8" s="146" t="s">
        <v>1385</v>
      </c>
      <c r="B8" s="235"/>
      <c r="C8" s="1622"/>
      <c r="D8" s="1622"/>
      <c r="E8" s="1623"/>
      <c r="F8" s="1624"/>
      <c r="G8" s="1622"/>
      <c r="H8" s="1625"/>
      <c r="I8" s="1626"/>
      <c r="J8" s="1625"/>
      <c r="K8" s="1622"/>
      <c r="L8" s="1623"/>
    </row>
    <row r="9" spans="1:12" x14ac:dyDescent="0.25">
      <c r="A9" s="146" t="s">
        <v>1386</v>
      </c>
      <c r="B9" s="235"/>
      <c r="C9" s="1622"/>
      <c r="D9" s="1622"/>
      <c r="E9" s="1623"/>
      <c r="F9" s="1624"/>
      <c r="G9" s="1622"/>
      <c r="H9" s="1625"/>
      <c r="I9" s="1626"/>
      <c r="J9" s="1625"/>
      <c r="K9" s="1622"/>
      <c r="L9" s="1623"/>
    </row>
    <row r="10" spans="1:12" x14ac:dyDescent="0.25">
      <c r="A10" s="146" t="s">
        <v>1387</v>
      </c>
      <c r="B10" s="235"/>
      <c r="C10" s="1622"/>
      <c r="D10" s="1622"/>
      <c r="E10" s="1623"/>
      <c r="F10" s="1624"/>
      <c r="G10" s="1622"/>
      <c r="H10" s="1625"/>
      <c r="I10" s="1626"/>
      <c r="J10" s="1625"/>
      <c r="K10" s="1622"/>
      <c r="L10" s="1623"/>
    </row>
    <row r="11" spans="1:12" x14ac:dyDescent="0.25">
      <c r="A11" s="146" t="s">
        <v>713</v>
      </c>
      <c r="B11" s="235"/>
      <c r="C11" s="1622"/>
      <c r="D11" s="1622"/>
      <c r="E11" s="1623"/>
      <c r="F11" s="1624"/>
      <c r="G11" s="1622"/>
      <c r="H11" s="1625"/>
      <c r="I11" s="1626"/>
      <c r="J11" s="1625"/>
      <c r="K11" s="1622"/>
      <c r="L11" s="1623"/>
    </row>
    <row r="12" spans="1:12" x14ac:dyDescent="0.25">
      <c r="A12" s="146" t="s">
        <v>836</v>
      </c>
      <c r="B12" s="235"/>
      <c r="C12" s="1622"/>
      <c r="D12" s="1622"/>
      <c r="E12" s="1623"/>
      <c r="F12" s="1624"/>
      <c r="G12" s="1622"/>
      <c r="H12" s="1625"/>
      <c r="I12" s="1626"/>
      <c r="J12" s="1625"/>
      <c r="K12" s="1622"/>
      <c r="L12" s="1623"/>
    </row>
    <row r="13" spans="1:12" x14ac:dyDescent="0.25">
      <c r="A13" s="146" t="s">
        <v>574</v>
      </c>
      <c r="B13" s="235"/>
      <c r="C13" s="1622"/>
      <c r="D13" s="1622"/>
      <c r="E13" s="1623"/>
      <c r="F13" s="1624"/>
      <c r="G13" s="1622"/>
      <c r="H13" s="1625"/>
      <c r="I13" s="1626"/>
      <c r="J13" s="1625"/>
      <c r="K13" s="1622"/>
      <c r="L13" s="1623"/>
    </row>
    <row r="14" spans="1:12" x14ac:dyDescent="0.25">
      <c r="A14" s="146" t="s">
        <v>246</v>
      </c>
      <c r="B14" s="235"/>
      <c r="C14" s="1622"/>
      <c r="D14" s="1622"/>
      <c r="E14" s="1623"/>
      <c r="F14" s="1624"/>
      <c r="G14" s="1622"/>
      <c r="H14" s="1625"/>
      <c r="I14" s="1626"/>
      <c r="J14" s="1625"/>
      <c r="K14" s="1622"/>
      <c r="L14" s="1623"/>
    </row>
    <row r="15" spans="1:12" x14ac:dyDescent="0.25">
      <c r="A15" s="430" t="s">
        <v>118</v>
      </c>
      <c r="B15" s="235"/>
      <c r="C15" s="431">
        <f>SUM(C7:C14)</f>
        <v>0</v>
      </c>
      <c r="D15" s="431">
        <f>SUM(D7:D14)</f>
        <v>0</v>
      </c>
      <c r="E15" s="432">
        <f>SUM(E7:E14)</f>
        <v>0</v>
      </c>
      <c r="F15" s="433">
        <f>SUM(F7:F14)</f>
        <v>0</v>
      </c>
      <c r="G15" s="431">
        <f t="shared" ref="G15:L15" si="0">SUM(G7:G14)</f>
        <v>0</v>
      </c>
      <c r="H15" s="434">
        <f t="shared" si="0"/>
        <v>0</v>
      </c>
      <c r="I15" s="435">
        <f>IF(ISERROR(ROUND((J15-F15)/F15,3)),0,(ROUND((J15-F15)/F15,3)))</f>
        <v>0</v>
      </c>
      <c r="J15" s="434">
        <f t="shared" si="0"/>
        <v>0</v>
      </c>
      <c r="K15" s="431">
        <f t="shared" si="0"/>
        <v>0</v>
      </c>
      <c r="L15" s="432">
        <f t="shared" si="0"/>
        <v>0</v>
      </c>
    </row>
    <row r="16" spans="1:12" x14ac:dyDescent="0.25">
      <c r="A16" s="146" t="s">
        <v>691</v>
      </c>
      <c r="B16" s="235"/>
      <c r="C16" s="1622"/>
      <c r="D16" s="1622"/>
      <c r="E16" s="1623"/>
      <c r="F16" s="1624"/>
      <c r="G16" s="1622"/>
      <c r="H16" s="1625"/>
      <c r="I16" s="1626"/>
      <c r="J16" s="1625"/>
      <c r="K16" s="1622"/>
      <c r="L16" s="1623"/>
    </row>
    <row r="17" spans="1:12" x14ac:dyDescent="0.25">
      <c r="A17" s="139" t="s">
        <v>714</v>
      </c>
      <c r="B17" s="235"/>
      <c r="C17" s="431">
        <f>SUM(C15:C16)</f>
        <v>0</v>
      </c>
      <c r="D17" s="431">
        <f>SUM(D15:D16)</f>
        <v>0</v>
      </c>
      <c r="E17" s="432">
        <f>SUM(E15:E16)</f>
        <v>0</v>
      </c>
      <c r="F17" s="433">
        <f>SUM(F15:F16)</f>
        <v>0</v>
      </c>
      <c r="G17" s="431">
        <f t="shared" ref="G17:L17" si="1">SUM(G15:G16)</f>
        <v>0</v>
      </c>
      <c r="H17" s="434">
        <f t="shared" si="1"/>
        <v>0</v>
      </c>
      <c r="I17" s="435">
        <f>IF(ISERROR(ROUND((J17-F17)/F17,3)),0,(ROUND((J17-F17)/F17,3)))</f>
        <v>0</v>
      </c>
      <c r="J17" s="434">
        <f t="shared" si="1"/>
        <v>0</v>
      </c>
      <c r="K17" s="431">
        <f t="shared" si="1"/>
        <v>0</v>
      </c>
      <c r="L17" s="432">
        <f t="shared" si="1"/>
        <v>0</v>
      </c>
    </row>
    <row r="18" spans="1:12" x14ac:dyDescent="0.25">
      <c r="A18" s="436" t="s">
        <v>114</v>
      </c>
      <c r="B18" s="235"/>
      <c r="C18" s="437"/>
      <c r="D18" s="438">
        <f>IF(ISERROR((D17/C17)-1),0,((D17/C17)-1))</f>
        <v>0</v>
      </c>
      <c r="E18" s="439">
        <f>IF(ISERROR((E17/D17)-1),0,((E17/D17)-1))</f>
        <v>0</v>
      </c>
      <c r="F18" s="440">
        <f>IF(ISERROR((F17/E17)-1),0,((F17/E17)-1))</f>
        <v>0</v>
      </c>
      <c r="G18" s="438">
        <f>IF(ISERROR((G17/F17)-1),0,((G17/F17)-1))</f>
        <v>0</v>
      </c>
      <c r="H18" s="441">
        <f>IF(ISERROR((H17/G17)-1),0,((H17/G17)-1))</f>
        <v>0</v>
      </c>
      <c r="I18" s="442"/>
      <c r="J18" s="441">
        <f>IF(ISERROR((J17/H17)-1),0,((J17/H17)-1))</f>
        <v>0</v>
      </c>
      <c r="K18" s="438">
        <f>IF(ISERROR((K17/J17)-1),0,((K17/J17)-1))</f>
        <v>0</v>
      </c>
      <c r="L18" s="439">
        <f>IF(ISERROR((L17/K17)-1),0,((L17/K17)-1))</f>
        <v>0</v>
      </c>
    </row>
    <row r="19" spans="1:12" ht="4.9000000000000004" customHeight="1" x14ac:dyDescent="0.25">
      <c r="A19" s="270"/>
      <c r="B19" s="235"/>
      <c r="C19" s="443"/>
      <c r="D19" s="443"/>
      <c r="E19" s="444"/>
      <c r="F19" s="445"/>
      <c r="G19" s="443"/>
      <c r="H19" s="446"/>
      <c r="I19" s="429"/>
      <c r="J19" s="446"/>
      <c r="K19" s="443"/>
      <c r="L19" s="444"/>
    </row>
    <row r="20" spans="1:12" ht="25.5" customHeight="1" x14ac:dyDescent="0.25">
      <c r="A20" s="447" t="s">
        <v>1957</v>
      </c>
      <c r="B20" s="448">
        <v>2</v>
      </c>
      <c r="C20" s="449"/>
      <c r="D20" s="449"/>
      <c r="E20" s="450"/>
      <c r="F20" s="451"/>
      <c r="G20" s="449"/>
      <c r="H20" s="452"/>
      <c r="I20" s="453"/>
      <c r="J20" s="452"/>
      <c r="K20" s="449"/>
      <c r="L20" s="450"/>
    </row>
    <row r="21" spans="1:12" ht="11.25" customHeight="1" x14ac:dyDescent="0.25">
      <c r="A21" s="139" t="str">
        <f>A6</f>
        <v>Rates and services charges:</v>
      </c>
      <c r="B21" s="235"/>
      <c r="C21" s="425"/>
      <c r="D21" s="425"/>
      <c r="E21" s="426"/>
      <c r="F21" s="427"/>
      <c r="G21" s="425"/>
      <c r="H21" s="428"/>
      <c r="I21" s="429"/>
      <c r="J21" s="428"/>
      <c r="K21" s="425"/>
      <c r="L21" s="426"/>
    </row>
    <row r="22" spans="1:12" ht="11.25" customHeight="1" x14ac:dyDescent="0.25">
      <c r="A22" s="146" t="str">
        <f t="shared" ref="A22:A31" si="2">A7</f>
        <v>Property rates</v>
      </c>
      <c r="B22" s="235"/>
      <c r="C22" s="1622"/>
      <c r="D22" s="1622"/>
      <c r="E22" s="1623"/>
      <c r="F22" s="1624"/>
      <c r="G22" s="1622"/>
      <c r="H22" s="1625"/>
      <c r="I22" s="1626"/>
      <c r="J22" s="1625"/>
      <c r="K22" s="1622"/>
      <c r="L22" s="1623"/>
    </row>
    <row r="23" spans="1:12" ht="11.25" customHeight="1" x14ac:dyDescent="0.25">
      <c r="A23" s="146" t="str">
        <f t="shared" si="2"/>
        <v>Electricity: Basic levy</v>
      </c>
      <c r="B23" s="235"/>
      <c r="C23" s="1622"/>
      <c r="D23" s="1622"/>
      <c r="E23" s="1623"/>
      <c r="F23" s="1624"/>
      <c r="G23" s="1622"/>
      <c r="H23" s="1625"/>
      <c r="I23" s="1626"/>
      <c r="J23" s="1625"/>
      <c r="K23" s="1622"/>
      <c r="L23" s="1623"/>
    </row>
    <row r="24" spans="1:12" ht="11.25" customHeight="1" x14ac:dyDescent="0.25">
      <c r="A24" s="146" t="str">
        <f t="shared" si="2"/>
        <v>Electricity: Consumption</v>
      </c>
      <c r="B24" s="235"/>
      <c r="C24" s="1622"/>
      <c r="D24" s="1622"/>
      <c r="E24" s="1623"/>
      <c r="F24" s="1624"/>
      <c r="G24" s="1622"/>
      <c r="H24" s="1625"/>
      <c r="I24" s="1626"/>
      <c r="J24" s="1625"/>
      <c r="K24" s="1622"/>
      <c r="L24" s="1623"/>
    </row>
    <row r="25" spans="1:12" ht="11.25" customHeight="1" x14ac:dyDescent="0.25">
      <c r="A25" s="146" t="str">
        <f t="shared" si="2"/>
        <v>Water: Basic levy</v>
      </c>
      <c r="B25" s="235"/>
      <c r="C25" s="1622"/>
      <c r="D25" s="1622"/>
      <c r="E25" s="1623"/>
      <c r="F25" s="1624"/>
      <c r="G25" s="1622"/>
      <c r="H25" s="1625"/>
      <c r="I25" s="1626"/>
      <c r="J25" s="1625"/>
      <c r="K25" s="1622"/>
      <c r="L25" s="1623"/>
    </row>
    <row r="26" spans="1:12" ht="11.25" customHeight="1" x14ac:dyDescent="0.25">
      <c r="A26" s="146" t="str">
        <f t="shared" si="2"/>
        <v>Water: Consumption</v>
      </c>
      <c r="B26" s="235"/>
      <c r="C26" s="1622"/>
      <c r="D26" s="1622"/>
      <c r="E26" s="1623"/>
      <c r="F26" s="1624"/>
      <c r="G26" s="1622"/>
      <c r="H26" s="1625"/>
      <c r="I26" s="1626"/>
      <c r="J26" s="1625"/>
      <c r="K26" s="1622"/>
      <c r="L26" s="1623"/>
    </row>
    <row r="27" spans="1:12" ht="11.25" customHeight="1" x14ac:dyDescent="0.25">
      <c r="A27" s="146" t="str">
        <f t="shared" si="2"/>
        <v>Sanitation</v>
      </c>
      <c r="B27" s="235"/>
      <c r="C27" s="1622"/>
      <c r="D27" s="1622"/>
      <c r="E27" s="1623"/>
      <c r="F27" s="1624"/>
      <c r="G27" s="1622"/>
      <c r="H27" s="1625"/>
      <c r="I27" s="1626"/>
      <c r="J27" s="1625"/>
      <c r="K27" s="1622"/>
      <c r="L27" s="1623"/>
    </row>
    <row r="28" spans="1:12" ht="11.25" customHeight="1" x14ac:dyDescent="0.25">
      <c r="A28" s="146" t="str">
        <f t="shared" si="2"/>
        <v>Refuse removal</v>
      </c>
      <c r="B28" s="235"/>
      <c r="C28" s="1622"/>
      <c r="D28" s="1622"/>
      <c r="E28" s="1623"/>
      <c r="F28" s="1624"/>
      <c r="G28" s="1622"/>
      <c r="H28" s="1625"/>
      <c r="I28" s="1626"/>
      <c r="J28" s="1625"/>
      <c r="K28" s="1622"/>
      <c r="L28" s="1623"/>
    </row>
    <row r="29" spans="1:12" ht="11.25" customHeight="1" x14ac:dyDescent="0.25">
      <c r="A29" s="146" t="str">
        <f t="shared" si="2"/>
        <v>Other</v>
      </c>
      <c r="B29" s="235"/>
      <c r="C29" s="1622"/>
      <c r="D29" s="1622"/>
      <c r="E29" s="1623"/>
      <c r="F29" s="1624"/>
      <c r="G29" s="1622"/>
      <c r="H29" s="1625"/>
      <c r="I29" s="1626"/>
      <c r="J29" s="1625"/>
      <c r="K29" s="1622"/>
      <c r="L29" s="1623"/>
    </row>
    <row r="30" spans="1:12" ht="11.25" customHeight="1" x14ac:dyDescent="0.25">
      <c r="A30" s="430" t="str">
        <f t="shared" si="2"/>
        <v>sub-total</v>
      </c>
      <c r="B30" s="454"/>
      <c r="C30" s="431">
        <f t="shared" ref="C30:H30" si="3">SUM(C22:C29)</f>
        <v>0</v>
      </c>
      <c r="D30" s="431">
        <f t="shared" si="3"/>
        <v>0</v>
      </c>
      <c r="E30" s="432">
        <f t="shared" si="3"/>
        <v>0</v>
      </c>
      <c r="F30" s="433">
        <f t="shared" si="3"/>
        <v>0</v>
      </c>
      <c r="G30" s="431">
        <f t="shared" si="3"/>
        <v>0</v>
      </c>
      <c r="H30" s="434">
        <f t="shared" si="3"/>
        <v>0</v>
      </c>
      <c r="I30" s="435">
        <f>IF(ISERROR(ROUND((J30-F30)/F30,3)),0,(ROUND((J30-F30)/F30,3)))</f>
        <v>0</v>
      </c>
      <c r="J30" s="434">
        <f>SUM(J22:J29)</f>
        <v>0</v>
      </c>
      <c r="K30" s="431">
        <f>SUM(K22:K29)</f>
        <v>0</v>
      </c>
      <c r="L30" s="432">
        <f>SUM(L22:L29)</f>
        <v>0</v>
      </c>
    </row>
    <row r="31" spans="1:12" ht="11.25" customHeight="1" x14ac:dyDescent="0.25">
      <c r="A31" s="146" t="str">
        <f t="shared" si="2"/>
        <v>VAT on Services</v>
      </c>
      <c r="B31" s="235"/>
      <c r="C31" s="1622"/>
      <c r="D31" s="1622"/>
      <c r="E31" s="1623"/>
      <c r="F31" s="1624"/>
      <c r="G31" s="1622"/>
      <c r="H31" s="1625"/>
      <c r="I31" s="1626"/>
      <c r="J31" s="1625"/>
      <c r="K31" s="1622"/>
      <c r="L31" s="1623"/>
    </row>
    <row r="32" spans="1:12" ht="11.25" customHeight="1" x14ac:dyDescent="0.25">
      <c r="A32" s="139" t="s">
        <v>715</v>
      </c>
      <c r="B32" s="235"/>
      <c r="C32" s="431">
        <f t="shared" ref="C32:H32" si="4">SUM(C30:C31)</f>
        <v>0</v>
      </c>
      <c r="D32" s="431">
        <f t="shared" si="4"/>
        <v>0</v>
      </c>
      <c r="E32" s="432">
        <f t="shared" si="4"/>
        <v>0</v>
      </c>
      <c r="F32" s="433">
        <f t="shared" si="4"/>
        <v>0</v>
      </c>
      <c r="G32" s="431">
        <f t="shared" si="4"/>
        <v>0</v>
      </c>
      <c r="H32" s="434">
        <f t="shared" si="4"/>
        <v>0</v>
      </c>
      <c r="I32" s="435">
        <f>IF(ISERROR(ROUND((J32-F32)/F32,3)),0,(ROUND((J32-F32)/F32,3)))</f>
        <v>0</v>
      </c>
      <c r="J32" s="434">
        <f>SUM(J30:J31)</f>
        <v>0</v>
      </c>
      <c r="K32" s="431">
        <f>SUM(K30:K31)</f>
        <v>0</v>
      </c>
      <c r="L32" s="432">
        <f>SUM(L30:L31)</f>
        <v>0</v>
      </c>
    </row>
    <row r="33" spans="1:12" ht="11.25" customHeight="1" x14ac:dyDescent="0.25">
      <c r="A33" s="436" t="s">
        <v>114</v>
      </c>
      <c r="B33" s="235"/>
      <c r="C33" s="437"/>
      <c r="D33" s="438">
        <f>IF(ISERROR((D32/C32)-1),0,((D32/C32)-1))</f>
        <v>0</v>
      </c>
      <c r="E33" s="439">
        <f>IF(ISERROR((E32/D32)-1),0,((E32/D32)-1))</f>
        <v>0</v>
      </c>
      <c r="F33" s="440">
        <f>IF(ISERROR((F32/E32)-1),0,((F32/E32)-1))</f>
        <v>0</v>
      </c>
      <c r="G33" s="438">
        <f>IF(ISERROR((G32/F32)-1),0,((G32/F32)-1))</f>
        <v>0</v>
      </c>
      <c r="H33" s="441">
        <f>IF(ISERROR((H32/G32)-1),0,((H32/G32)-1))</f>
        <v>0</v>
      </c>
      <c r="I33" s="442"/>
      <c r="J33" s="441">
        <f>IF(ISERROR((J32/H32)-1),0,((J32/H32)-1))</f>
        <v>0</v>
      </c>
      <c r="K33" s="438">
        <f>IF(ISERROR((K32/J32)-1),0,((K32/J32)-1))</f>
        <v>0</v>
      </c>
      <c r="L33" s="439">
        <f>IF(ISERROR((L32/K32)-1),0,((L32/K32)-1))</f>
        <v>0</v>
      </c>
    </row>
    <row r="34" spans="1:12" ht="4.5" customHeight="1" x14ac:dyDescent="0.25">
      <c r="A34" s="270"/>
      <c r="B34" s="235"/>
      <c r="C34" s="443"/>
      <c r="D34" s="443"/>
      <c r="E34" s="444">
        <f>IF(ISERROR((E33/D33)-1),0,((E33/D33)-1))</f>
        <v>0</v>
      </c>
      <c r="F34" s="445">
        <f>IF(ISERROR((F33/E33)-1),0,((F33/E33)-1))</f>
        <v>0</v>
      </c>
      <c r="G34" s="443">
        <f>IF(ISERROR((G33/F33)-1),0,((G33/F33)-1))</f>
        <v>0</v>
      </c>
      <c r="H34" s="446">
        <f>IF(ISERROR((H33/G33)-1),0,((H33/G33)-1))</f>
        <v>0</v>
      </c>
      <c r="I34" s="429"/>
      <c r="J34" s="446"/>
      <c r="K34" s="443"/>
      <c r="L34" s="444"/>
    </row>
    <row r="35" spans="1:12" ht="25.5" customHeight="1" x14ac:dyDescent="0.25">
      <c r="A35" s="447" t="s">
        <v>1955</v>
      </c>
      <c r="B35" s="448">
        <v>3</v>
      </c>
      <c r="C35" s="449"/>
      <c r="D35" s="449"/>
      <c r="E35" s="450"/>
      <c r="F35" s="451"/>
      <c r="G35" s="449"/>
      <c r="H35" s="452"/>
      <c r="I35" s="453"/>
      <c r="J35" s="452"/>
      <c r="K35" s="449"/>
      <c r="L35" s="450"/>
    </row>
    <row r="36" spans="1:12" x14ac:dyDescent="0.25">
      <c r="A36" s="139" t="str">
        <f>A6</f>
        <v>Rates and services charges:</v>
      </c>
      <c r="B36" s="235"/>
      <c r="C36" s="425"/>
      <c r="D36" s="425"/>
      <c r="E36" s="426"/>
      <c r="F36" s="427"/>
      <c r="G36" s="425"/>
      <c r="H36" s="428"/>
      <c r="I36" s="429"/>
      <c r="J36" s="428"/>
      <c r="K36" s="425"/>
      <c r="L36" s="426"/>
    </row>
    <row r="37" spans="1:12" x14ac:dyDescent="0.25">
      <c r="A37" s="146" t="str">
        <f t="shared" ref="A37:A46" si="5">A7</f>
        <v>Property rates</v>
      </c>
      <c r="B37" s="235"/>
      <c r="C37" s="1622"/>
      <c r="D37" s="1622"/>
      <c r="E37" s="1623"/>
      <c r="F37" s="1624"/>
      <c r="G37" s="1622"/>
      <c r="H37" s="1625"/>
      <c r="I37" s="1769" t="str">
        <f>IF(J37&gt;0,ROUND((J37-F37)/F37,3),"")</f>
        <v/>
      </c>
      <c r="J37" s="1625"/>
      <c r="K37" s="1622"/>
      <c r="L37" s="1623"/>
    </row>
    <row r="38" spans="1:12" x14ac:dyDescent="0.25">
      <c r="A38" s="146" t="str">
        <f t="shared" si="5"/>
        <v>Electricity: Basic levy</v>
      </c>
      <c r="B38" s="235"/>
      <c r="C38" s="1622"/>
      <c r="D38" s="1622"/>
      <c r="E38" s="1623"/>
      <c r="F38" s="1624"/>
      <c r="G38" s="1622"/>
      <c r="H38" s="1625"/>
      <c r="I38" s="1769" t="str">
        <f t="shared" ref="I38:I44" si="6">IF(J38&gt;0,ROUND((J38-F38)/F38,3),"")</f>
        <v/>
      </c>
      <c r="J38" s="1625"/>
      <c r="K38" s="1622"/>
      <c r="L38" s="1623"/>
    </row>
    <row r="39" spans="1:12" x14ac:dyDescent="0.25">
      <c r="A39" s="146" t="str">
        <f t="shared" si="5"/>
        <v>Electricity: Consumption</v>
      </c>
      <c r="B39" s="235"/>
      <c r="C39" s="1622"/>
      <c r="D39" s="1622"/>
      <c r="E39" s="1623"/>
      <c r="F39" s="1624"/>
      <c r="G39" s="1622"/>
      <c r="H39" s="1625"/>
      <c r="I39" s="1769" t="str">
        <f t="shared" si="6"/>
        <v/>
      </c>
      <c r="J39" s="1625"/>
      <c r="K39" s="1622"/>
      <c r="L39" s="1623"/>
    </row>
    <row r="40" spans="1:12" x14ac:dyDescent="0.25">
      <c r="A40" s="146" t="str">
        <f t="shared" si="5"/>
        <v>Water: Basic levy</v>
      </c>
      <c r="B40" s="235"/>
      <c r="C40" s="1622"/>
      <c r="D40" s="1622"/>
      <c r="E40" s="1623"/>
      <c r="F40" s="1624"/>
      <c r="G40" s="1622"/>
      <c r="H40" s="1625"/>
      <c r="I40" s="1769" t="str">
        <f t="shared" si="6"/>
        <v/>
      </c>
      <c r="J40" s="1625"/>
      <c r="K40" s="1622"/>
      <c r="L40" s="1623"/>
    </row>
    <row r="41" spans="1:12" x14ac:dyDescent="0.25">
      <c r="A41" s="146" t="str">
        <f t="shared" si="5"/>
        <v>Water: Consumption</v>
      </c>
      <c r="B41" s="235"/>
      <c r="C41" s="1622"/>
      <c r="D41" s="1622"/>
      <c r="E41" s="1623"/>
      <c r="F41" s="1624"/>
      <c r="G41" s="1622"/>
      <c r="H41" s="1625"/>
      <c r="I41" s="1769" t="str">
        <f t="shared" si="6"/>
        <v/>
      </c>
      <c r="J41" s="1625"/>
      <c r="K41" s="1622"/>
      <c r="L41" s="1623"/>
    </row>
    <row r="42" spans="1:12" x14ac:dyDescent="0.25">
      <c r="A42" s="146" t="str">
        <f t="shared" si="5"/>
        <v>Sanitation</v>
      </c>
      <c r="B42" s="235"/>
      <c r="C42" s="1622"/>
      <c r="D42" s="1622"/>
      <c r="E42" s="1623"/>
      <c r="F42" s="1624"/>
      <c r="G42" s="1622"/>
      <c r="H42" s="1625"/>
      <c r="I42" s="1769" t="str">
        <f t="shared" si="6"/>
        <v/>
      </c>
      <c r="J42" s="1625"/>
      <c r="K42" s="1622"/>
      <c r="L42" s="1623"/>
    </row>
    <row r="43" spans="1:12" x14ac:dyDescent="0.25">
      <c r="A43" s="146" t="str">
        <f t="shared" si="5"/>
        <v>Refuse removal</v>
      </c>
      <c r="B43" s="235"/>
      <c r="C43" s="1622"/>
      <c r="D43" s="1622"/>
      <c r="E43" s="1623"/>
      <c r="F43" s="1624"/>
      <c r="G43" s="1622"/>
      <c r="H43" s="1625"/>
      <c r="I43" s="1769" t="str">
        <f t="shared" si="6"/>
        <v/>
      </c>
      <c r="J43" s="1625"/>
      <c r="K43" s="1622"/>
      <c r="L43" s="1623"/>
    </row>
    <row r="44" spans="1:12" x14ac:dyDescent="0.25">
      <c r="A44" s="146" t="str">
        <f t="shared" si="5"/>
        <v>Other</v>
      </c>
      <c r="B44" s="235"/>
      <c r="C44" s="1622"/>
      <c r="D44" s="1622"/>
      <c r="E44" s="1623"/>
      <c r="F44" s="1624"/>
      <c r="G44" s="1622"/>
      <c r="H44" s="1625"/>
      <c r="I44" s="1769" t="str">
        <f t="shared" si="6"/>
        <v/>
      </c>
      <c r="J44" s="1625"/>
      <c r="K44" s="1622"/>
      <c r="L44" s="1623"/>
    </row>
    <row r="45" spans="1:12" x14ac:dyDescent="0.25">
      <c r="A45" s="430" t="str">
        <f t="shared" si="5"/>
        <v>sub-total</v>
      </c>
      <c r="B45" s="454"/>
      <c r="C45" s="431">
        <f>SUM(C37:C44)</f>
        <v>0</v>
      </c>
      <c r="D45" s="431">
        <f>SUM(D37:D44)</f>
        <v>0</v>
      </c>
      <c r="E45" s="432">
        <f>SUM(E37:E44)</f>
        <v>0</v>
      </c>
      <c r="F45" s="433">
        <f>SUM(F37:F44)</f>
        <v>0</v>
      </c>
      <c r="G45" s="431">
        <f t="shared" ref="G45:L45" si="7">SUM(G37:G44)</f>
        <v>0</v>
      </c>
      <c r="H45" s="434">
        <f t="shared" si="7"/>
        <v>0</v>
      </c>
      <c r="I45" s="435">
        <f>IF(ISERROR(ROUND((J45-F45)/F45,3)),0,(ROUND((J45-F45)/F45,3)))</f>
        <v>0</v>
      </c>
      <c r="J45" s="434">
        <f t="shared" si="7"/>
        <v>0</v>
      </c>
      <c r="K45" s="431">
        <f t="shared" si="7"/>
        <v>0</v>
      </c>
      <c r="L45" s="432">
        <f t="shared" si="7"/>
        <v>0</v>
      </c>
    </row>
    <row r="46" spans="1:12" x14ac:dyDescent="0.25">
      <c r="A46" s="146" t="str">
        <f t="shared" si="5"/>
        <v>VAT on Services</v>
      </c>
      <c r="B46" s="235"/>
      <c r="C46" s="1622"/>
      <c r="D46" s="1622"/>
      <c r="E46" s="1623"/>
      <c r="F46" s="1624"/>
      <c r="G46" s="1622"/>
      <c r="H46" s="1625"/>
      <c r="I46" s="1769" t="str">
        <f>IF(J46&gt;0,I13ROUND((J46-F46)/F46,3),"")</f>
        <v/>
      </c>
      <c r="J46" s="1625"/>
      <c r="K46" s="1622"/>
      <c r="L46" s="1623"/>
    </row>
    <row r="47" spans="1:12" x14ac:dyDescent="0.25">
      <c r="A47" s="139" t="s">
        <v>715</v>
      </c>
      <c r="B47" s="235"/>
      <c r="C47" s="431">
        <f>SUM(C45:C46)</f>
        <v>0</v>
      </c>
      <c r="D47" s="431">
        <f>SUM(D45:D46)</f>
        <v>0</v>
      </c>
      <c r="E47" s="432">
        <f>SUM(E45:E46)</f>
        <v>0</v>
      </c>
      <c r="F47" s="433">
        <f>SUM(F45:F46)</f>
        <v>0</v>
      </c>
      <c r="G47" s="431">
        <f t="shared" ref="G47:L47" si="8">SUM(G45:G46)</f>
        <v>0</v>
      </c>
      <c r="H47" s="434">
        <f t="shared" si="8"/>
        <v>0</v>
      </c>
      <c r="I47" s="435">
        <f>IF(ISERROR(ROUND((J47-F47)/F47,3)),0,(ROUND((J47-F47)/F47,3)))</f>
        <v>0</v>
      </c>
      <c r="J47" s="434">
        <f t="shared" si="8"/>
        <v>0</v>
      </c>
      <c r="K47" s="431">
        <f t="shared" si="8"/>
        <v>0</v>
      </c>
      <c r="L47" s="432">
        <f t="shared" si="8"/>
        <v>0</v>
      </c>
    </row>
    <row r="48" spans="1:12" x14ac:dyDescent="0.25">
      <c r="A48" s="436" t="str">
        <f>A18</f>
        <v>% increase/-decrease</v>
      </c>
      <c r="B48" s="235"/>
      <c r="C48" s="437"/>
      <c r="D48" s="438">
        <f>IF(ISERROR((D47/C47)-1),0,((D47/C47)-1))</f>
        <v>0</v>
      </c>
      <c r="E48" s="439">
        <f>IF(ISERROR((E47/D47)-1),0,((E47/D47)-1))</f>
        <v>0</v>
      </c>
      <c r="F48" s="440">
        <f>IF(ISERROR((F47/E47)-1),0,((F47/E47)-1))</f>
        <v>0</v>
      </c>
      <c r="G48" s="438">
        <f>IF(ISERROR((G47/F47)-1),0,((G47/F47)-1))</f>
        <v>0</v>
      </c>
      <c r="H48" s="441">
        <f>IF(ISERROR((H47/G47)-1),0,((H47/G47)-1))</f>
        <v>0</v>
      </c>
      <c r="I48" s="442"/>
      <c r="J48" s="441">
        <f>IF(ISERROR((J47/H47)-1),0,((J47/H47)-1))</f>
        <v>0</v>
      </c>
      <c r="K48" s="438">
        <f>IF(ISERROR((K47/J47)-1),0,((K47/J47)-1))</f>
        <v>0</v>
      </c>
      <c r="L48" s="439">
        <f>IF(ISERROR((L47/K47)-1),0,((L47/K47)-1))</f>
        <v>0</v>
      </c>
    </row>
    <row r="49" spans="1:40" ht="4.9000000000000004" customHeight="1" x14ac:dyDescent="0.25">
      <c r="A49" s="455"/>
      <c r="B49" s="456"/>
      <c r="C49" s="456"/>
      <c r="D49" s="456"/>
      <c r="E49" s="457"/>
      <c r="F49" s="458"/>
      <c r="G49" s="456"/>
      <c r="H49" s="459"/>
      <c r="I49" s="460"/>
      <c r="J49" s="459"/>
      <c r="K49" s="456"/>
      <c r="L49" s="457"/>
    </row>
    <row r="50" spans="1:40" s="464" customFormat="1" x14ac:dyDescent="0.25">
      <c r="A50" s="101" t="str">
        <f>head27a</f>
        <v>References</v>
      </c>
      <c r="B50" s="645"/>
      <c r="C50" s="463"/>
      <c r="D50" s="463"/>
      <c r="E50" s="463"/>
      <c r="F50" s="666"/>
      <c r="G50" s="463"/>
      <c r="H50" s="463"/>
      <c r="I50" s="463"/>
      <c r="J50" s="463"/>
      <c r="K50" s="463"/>
    </row>
    <row r="51" spans="1:40" s="464" customFormat="1" x14ac:dyDescent="0.25">
      <c r="A51" s="132" t="s">
        <v>1958</v>
      </c>
      <c r="B51" s="667"/>
      <c r="C51" s="646"/>
      <c r="D51" s="646"/>
      <c r="E51" s="646"/>
      <c r="F51" s="646"/>
      <c r="G51" s="646"/>
      <c r="H51" s="646"/>
      <c r="I51" s="646"/>
      <c r="J51" s="646"/>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row>
    <row r="52" spans="1:40" s="464" customFormat="1" x14ac:dyDescent="0.25">
      <c r="A52" s="132" t="s">
        <v>1959</v>
      </c>
      <c r="B52" s="667"/>
      <c r="C52" s="646"/>
      <c r="D52" s="646"/>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row>
    <row r="53" spans="1:40" s="464" customFormat="1" x14ac:dyDescent="0.25">
      <c r="A53" s="132" t="s">
        <v>1990</v>
      </c>
      <c r="B53" s="667"/>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6"/>
    </row>
    <row r="54" spans="1:40" x14ac:dyDescent="0.25">
      <c r="A54" s="25" t="s">
        <v>2044</v>
      </c>
    </row>
    <row r="55" spans="1:40" x14ac:dyDescent="0.25">
      <c r="C55" s="461"/>
      <c r="D55" s="461"/>
      <c r="E55" s="461"/>
      <c r="F55" s="462"/>
      <c r="G55" s="461"/>
      <c r="H55" s="461"/>
      <c r="I55" s="461"/>
      <c r="J55" s="461"/>
      <c r="K55" s="463"/>
      <c r="L55" s="464"/>
      <c r="M55" s="464"/>
      <c r="N55" s="464"/>
      <c r="O55" s="464"/>
      <c r="P55" s="464"/>
      <c r="Q55" s="464"/>
      <c r="R55" s="464"/>
      <c r="S55" s="464"/>
      <c r="T55" s="464"/>
      <c r="U55" s="464"/>
      <c r="V55" s="464"/>
      <c r="W55" s="464"/>
      <c r="X55" s="464"/>
      <c r="Y55" s="464"/>
      <c r="Z55" s="464"/>
      <c r="AA55" s="464"/>
      <c r="AB55" s="464"/>
      <c r="AC55" s="464"/>
      <c r="AD55" s="464"/>
      <c r="AE55" s="464"/>
      <c r="AF55" s="464"/>
      <c r="AG55" s="464"/>
      <c r="AH55" s="464"/>
      <c r="AI55" s="464"/>
      <c r="AJ55" s="464"/>
      <c r="AK55" s="464"/>
      <c r="AL55" s="464"/>
      <c r="AM55" s="464"/>
      <c r="AN55" s="464"/>
    </row>
    <row r="56" spans="1:40" x14ac:dyDescent="0.25">
      <c r="C56" s="461"/>
      <c r="D56" s="461"/>
      <c r="E56" s="461"/>
      <c r="F56" s="462"/>
      <c r="G56" s="461"/>
      <c r="H56" s="461"/>
      <c r="I56" s="461"/>
      <c r="J56" s="461"/>
      <c r="K56" s="463"/>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4"/>
      <c r="AM56" s="464"/>
      <c r="AN56" s="464"/>
    </row>
    <row r="57" spans="1:40" x14ac:dyDescent="0.25">
      <c r="C57" s="461"/>
      <c r="D57" s="461"/>
      <c r="E57" s="461"/>
      <c r="F57" s="462"/>
      <c r="G57" s="461"/>
      <c r="H57" s="461"/>
      <c r="I57" s="461"/>
      <c r="J57" s="461"/>
      <c r="K57" s="463"/>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row>
    <row r="58" spans="1:40" x14ac:dyDescent="0.25">
      <c r="K58" s="463"/>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4"/>
      <c r="AM58" s="464"/>
      <c r="AN58" s="464"/>
    </row>
    <row r="59" spans="1:40" x14ac:dyDescent="0.25">
      <c r="K59" s="463"/>
      <c r="L59" s="464"/>
      <c r="M59" s="464"/>
      <c r="N59" s="464"/>
      <c r="O59" s="464"/>
      <c r="P59" s="464"/>
      <c r="Q59" s="464"/>
      <c r="R59" s="464"/>
      <c r="S59" s="464"/>
      <c r="T59" s="464"/>
      <c r="U59" s="464"/>
      <c r="V59" s="464"/>
      <c r="W59" s="464"/>
      <c r="X59" s="464"/>
      <c r="Y59" s="464"/>
      <c r="Z59" s="464"/>
      <c r="AA59" s="464"/>
      <c r="AB59" s="464"/>
      <c r="AC59" s="464"/>
      <c r="AD59" s="464"/>
      <c r="AE59" s="464"/>
      <c r="AF59" s="464"/>
      <c r="AG59" s="464"/>
      <c r="AH59" s="464"/>
      <c r="AI59" s="464"/>
      <c r="AJ59" s="464"/>
      <c r="AK59" s="464"/>
      <c r="AL59" s="464"/>
      <c r="AM59" s="464"/>
      <c r="AN59" s="464"/>
    </row>
    <row r="60" spans="1:40" x14ac:dyDescent="0.25">
      <c r="K60" s="463"/>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4"/>
      <c r="AJ60" s="464"/>
      <c r="AK60" s="464"/>
      <c r="AL60" s="464"/>
      <c r="AM60" s="464"/>
      <c r="AN60" s="464"/>
    </row>
    <row r="61" spans="1:40" x14ac:dyDescent="0.25">
      <c r="K61" s="463"/>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c r="AJ61" s="464"/>
      <c r="AK61" s="464"/>
      <c r="AL61" s="464"/>
      <c r="AM61" s="464"/>
      <c r="AN61" s="464"/>
    </row>
    <row r="62" spans="1:40" x14ac:dyDescent="0.25">
      <c r="K62" s="463"/>
      <c r="L62" s="464"/>
      <c r="M62" s="464"/>
      <c r="N62" s="464"/>
      <c r="O62" s="464"/>
      <c r="P62" s="464"/>
      <c r="Q62" s="464"/>
      <c r="R62" s="464"/>
      <c r="S62" s="464"/>
      <c r="T62" s="464"/>
      <c r="U62" s="464"/>
      <c r="V62" s="464"/>
      <c r="W62" s="464"/>
      <c r="X62" s="464"/>
      <c r="Y62" s="464"/>
      <c r="Z62" s="464"/>
      <c r="AA62" s="464"/>
      <c r="AB62" s="464"/>
      <c r="AC62" s="464"/>
      <c r="AD62" s="464"/>
      <c r="AE62" s="464"/>
      <c r="AF62" s="464"/>
      <c r="AG62" s="464"/>
      <c r="AH62" s="464"/>
      <c r="AI62" s="464"/>
      <c r="AJ62" s="464"/>
      <c r="AK62" s="464"/>
      <c r="AL62" s="464"/>
      <c r="AM62" s="464"/>
      <c r="AN62" s="464"/>
    </row>
    <row r="63" spans="1:40" x14ac:dyDescent="0.25">
      <c r="K63" s="463"/>
      <c r="L63" s="464"/>
      <c r="M63" s="464"/>
      <c r="N63" s="464"/>
      <c r="O63" s="464"/>
      <c r="P63" s="464"/>
      <c r="Q63" s="464"/>
      <c r="R63" s="464"/>
      <c r="S63" s="464"/>
      <c r="T63" s="464"/>
      <c r="U63" s="464"/>
      <c r="V63" s="464"/>
      <c r="W63" s="464"/>
      <c r="X63" s="464"/>
      <c r="Y63" s="464"/>
      <c r="Z63" s="464"/>
      <c r="AA63" s="464"/>
      <c r="AB63" s="464"/>
      <c r="AC63" s="464"/>
      <c r="AD63" s="464"/>
      <c r="AE63" s="464"/>
      <c r="AF63" s="464"/>
      <c r="AG63" s="464"/>
      <c r="AH63" s="464"/>
      <c r="AI63" s="464"/>
      <c r="AJ63" s="464"/>
      <c r="AK63" s="464"/>
      <c r="AL63" s="464"/>
      <c r="AM63" s="464"/>
      <c r="AN63" s="464"/>
    </row>
    <row r="64" spans="1:40" x14ac:dyDescent="0.25">
      <c r="K64" s="463"/>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464"/>
      <c r="AN64" s="464"/>
    </row>
    <row r="65" spans="11:40" x14ac:dyDescent="0.25">
      <c r="K65" s="463"/>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row>
    <row r="66" spans="11:40" x14ac:dyDescent="0.25">
      <c r="K66" s="463"/>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464"/>
      <c r="AK66" s="464"/>
      <c r="AL66" s="464"/>
      <c r="AM66" s="464"/>
      <c r="AN66" s="464"/>
    </row>
    <row r="67" spans="11:40" x14ac:dyDescent="0.25">
      <c r="K67" s="463"/>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4"/>
    </row>
    <row r="68" spans="11:40" x14ac:dyDescent="0.25">
      <c r="K68" s="463"/>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row>
    <row r="69" spans="11:40" x14ac:dyDescent="0.25">
      <c r="K69" s="463"/>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c r="AK69" s="464"/>
      <c r="AL69" s="464"/>
      <c r="AM69" s="464"/>
      <c r="AN69" s="464"/>
    </row>
    <row r="70" spans="11:40" x14ac:dyDescent="0.25">
      <c r="K70" s="463"/>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464"/>
      <c r="AL70" s="464"/>
      <c r="AM70" s="464"/>
      <c r="AN70" s="464"/>
    </row>
    <row r="71" spans="11:40" x14ac:dyDescent="0.25">
      <c r="K71" s="463"/>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row>
    <row r="72" spans="11:40" x14ac:dyDescent="0.25">
      <c r="K72" s="463"/>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row>
    <row r="73" spans="11:40" x14ac:dyDescent="0.25">
      <c r="K73" s="463"/>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row>
    <row r="74" spans="11:40" x14ac:dyDescent="0.25">
      <c r="K74" s="463"/>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row>
    <row r="75" spans="11:40" x14ac:dyDescent="0.25">
      <c r="K75" s="463"/>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row>
    <row r="76" spans="11:40" x14ac:dyDescent="0.25">
      <c r="K76" s="463"/>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row>
    <row r="77" spans="11:40" x14ac:dyDescent="0.25">
      <c r="K77" s="463"/>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row>
    <row r="78" spans="11:40" x14ac:dyDescent="0.25">
      <c r="K78" s="463"/>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row>
    <row r="79" spans="11:40" x14ac:dyDescent="0.25">
      <c r="K79" s="463"/>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row>
    <row r="80" spans="11:40" x14ac:dyDescent="0.25">
      <c r="K80" s="463"/>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row>
    <row r="81" spans="11:40" x14ac:dyDescent="0.25">
      <c r="K81" s="463"/>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row>
    <row r="82" spans="11:40" x14ac:dyDescent="0.25">
      <c r="K82" s="463"/>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464"/>
      <c r="AJ82" s="464"/>
      <c r="AK82" s="464"/>
      <c r="AL82" s="464"/>
      <c r="AM82" s="464"/>
      <c r="AN82" s="464"/>
    </row>
    <row r="83" spans="11:40" x14ac:dyDescent="0.25">
      <c r="K83" s="463"/>
      <c r="L83" s="464"/>
      <c r="M83" s="464"/>
      <c r="N83" s="464"/>
      <c r="O83" s="464"/>
      <c r="P83" s="464"/>
      <c r="Q83" s="464"/>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row>
    <row r="84" spans="11:40" x14ac:dyDescent="0.25">
      <c r="K84" s="463"/>
      <c r="L84" s="464"/>
      <c r="M84" s="464"/>
      <c r="N84" s="464"/>
      <c r="O84" s="464"/>
      <c r="P84" s="464"/>
      <c r="Q84" s="464"/>
      <c r="R84" s="464"/>
      <c r="S84" s="464"/>
      <c r="T84" s="464"/>
      <c r="U84" s="464"/>
      <c r="V84" s="464"/>
      <c r="W84" s="464"/>
      <c r="X84" s="464"/>
      <c r="Y84" s="464"/>
      <c r="Z84" s="464"/>
      <c r="AA84" s="464"/>
      <c r="AB84" s="464"/>
      <c r="AC84" s="464"/>
      <c r="AD84" s="464"/>
      <c r="AE84" s="464"/>
      <c r="AF84" s="464"/>
      <c r="AG84" s="464"/>
      <c r="AH84" s="464"/>
      <c r="AI84" s="464"/>
      <c r="AJ84" s="464"/>
      <c r="AK84" s="464"/>
      <c r="AL84" s="464"/>
      <c r="AM84" s="464"/>
      <c r="AN84" s="464"/>
    </row>
    <row r="85" spans="11:40" x14ac:dyDescent="0.25">
      <c r="K85" s="463"/>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row>
    <row r="86" spans="11:40" x14ac:dyDescent="0.25">
      <c r="K86" s="463"/>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row>
    <row r="87" spans="11:40" x14ac:dyDescent="0.25">
      <c r="K87" s="463"/>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row>
    <row r="88" spans="11:40" x14ac:dyDescent="0.25">
      <c r="K88" s="463"/>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c r="AN88" s="464"/>
    </row>
    <row r="89" spans="11:40" x14ac:dyDescent="0.25">
      <c r="K89" s="463"/>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464"/>
    </row>
    <row r="90" spans="11:40" x14ac:dyDescent="0.25">
      <c r="K90" s="463"/>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row>
    <row r="91" spans="11:40" x14ac:dyDescent="0.25">
      <c r="K91" s="463"/>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c r="AL91" s="464"/>
      <c r="AM91" s="464"/>
      <c r="AN91" s="464"/>
    </row>
    <row r="92" spans="11:40" x14ac:dyDescent="0.25">
      <c r="K92" s="463"/>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c r="AK92" s="464"/>
      <c r="AL92" s="464"/>
      <c r="AM92" s="464"/>
      <c r="AN92" s="464"/>
    </row>
    <row r="93" spans="11:40" x14ac:dyDescent="0.25">
      <c r="K93" s="463"/>
      <c r="L93" s="464"/>
      <c r="M93" s="464"/>
      <c r="N93" s="464"/>
      <c r="O93" s="464"/>
      <c r="P93" s="464"/>
      <c r="Q93" s="464"/>
      <c r="R93" s="464"/>
      <c r="S93" s="464"/>
      <c r="T93" s="464"/>
      <c r="U93" s="464"/>
      <c r="V93" s="464"/>
      <c r="W93" s="464"/>
      <c r="X93" s="464"/>
      <c r="Y93" s="464"/>
      <c r="Z93" s="464"/>
      <c r="AA93" s="464"/>
      <c r="AB93" s="464"/>
      <c r="AC93" s="464"/>
      <c r="AD93" s="464"/>
      <c r="AE93" s="464"/>
      <c r="AF93" s="464"/>
      <c r="AG93" s="464"/>
      <c r="AH93" s="464"/>
      <c r="AI93" s="464"/>
      <c r="AJ93" s="464"/>
      <c r="AK93" s="464"/>
      <c r="AL93" s="464"/>
      <c r="AM93" s="464"/>
      <c r="AN93" s="464"/>
    </row>
    <row r="94" spans="11:40" x14ac:dyDescent="0.25">
      <c r="K94" s="463"/>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4"/>
      <c r="AK94" s="464"/>
      <c r="AL94" s="464"/>
      <c r="AM94" s="464"/>
      <c r="AN94" s="464"/>
    </row>
    <row r="95" spans="11:40" x14ac:dyDescent="0.25">
      <c r="K95" s="463"/>
      <c r="L95" s="464"/>
      <c r="M95" s="464"/>
      <c r="N95" s="464"/>
      <c r="O95" s="464"/>
      <c r="P95" s="464"/>
      <c r="Q95" s="464"/>
      <c r="R95" s="464"/>
      <c r="S95" s="464"/>
      <c r="T95" s="464"/>
      <c r="U95" s="464"/>
      <c r="V95" s="464"/>
      <c r="W95" s="464"/>
      <c r="X95" s="464"/>
      <c r="Y95" s="464"/>
      <c r="Z95" s="464"/>
      <c r="AA95" s="464"/>
      <c r="AB95" s="464"/>
      <c r="AC95" s="464"/>
      <c r="AD95" s="464"/>
      <c r="AE95" s="464"/>
      <c r="AF95" s="464"/>
      <c r="AG95" s="464"/>
      <c r="AH95" s="464"/>
      <c r="AI95" s="464"/>
      <c r="AJ95" s="464"/>
      <c r="AK95" s="464"/>
      <c r="AL95" s="464"/>
      <c r="AM95" s="464"/>
      <c r="AN95" s="464"/>
    </row>
    <row r="96" spans="11:40" x14ac:dyDescent="0.25">
      <c r="K96" s="463"/>
      <c r="L96" s="464"/>
      <c r="M96" s="464"/>
      <c r="N96" s="464"/>
      <c r="O96" s="464"/>
      <c r="P96" s="464"/>
      <c r="Q96" s="464"/>
      <c r="R96" s="464"/>
      <c r="S96" s="464"/>
      <c r="T96" s="464"/>
      <c r="U96" s="464"/>
      <c r="V96" s="464"/>
      <c r="W96" s="464"/>
      <c r="X96" s="464"/>
      <c r="Y96" s="464"/>
      <c r="Z96" s="464"/>
      <c r="AA96" s="464"/>
      <c r="AB96" s="464"/>
      <c r="AC96" s="464"/>
      <c r="AD96" s="464"/>
      <c r="AE96" s="464"/>
      <c r="AF96" s="464"/>
      <c r="AG96" s="464"/>
      <c r="AH96" s="464"/>
      <c r="AI96" s="464"/>
      <c r="AJ96" s="464"/>
      <c r="AK96" s="464"/>
      <c r="AL96" s="464"/>
      <c r="AM96" s="464"/>
      <c r="AN96" s="464"/>
    </row>
    <row r="97" spans="11:40" x14ac:dyDescent="0.25">
      <c r="K97" s="463"/>
      <c r="L97" s="464"/>
      <c r="M97" s="464"/>
      <c r="N97" s="464"/>
      <c r="O97" s="464"/>
      <c r="P97" s="464"/>
      <c r="Q97" s="464"/>
      <c r="R97" s="464"/>
      <c r="S97" s="464"/>
      <c r="T97" s="464"/>
      <c r="U97" s="464"/>
      <c r="V97" s="464"/>
      <c r="W97" s="464"/>
      <c r="X97" s="464"/>
      <c r="Y97" s="464"/>
      <c r="Z97" s="464"/>
      <c r="AA97" s="464"/>
      <c r="AB97" s="464"/>
      <c r="AC97" s="464"/>
      <c r="AD97" s="464"/>
      <c r="AE97" s="464"/>
      <c r="AF97" s="464"/>
      <c r="AG97" s="464"/>
      <c r="AH97" s="464"/>
      <c r="AI97" s="464"/>
      <c r="AJ97" s="464"/>
      <c r="AK97" s="464"/>
      <c r="AL97" s="464"/>
      <c r="AM97" s="464"/>
      <c r="AN97" s="464"/>
    </row>
    <row r="98" spans="11:40" x14ac:dyDescent="0.25">
      <c r="K98" s="463"/>
      <c r="L98" s="464"/>
      <c r="M98" s="464"/>
      <c r="N98" s="464"/>
      <c r="O98" s="464"/>
      <c r="P98" s="464"/>
      <c r="Q98" s="464"/>
      <c r="R98" s="464"/>
      <c r="S98" s="464"/>
      <c r="T98" s="464"/>
      <c r="U98" s="464"/>
      <c r="V98" s="464"/>
      <c r="W98" s="464"/>
      <c r="X98" s="464"/>
      <c r="Y98" s="464"/>
      <c r="Z98" s="464"/>
      <c r="AA98" s="464"/>
      <c r="AB98" s="464"/>
      <c r="AC98" s="464"/>
      <c r="AD98" s="464"/>
      <c r="AE98" s="464"/>
      <c r="AF98" s="464"/>
      <c r="AG98" s="464"/>
      <c r="AH98" s="464"/>
      <c r="AI98" s="464"/>
      <c r="AJ98" s="464"/>
      <c r="AK98" s="464"/>
      <c r="AL98" s="464"/>
      <c r="AM98" s="464"/>
      <c r="AN98" s="464"/>
    </row>
    <row r="99" spans="11:40" x14ac:dyDescent="0.25">
      <c r="K99" s="463"/>
      <c r="L99" s="464"/>
      <c r="M99" s="464"/>
      <c r="N99" s="464"/>
      <c r="O99" s="464"/>
      <c r="P99" s="464"/>
      <c r="Q99" s="464"/>
      <c r="R99" s="464"/>
      <c r="S99" s="464"/>
      <c r="T99" s="464"/>
      <c r="U99" s="464"/>
      <c r="V99" s="464"/>
      <c r="W99" s="464"/>
      <c r="X99" s="464"/>
      <c r="Y99" s="464"/>
      <c r="Z99" s="464"/>
      <c r="AA99" s="464"/>
      <c r="AB99" s="464"/>
      <c r="AC99" s="464"/>
      <c r="AD99" s="464"/>
      <c r="AE99" s="464"/>
      <c r="AF99" s="464"/>
      <c r="AG99" s="464"/>
      <c r="AH99" s="464"/>
      <c r="AI99" s="464"/>
      <c r="AJ99" s="464"/>
      <c r="AK99" s="464"/>
      <c r="AL99" s="464"/>
      <c r="AM99" s="464"/>
      <c r="AN99" s="464"/>
    </row>
    <row r="100" spans="11:40" x14ac:dyDescent="0.25">
      <c r="K100" s="463"/>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row>
    <row r="101" spans="11:40" x14ac:dyDescent="0.25">
      <c r="K101" s="463"/>
      <c r="L101" s="464"/>
      <c r="M101" s="464"/>
      <c r="N101" s="464"/>
      <c r="O101" s="464"/>
      <c r="P101" s="464"/>
      <c r="Q101" s="464"/>
      <c r="R101" s="464"/>
      <c r="S101" s="464"/>
      <c r="T101" s="464"/>
      <c r="U101" s="464"/>
      <c r="V101" s="464"/>
      <c r="W101" s="464"/>
      <c r="X101" s="464"/>
      <c r="Y101" s="464"/>
      <c r="Z101" s="464"/>
      <c r="AA101" s="464"/>
      <c r="AB101" s="464"/>
      <c r="AC101" s="464"/>
      <c r="AD101" s="464"/>
      <c r="AE101" s="464"/>
      <c r="AF101" s="464"/>
      <c r="AG101" s="464"/>
      <c r="AH101" s="464"/>
      <c r="AI101" s="464"/>
      <c r="AJ101" s="464"/>
      <c r="AK101" s="464"/>
      <c r="AL101" s="464"/>
      <c r="AM101" s="464"/>
      <c r="AN101" s="464"/>
    </row>
    <row r="102" spans="11:40" x14ac:dyDescent="0.25">
      <c r="K102" s="463"/>
      <c r="L102" s="464"/>
      <c r="M102" s="464"/>
      <c r="N102" s="464"/>
      <c r="O102" s="464"/>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row>
    <row r="103" spans="11:40" x14ac:dyDescent="0.25">
      <c r="K103" s="463"/>
      <c r="L103" s="464"/>
      <c r="M103" s="464"/>
      <c r="N103" s="464"/>
      <c r="O103" s="464"/>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row>
    <row r="104" spans="11:40" x14ac:dyDescent="0.25">
      <c r="K104" s="463"/>
      <c r="L104" s="464"/>
      <c r="M104" s="464"/>
      <c r="N104" s="464"/>
      <c r="O104" s="464"/>
      <c r="P104" s="464"/>
      <c r="Q104" s="464"/>
      <c r="R104" s="464"/>
      <c r="S104" s="464"/>
      <c r="T104" s="464"/>
      <c r="U104" s="464"/>
      <c r="V104" s="464"/>
      <c r="W104" s="464"/>
      <c r="X104" s="464"/>
      <c r="Y104" s="464"/>
      <c r="Z104" s="464"/>
      <c r="AA104" s="464"/>
      <c r="AB104" s="464"/>
      <c r="AC104" s="464"/>
      <c r="AD104" s="464"/>
      <c r="AE104" s="464"/>
      <c r="AF104" s="464"/>
      <c r="AG104" s="464"/>
      <c r="AH104" s="464"/>
      <c r="AI104" s="464"/>
      <c r="AJ104" s="464"/>
      <c r="AK104" s="464"/>
      <c r="AL104" s="464"/>
      <c r="AM104" s="464"/>
      <c r="AN104" s="464"/>
    </row>
    <row r="105" spans="11:40" x14ac:dyDescent="0.25">
      <c r="K105" s="463"/>
      <c r="L105" s="464"/>
      <c r="M105" s="464"/>
      <c r="N105" s="464"/>
      <c r="O105" s="464"/>
      <c r="P105" s="464"/>
      <c r="Q105" s="464"/>
      <c r="R105" s="464"/>
      <c r="S105" s="464"/>
      <c r="T105" s="464"/>
      <c r="U105" s="464"/>
      <c r="V105" s="464"/>
      <c r="W105" s="464"/>
      <c r="X105" s="464"/>
      <c r="Y105" s="464"/>
      <c r="Z105" s="464"/>
      <c r="AA105" s="464"/>
      <c r="AB105" s="464"/>
      <c r="AC105" s="464"/>
      <c r="AD105" s="464"/>
      <c r="AE105" s="464"/>
      <c r="AF105" s="464"/>
      <c r="AG105" s="464"/>
      <c r="AH105" s="464"/>
      <c r="AI105" s="464"/>
      <c r="AJ105" s="464"/>
      <c r="AK105" s="464"/>
      <c r="AL105" s="464"/>
      <c r="AM105" s="464"/>
      <c r="AN105" s="464"/>
    </row>
    <row r="106" spans="11:40" x14ac:dyDescent="0.25">
      <c r="K106" s="463"/>
      <c r="L106" s="464"/>
      <c r="M106" s="464"/>
      <c r="N106" s="464"/>
      <c r="O106" s="464"/>
      <c r="P106" s="464"/>
      <c r="Q106" s="464"/>
      <c r="R106" s="464"/>
      <c r="S106" s="464"/>
      <c r="T106" s="464"/>
      <c r="U106" s="464"/>
      <c r="V106" s="464"/>
      <c r="W106" s="464"/>
      <c r="X106" s="464"/>
      <c r="Y106" s="464"/>
      <c r="Z106" s="464"/>
      <c r="AA106" s="464"/>
      <c r="AB106" s="464"/>
      <c r="AC106" s="464"/>
      <c r="AD106" s="464"/>
      <c r="AE106" s="464"/>
      <c r="AF106" s="464"/>
      <c r="AG106" s="464"/>
      <c r="AH106" s="464"/>
      <c r="AI106" s="464"/>
      <c r="AJ106" s="464"/>
      <c r="AK106" s="464"/>
      <c r="AL106" s="464"/>
      <c r="AM106" s="464"/>
      <c r="AN106" s="464"/>
    </row>
    <row r="107" spans="11:40" x14ac:dyDescent="0.25">
      <c r="K107" s="463"/>
      <c r="L107" s="464"/>
      <c r="M107" s="464"/>
      <c r="N107" s="464"/>
      <c r="O107" s="464"/>
      <c r="P107" s="464"/>
      <c r="Q107" s="464"/>
      <c r="R107" s="464"/>
      <c r="S107" s="464"/>
      <c r="T107" s="464"/>
      <c r="U107" s="464"/>
      <c r="V107" s="464"/>
      <c r="W107" s="464"/>
      <c r="X107" s="464"/>
      <c r="Y107" s="464"/>
      <c r="Z107" s="464"/>
      <c r="AA107" s="464"/>
      <c r="AB107" s="464"/>
      <c r="AC107" s="464"/>
      <c r="AD107" s="464"/>
      <c r="AE107" s="464"/>
      <c r="AF107" s="464"/>
      <c r="AG107" s="464"/>
      <c r="AH107" s="464"/>
      <c r="AI107" s="464"/>
      <c r="AJ107" s="464"/>
      <c r="AK107" s="464"/>
      <c r="AL107" s="464"/>
      <c r="AM107" s="464"/>
      <c r="AN107" s="464"/>
    </row>
    <row r="108" spans="11:40" x14ac:dyDescent="0.25">
      <c r="K108" s="463"/>
      <c r="L108" s="464"/>
      <c r="M108" s="464"/>
      <c r="N108" s="464"/>
      <c r="O108" s="464"/>
      <c r="P108" s="464"/>
      <c r="Q108" s="464"/>
      <c r="R108" s="464"/>
      <c r="S108" s="464"/>
      <c r="T108" s="464"/>
      <c r="U108" s="464"/>
      <c r="V108" s="464"/>
      <c r="W108" s="464"/>
      <c r="X108" s="464"/>
      <c r="Y108" s="464"/>
      <c r="Z108" s="464"/>
      <c r="AA108" s="464"/>
      <c r="AB108" s="464"/>
      <c r="AC108" s="464"/>
      <c r="AD108" s="464"/>
      <c r="AE108" s="464"/>
      <c r="AF108" s="464"/>
      <c r="AG108" s="464"/>
      <c r="AH108" s="464"/>
      <c r="AI108" s="464"/>
      <c r="AJ108" s="464"/>
      <c r="AK108" s="464"/>
      <c r="AL108" s="464"/>
      <c r="AM108" s="464"/>
      <c r="AN108" s="464"/>
    </row>
    <row r="109" spans="11:40" x14ac:dyDescent="0.25">
      <c r="K109" s="463"/>
      <c r="L109" s="464"/>
      <c r="M109" s="464"/>
      <c r="N109" s="464"/>
      <c r="O109" s="464"/>
      <c r="P109" s="464"/>
      <c r="Q109" s="464"/>
      <c r="R109" s="464"/>
      <c r="S109" s="464"/>
      <c r="T109" s="464"/>
      <c r="U109" s="464"/>
      <c r="V109" s="464"/>
      <c r="W109" s="464"/>
      <c r="X109" s="464"/>
      <c r="Y109" s="464"/>
      <c r="Z109" s="464"/>
      <c r="AA109" s="464"/>
      <c r="AB109" s="464"/>
      <c r="AC109" s="464"/>
      <c r="AD109" s="464"/>
      <c r="AE109" s="464"/>
      <c r="AF109" s="464"/>
      <c r="AG109" s="464"/>
      <c r="AH109" s="464"/>
      <c r="AI109" s="464"/>
      <c r="AJ109" s="464"/>
      <c r="AK109" s="464"/>
      <c r="AL109" s="464"/>
      <c r="AM109" s="464"/>
      <c r="AN109" s="464"/>
    </row>
    <row r="110" spans="11:40" x14ac:dyDescent="0.25">
      <c r="K110" s="463"/>
      <c r="L110" s="464"/>
      <c r="M110" s="464"/>
      <c r="N110" s="464"/>
      <c r="O110" s="464"/>
      <c r="P110" s="464"/>
      <c r="Q110" s="464"/>
      <c r="R110" s="464"/>
      <c r="S110" s="464"/>
      <c r="T110" s="464"/>
      <c r="U110" s="464"/>
      <c r="V110" s="464"/>
      <c r="W110" s="464"/>
      <c r="X110" s="464"/>
      <c r="Y110" s="464"/>
      <c r="Z110" s="464"/>
      <c r="AA110" s="464"/>
      <c r="AB110" s="464"/>
      <c r="AC110" s="464"/>
      <c r="AD110" s="464"/>
      <c r="AE110" s="464"/>
      <c r="AF110" s="464"/>
      <c r="AG110" s="464"/>
      <c r="AH110" s="464"/>
      <c r="AI110" s="464"/>
      <c r="AJ110" s="464"/>
      <c r="AK110" s="464"/>
      <c r="AL110" s="464"/>
      <c r="AM110" s="464"/>
      <c r="AN110" s="464"/>
    </row>
    <row r="111" spans="11:40" x14ac:dyDescent="0.25">
      <c r="K111" s="463"/>
      <c r="L111" s="464"/>
      <c r="M111" s="464"/>
      <c r="N111" s="464"/>
      <c r="O111" s="464"/>
      <c r="P111" s="464"/>
      <c r="Q111" s="46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row>
    <row r="112" spans="11:40" x14ac:dyDescent="0.25">
      <c r="K112" s="463"/>
      <c r="L112" s="464"/>
      <c r="M112" s="464"/>
      <c r="N112" s="464"/>
      <c r="O112" s="464"/>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row>
    <row r="113" spans="11:40" x14ac:dyDescent="0.25">
      <c r="K113" s="463"/>
      <c r="L113" s="464"/>
      <c r="M113" s="464"/>
      <c r="N113" s="464"/>
      <c r="O113" s="464"/>
      <c r="P113" s="464"/>
      <c r="Q113" s="464"/>
      <c r="R113" s="464"/>
      <c r="S113" s="464"/>
      <c r="T113" s="464"/>
      <c r="U113" s="464"/>
      <c r="V113" s="464"/>
      <c r="W113" s="464"/>
      <c r="X113" s="464"/>
      <c r="Y113" s="464"/>
      <c r="Z113" s="464"/>
      <c r="AA113" s="464"/>
      <c r="AB113" s="464"/>
      <c r="AC113" s="464"/>
      <c r="AD113" s="464"/>
      <c r="AE113" s="464"/>
      <c r="AF113" s="464"/>
      <c r="AG113" s="464"/>
      <c r="AH113" s="464"/>
      <c r="AI113" s="464"/>
      <c r="AJ113" s="464"/>
      <c r="AK113" s="464"/>
      <c r="AL113" s="464"/>
      <c r="AM113" s="464"/>
      <c r="AN113" s="464"/>
    </row>
    <row r="114" spans="11:40" x14ac:dyDescent="0.25">
      <c r="K114" s="463"/>
      <c r="L114" s="464"/>
      <c r="M114" s="464"/>
      <c r="N114" s="464"/>
      <c r="O114" s="464"/>
      <c r="P114" s="464"/>
      <c r="Q114" s="464"/>
      <c r="R114" s="464"/>
      <c r="S114" s="464"/>
      <c r="T114" s="464"/>
      <c r="U114" s="464"/>
      <c r="V114" s="464"/>
      <c r="W114" s="464"/>
      <c r="X114" s="464"/>
      <c r="Y114" s="464"/>
      <c r="Z114" s="464"/>
      <c r="AA114" s="464"/>
      <c r="AB114" s="464"/>
      <c r="AC114" s="464"/>
      <c r="AD114" s="464"/>
      <c r="AE114" s="464"/>
      <c r="AF114" s="464"/>
      <c r="AG114" s="464"/>
      <c r="AH114" s="464"/>
      <c r="AI114" s="464"/>
      <c r="AJ114" s="464"/>
      <c r="AK114" s="464"/>
      <c r="AL114" s="464"/>
      <c r="AM114" s="464"/>
      <c r="AN114" s="464"/>
    </row>
    <row r="115" spans="11:40" x14ac:dyDescent="0.25">
      <c r="K115" s="463"/>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464"/>
      <c r="AJ115" s="464"/>
      <c r="AK115" s="464"/>
      <c r="AL115" s="464"/>
      <c r="AM115" s="464"/>
      <c r="AN115" s="464"/>
    </row>
    <row r="116" spans="11:40" x14ac:dyDescent="0.25">
      <c r="K116" s="463"/>
      <c r="L116" s="464"/>
      <c r="M116" s="464"/>
      <c r="N116" s="464"/>
      <c r="O116" s="464"/>
      <c r="P116" s="464"/>
      <c r="Q116" s="464"/>
      <c r="R116" s="464"/>
      <c r="S116" s="464"/>
      <c r="T116" s="464"/>
      <c r="U116" s="464"/>
      <c r="V116" s="464"/>
      <c r="W116" s="464"/>
      <c r="X116" s="464"/>
      <c r="Y116" s="464"/>
      <c r="Z116" s="464"/>
      <c r="AA116" s="464"/>
      <c r="AB116" s="464"/>
      <c r="AC116" s="464"/>
      <c r="AD116" s="464"/>
      <c r="AE116" s="464"/>
      <c r="AF116" s="464"/>
      <c r="AG116" s="464"/>
      <c r="AH116" s="464"/>
      <c r="AI116" s="464"/>
      <c r="AJ116" s="464"/>
      <c r="AK116" s="464"/>
      <c r="AL116" s="464"/>
      <c r="AM116" s="464"/>
      <c r="AN116" s="464"/>
    </row>
    <row r="117" spans="11:40" x14ac:dyDescent="0.25">
      <c r="K117" s="463"/>
      <c r="L117" s="464"/>
      <c r="M117" s="464"/>
      <c r="N117" s="464"/>
      <c r="O117" s="464"/>
      <c r="P117" s="464"/>
      <c r="Q117" s="464"/>
      <c r="R117" s="464"/>
      <c r="S117" s="464"/>
      <c r="T117" s="464"/>
      <c r="U117" s="464"/>
      <c r="V117" s="464"/>
      <c r="W117" s="464"/>
      <c r="X117" s="464"/>
      <c r="Y117" s="464"/>
      <c r="Z117" s="464"/>
      <c r="AA117" s="464"/>
      <c r="AB117" s="464"/>
      <c r="AC117" s="464"/>
      <c r="AD117" s="464"/>
      <c r="AE117" s="464"/>
      <c r="AF117" s="464"/>
      <c r="AG117" s="464"/>
      <c r="AH117" s="464"/>
      <c r="AI117" s="464"/>
      <c r="AJ117" s="464"/>
      <c r="AK117" s="464"/>
      <c r="AL117" s="464"/>
      <c r="AM117" s="464"/>
      <c r="AN117" s="464"/>
    </row>
    <row r="118" spans="11:40" x14ac:dyDescent="0.25">
      <c r="K118" s="463"/>
      <c r="L118" s="464"/>
      <c r="M118" s="464"/>
      <c r="N118" s="464"/>
      <c r="O118" s="464"/>
      <c r="P118" s="464"/>
      <c r="Q118" s="464"/>
      <c r="R118" s="464"/>
      <c r="S118" s="464"/>
      <c r="T118" s="464"/>
      <c r="U118" s="464"/>
      <c r="V118" s="464"/>
      <c r="W118" s="464"/>
      <c r="X118" s="464"/>
      <c r="Y118" s="464"/>
      <c r="Z118" s="464"/>
      <c r="AA118" s="464"/>
      <c r="AB118" s="464"/>
      <c r="AC118" s="464"/>
      <c r="AD118" s="464"/>
      <c r="AE118" s="464"/>
      <c r="AF118" s="464"/>
      <c r="AG118" s="464"/>
      <c r="AH118" s="464"/>
      <c r="AI118" s="464"/>
      <c r="AJ118" s="464"/>
      <c r="AK118" s="464"/>
      <c r="AL118" s="464"/>
      <c r="AM118" s="464"/>
      <c r="AN118" s="464"/>
    </row>
  </sheetData>
  <mergeCells count="3">
    <mergeCell ref="B2:B4"/>
    <mergeCell ref="F2:H2"/>
    <mergeCell ref="A2:A3"/>
  </mergeCells>
  <phoneticPr fontId="3" type="noConversion"/>
  <printOptions horizontalCentered="1"/>
  <pageMargins left="0" right="0" top="0.78740157480314965" bottom="0.59055118110236227" header="0.51181102362204722" footer="0.51181102362204722"/>
  <pageSetup paperSize="9" scale="81"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pageSetUpPr fitToPage="1"/>
  </sheetPr>
  <dimension ref="A1:K70"/>
  <sheetViews>
    <sheetView showGridLines="0" zoomScaleNormal="100" workbookViewId="0">
      <pane xSplit="2" ySplit="4" topLeftCell="C11" activePane="bottomRight" state="frozen"/>
      <selection pane="topRight"/>
      <selection pane="bottomLeft"/>
      <selection pane="bottomRight" activeCell="D44" sqref="D44"/>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x14ac:dyDescent="0.25">
      <c r="A1" s="23" t="str">
        <f>muni&amp;" - "&amp;TableA15</f>
        <v>EC101 Dr Beyers Naude - Supporting Table SA15 Investment particulars by type</v>
      </c>
      <c r="B1" s="23"/>
      <c r="C1" s="23"/>
      <c r="D1" s="23"/>
      <c r="E1" s="23"/>
      <c r="F1" s="23"/>
      <c r="G1" s="23"/>
      <c r="H1" s="23"/>
      <c r="I1" s="23"/>
      <c r="J1" s="23"/>
      <c r="K1" s="23"/>
    </row>
    <row r="2" spans="1:11" ht="28.5" customHeight="1" x14ac:dyDescent="0.25">
      <c r="A2" s="1958" t="s">
        <v>513</v>
      </c>
      <c r="B2" s="1930" t="str">
        <f>head27</f>
        <v>Ref</v>
      </c>
      <c r="C2" s="21"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1959"/>
      <c r="B3" s="1933"/>
      <c r="C3" s="30" t="str">
        <f>Head5</f>
        <v>Audited Outcome</v>
      </c>
      <c r="D3" s="28" t="str">
        <f>Head5</f>
        <v>Audited Outcome</v>
      </c>
      <c r="E3" s="29" t="str">
        <f>Head5</f>
        <v>Audited Outcome</v>
      </c>
      <c r="F3" s="27" t="str">
        <f>Head6</f>
        <v>Original Budget</v>
      </c>
      <c r="G3" s="28" t="str">
        <f>Head7</f>
        <v>Adjusted Budget</v>
      </c>
      <c r="H3" s="29" t="str">
        <f>Head8</f>
        <v>Full Year Forecast</v>
      </c>
      <c r="I3" s="27" t="str">
        <f>Head9</f>
        <v>Budget Year 2019/20</v>
      </c>
      <c r="J3" s="28" t="str">
        <f>Head10</f>
        <v>Budget Year +1 2020/21</v>
      </c>
      <c r="K3" s="29" t="str">
        <f>Head11</f>
        <v>Budget Year +2 2021/22</v>
      </c>
    </row>
    <row r="4" spans="1:11" x14ac:dyDescent="0.25">
      <c r="A4" s="53" t="s">
        <v>573</v>
      </c>
      <c r="B4" s="1931"/>
      <c r="C4" s="15"/>
      <c r="D4" s="15"/>
      <c r="E4" s="32"/>
      <c r="F4" s="31"/>
      <c r="G4" s="15"/>
      <c r="H4" s="32"/>
      <c r="I4" s="31"/>
      <c r="J4" s="15"/>
      <c r="K4" s="32"/>
    </row>
    <row r="5" spans="1:11" x14ac:dyDescent="0.25">
      <c r="A5" s="54" t="s">
        <v>155</v>
      </c>
      <c r="B5" s="136"/>
      <c r="C5" s="226"/>
      <c r="D5" s="226"/>
      <c r="E5" s="77"/>
      <c r="F5" s="78"/>
      <c r="G5" s="226"/>
      <c r="H5" s="75"/>
      <c r="I5" s="180"/>
      <c r="J5" s="226"/>
      <c r="K5" s="77"/>
    </row>
    <row r="6" spans="1:11" ht="11.25" customHeight="1" x14ac:dyDescent="0.25">
      <c r="A6" s="63" t="s">
        <v>1392</v>
      </c>
      <c r="B6" s="55"/>
      <c r="C6" s="1316"/>
      <c r="D6" s="1316"/>
      <c r="E6" s="1325"/>
      <c r="F6" s="1326"/>
      <c r="G6" s="1316"/>
      <c r="H6" s="1327"/>
      <c r="I6" s="1318"/>
      <c r="J6" s="1316"/>
      <c r="K6" s="1325"/>
    </row>
    <row r="7" spans="1:11" ht="11.25" customHeight="1" x14ac:dyDescent="0.25">
      <c r="A7" s="63" t="s">
        <v>1393</v>
      </c>
      <c r="B7" s="55"/>
      <c r="C7" s="1316"/>
      <c r="D7" s="1316"/>
      <c r="E7" s="1325"/>
      <c r="F7" s="1326"/>
      <c r="G7" s="1316"/>
      <c r="H7" s="1327"/>
      <c r="I7" s="1318"/>
      <c r="J7" s="1316"/>
      <c r="K7" s="1325"/>
    </row>
    <row r="8" spans="1:11" ht="11.25" customHeight="1" x14ac:dyDescent="0.25">
      <c r="A8" s="63" t="s">
        <v>1395</v>
      </c>
      <c r="B8" s="55"/>
      <c r="C8" s="1316"/>
      <c r="D8" s="1316">
        <v>24542131</v>
      </c>
      <c r="E8" s="1325">
        <v>1002806</v>
      </c>
      <c r="F8" s="1326">
        <f>2648000+1050411</f>
        <v>3698411</v>
      </c>
      <c r="G8" s="1316">
        <v>3698411</v>
      </c>
      <c r="H8" s="1327">
        <v>3698411</v>
      </c>
      <c r="I8" s="1318">
        <f>1000000+2648000</f>
        <v>3648000</v>
      </c>
      <c r="J8" s="1316">
        <f>I8</f>
        <v>3648000</v>
      </c>
      <c r="K8" s="1325">
        <f>J8</f>
        <v>3648000</v>
      </c>
    </row>
    <row r="9" spans="1:11" ht="11.25" customHeight="1" x14ac:dyDescent="0.25">
      <c r="A9" s="63" t="s">
        <v>1394</v>
      </c>
      <c r="B9" s="55"/>
      <c r="C9" s="1316"/>
      <c r="D9" s="1316"/>
      <c r="E9" s="1325"/>
      <c r="F9" s="1326"/>
      <c r="G9" s="1316"/>
      <c r="H9" s="1327"/>
      <c r="I9" s="1318"/>
      <c r="J9" s="1316"/>
      <c r="K9" s="1325"/>
    </row>
    <row r="10" spans="1:11" ht="11.25" customHeight="1" x14ac:dyDescent="0.25">
      <c r="A10" s="63" t="s">
        <v>1396</v>
      </c>
      <c r="B10" s="55"/>
      <c r="C10" s="1316"/>
      <c r="D10" s="1316"/>
      <c r="E10" s="1325"/>
      <c r="F10" s="1326"/>
      <c r="G10" s="1316"/>
      <c r="H10" s="1327"/>
      <c r="I10" s="1318"/>
      <c r="J10" s="1316"/>
      <c r="K10" s="1325"/>
    </row>
    <row r="11" spans="1:11" ht="11.25" customHeight="1" x14ac:dyDescent="0.25">
      <c r="A11" s="63" t="s">
        <v>1397</v>
      </c>
      <c r="B11" s="55"/>
      <c r="C11" s="1316"/>
      <c r="D11" s="1316"/>
      <c r="E11" s="1325"/>
      <c r="F11" s="1326"/>
      <c r="G11" s="1316"/>
      <c r="H11" s="1327"/>
      <c r="I11" s="1318"/>
      <c r="J11" s="1316"/>
      <c r="K11" s="1325"/>
    </row>
    <row r="12" spans="1:11" ht="11.25" customHeight="1" x14ac:dyDescent="0.25">
      <c r="A12" s="63" t="s">
        <v>1398</v>
      </c>
      <c r="B12" s="55"/>
      <c r="C12" s="1316"/>
      <c r="D12" s="1316"/>
      <c r="E12" s="1325"/>
      <c r="F12" s="1326"/>
      <c r="G12" s="1316"/>
      <c r="H12" s="1327"/>
      <c r="I12" s="1318"/>
      <c r="J12" s="1316"/>
      <c r="K12" s="1325"/>
    </row>
    <row r="13" spans="1:11" ht="11.25" customHeight="1" x14ac:dyDescent="0.25">
      <c r="A13" s="63" t="s">
        <v>1399</v>
      </c>
      <c r="B13" s="55"/>
      <c r="C13" s="1316"/>
      <c r="D13" s="1316"/>
      <c r="E13" s="1325"/>
      <c r="F13" s="1326"/>
      <c r="G13" s="1316"/>
      <c r="H13" s="1327"/>
      <c r="I13" s="1318"/>
      <c r="J13" s="1316"/>
      <c r="K13" s="1325"/>
    </row>
    <row r="14" spans="1:11" ht="11.25" customHeight="1" x14ac:dyDescent="0.25">
      <c r="A14" s="63" t="s">
        <v>1400</v>
      </c>
      <c r="B14" s="55"/>
      <c r="C14" s="1316"/>
      <c r="D14" s="1316"/>
      <c r="E14" s="1325"/>
      <c r="F14" s="1326"/>
      <c r="G14" s="1316"/>
      <c r="H14" s="1327"/>
      <c r="I14" s="1318"/>
      <c r="J14" s="1316"/>
      <c r="K14" s="1325"/>
    </row>
    <row r="15" spans="1:11" ht="11.25" customHeight="1" x14ac:dyDescent="0.25">
      <c r="A15" s="63" t="s">
        <v>1401</v>
      </c>
      <c r="B15" s="55"/>
      <c r="C15" s="1316"/>
      <c r="D15" s="1316"/>
      <c r="E15" s="1325"/>
      <c r="F15" s="1326"/>
      <c r="G15" s="1316"/>
      <c r="H15" s="1327"/>
      <c r="I15" s="1318"/>
      <c r="J15" s="1316"/>
      <c r="K15" s="1325"/>
    </row>
    <row r="16" spans="1:11" ht="4.9000000000000004" customHeight="1" x14ac:dyDescent="0.25">
      <c r="A16" s="74"/>
      <c r="B16" s="55"/>
      <c r="C16" s="76"/>
      <c r="D16" s="76"/>
      <c r="E16" s="77"/>
      <c r="F16" s="78"/>
      <c r="G16" s="76"/>
      <c r="H16" s="75"/>
      <c r="I16" s="79"/>
      <c r="J16" s="76"/>
      <c r="K16" s="77"/>
    </row>
    <row r="17" spans="1:11" ht="11.25" customHeight="1" x14ac:dyDescent="0.25">
      <c r="A17" s="118" t="s">
        <v>154</v>
      </c>
      <c r="B17" s="55">
        <v>1</v>
      </c>
      <c r="C17" s="81">
        <f t="shared" ref="C17:K17" si="0">SUM(C6:C15)</f>
        <v>0</v>
      </c>
      <c r="D17" s="81">
        <f t="shared" si="0"/>
        <v>24542131</v>
      </c>
      <c r="E17" s="82">
        <f t="shared" si="0"/>
        <v>1002806</v>
      </c>
      <c r="F17" s="83">
        <f t="shared" si="0"/>
        <v>3698411</v>
      </c>
      <c r="G17" s="81">
        <f t="shared" si="0"/>
        <v>3698411</v>
      </c>
      <c r="H17" s="80">
        <f t="shared" si="0"/>
        <v>3698411</v>
      </c>
      <c r="I17" s="84">
        <f t="shared" si="0"/>
        <v>3648000</v>
      </c>
      <c r="J17" s="81">
        <f t="shared" si="0"/>
        <v>3648000</v>
      </c>
      <c r="K17" s="82">
        <f t="shared" si="0"/>
        <v>3648000</v>
      </c>
    </row>
    <row r="18" spans="1:11" ht="4.9000000000000004" customHeight="1" x14ac:dyDescent="0.25">
      <c r="A18" s="74"/>
      <c r="B18" s="55"/>
      <c r="C18" s="76"/>
      <c r="D18" s="76"/>
      <c r="E18" s="77"/>
      <c r="F18" s="78"/>
      <c r="G18" s="76"/>
      <c r="H18" s="75"/>
      <c r="I18" s="79"/>
      <c r="J18" s="76"/>
      <c r="K18" s="77"/>
    </row>
    <row r="19" spans="1:11" ht="11.25" customHeight="1" x14ac:dyDescent="0.25">
      <c r="A19" s="54" t="s">
        <v>585</v>
      </c>
      <c r="B19" s="55"/>
      <c r="C19" s="76"/>
      <c r="D19" s="76"/>
      <c r="E19" s="77"/>
      <c r="F19" s="78"/>
      <c r="G19" s="76"/>
      <c r="H19" s="75"/>
      <c r="I19" s="79"/>
      <c r="J19" s="76"/>
      <c r="K19" s="77"/>
    </row>
    <row r="20" spans="1:11" ht="11.25" customHeight="1" x14ac:dyDescent="0.25">
      <c r="A20" s="63" t="str">
        <f>A6</f>
        <v>Securities - National Government</v>
      </c>
      <c r="B20" s="55"/>
      <c r="C20" s="1316"/>
      <c r="D20" s="1316"/>
      <c r="E20" s="1325"/>
      <c r="F20" s="1326"/>
      <c r="G20" s="1316"/>
      <c r="H20" s="1327"/>
      <c r="I20" s="1318"/>
      <c r="J20" s="1316"/>
      <c r="K20" s="1325"/>
    </row>
    <row r="21" spans="1:11" ht="11.25" customHeight="1" x14ac:dyDescent="0.25">
      <c r="A21" s="63" t="str">
        <f t="shared" ref="A21:A28" si="1">A7</f>
        <v>Listed Corporate Bonds</v>
      </c>
      <c r="B21" s="55"/>
      <c r="C21" s="1316"/>
      <c r="D21" s="1316"/>
      <c r="E21" s="1325"/>
      <c r="F21" s="1326"/>
      <c r="G21" s="1316"/>
      <c r="H21" s="1327"/>
      <c r="I21" s="1318"/>
      <c r="J21" s="1316"/>
      <c r="K21" s="1325"/>
    </row>
    <row r="22" spans="1:11" ht="11.25" customHeight="1" x14ac:dyDescent="0.25">
      <c r="A22" s="63" t="str">
        <f t="shared" si="1"/>
        <v>Deposits - Bank</v>
      </c>
      <c r="B22" s="55"/>
      <c r="C22" s="1316"/>
      <c r="D22" s="1316"/>
      <c r="E22" s="1325"/>
      <c r="F22" s="1326"/>
      <c r="G22" s="1316"/>
      <c r="H22" s="1327"/>
      <c r="I22" s="1318"/>
      <c r="J22" s="1316"/>
      <c r="K22" s="1325"/>
    </row>
    <row r="23" spans="1:11" ht="11.25" customHeight="1" x14ac:dyDescent="0.25">
      <c r="A23" s="63" t="str">
        <f t="shared" si="1"/>
        <v>Deposits - Public Investment Commissioners</v>
      </c>
      <c r="B23" s="55"/>
      <c r="C23" s="1316"/>
      <c r="D23" s="1316"/>
      <c r="E23" s="1325"/>
      <c r="F23" s="1326"/>
      <c r="G23" s="1316"/>
      <c r="H23" s="1327"/>
      <c r="I23" s="1318"/>
      <c r="J23" s="1316"/>
      <c r="K23" s="1325"/>
    </row>
    <row r="24" spans="1:11" ht="11.25" customHeight="1" x14ac:dyDescent="0.25">
      <c r="A24" s="63" t="str">
        <f t="shared" si="1"/>
        <v>Deposits - Corporation for Public Deposits</v>
      </c>
      <c r="B24" s="55"/>
      <c r="C24" s="1316"/>
      <c r="D24" s="1316"/>
      <c r="E24" s="1325"/>
      <c r="F24" s="1326"/>
      <c r="G24" s="1316"/>
      <c r="H24" s="1327"/>
      <c r="I24" s="1318"/>
      <c r="J24" s="1316"/>
      <c r="K24" s="1325"/>
    </row>
    <row r="25" spans="1:11" ht="11.25" customHeight="1" x14ac:dyDescent="0.25">
      <c r="A25" s="63" t="str">
        <f t="shared" si="1"/>
        <v>Bankers Acceptance Certificates</v>
      </c>
      <c r="B25" s="55"/>
      <c r="C25" s="1316"/>
      <c r="D25" s="1316"/>
      <c r="E25" s="1325"/>
      <c r="F25" s="1326"/>
      <c r="G25" s="1316"/>
      <c r="H25" s="1327"/>
      <c r="I25" s="1318"/>
      <c r="J25" s="1316"/>
      <c r="K25" s="1325"/>
    </row>
    <row r="26" spans="1:11" ht="11.25" customHeight="1" x14ac:dyDescent="0.25">
      <c r="A26" s="63" t="str">
        <f t="shared" si="1"/>
        <v>Negotiable Certificates of Deposit - Banks</v>
      </c>
      <c r="B26" s="55"/>
      <c r="C26" s="1316"/>
      <c r="D26" s="1316"/>
      <c r="E26" s="1325"/>
      <c r="F26" s="1326"/>
      <c r="G26" s="1316"/>
      <c r="H26" s="1327"/>
      <c r="I26" s="1318"/>
      <c r="J26" s="1316"/>
      <c r="K26" s="1325"/>
    </row>
    <row r="27" spans="1:11" ht="11.25" customHeight="1" x14ac:dyDescent="0.25">
      <c r="A27" s="63" t="str">
        <f t="shared" si="1"/>
        <v>Guaranteed Endowment Policies (sinking)</v>
      </c>
      <c r="B27" s="55"/>
      <c r="C27" s="1316"/>
      <c r="D27" s="1316"/>
      <c r="E27" s="1325"/>
      <c r="F27" s="1326"/>
      <c r="G27" s="1316"/>
      <c r="H27" s="1327"/>
      <c r="I27" s="1318"/>
      <c r="J27" s="1316"/>
      <c r="K27" s="1325"/>
    </row>
    <row r="28" spans="1:11" ht="11.25" customHeight="1" x14ac:dyDescent="0.25">
      <c r="A28" s="63" t="str">
        <f t="shared" si="1"/>
        <v>Repurchase Agreements - Banks</v>
      </c>
      <c r="B28" s="55"/>
      <c r="C28" s="1316"/>
      <c r="D28" s="1316"/>
      <c r="E28" s="1325"/>
      <c r="F28" s="1326"/>
      <c r="G28" s="1316"/>
      <c r="H28" s="1327"/>
      <c r="I28" s="1318"/>
      <c r="J28" s="1316"/>
      <c r="K28" s="1325"/>
    </row>
    <row r="29" spans="1:11" ht="4.9000000000000004" customHeight="1" x14ac:dyDescent="0.25">
      <c r="A29" s="74"/>
      <c r="B29" s="55"/>
      <c r="C29" s="76"/>
      <c r="D29" s="76"/>
      <c r="E29" s="77"/>
      <c r="F29" s="78"/>
      <c r="G29" s="76"/>
      <c r="H29" s="75"/>
      <c r="I29" s="79"/>
      <c r="J29" s="76"/>
      <c r="K29" s="77"/>
    </row>
    <row r="30" spans="1:11" ht="11.25" customHeight="1" x14ac:dyDescent="0.25">
      <c r="A30" s="118" t="s">
        <v>153</v>
      </c>
      <c r="B30" s="55"/>
      <c r="C30" s="81">
        <f t="shared" ref="C30:K30" si="2">SUM(C20:C29)</f>
        <v>0</v>
      </c>
      <c r="D30" s="185">
        <f t="shared" si="2"/>
        <v>0</v>
      </c>
      <c r="E30" s="186">
        <f t="shared" si="2"/>
        <v>0</v>
      </c>
      <c r="F30" s="215">
        <f t="shared" si="2"/>
        <v>0</v>
      </c>
      <c r="G30" s="185">
        <f t="shared" si="2"/>
        <v>0</v>
      </c>
      <c r="H30" s="216">
        <f t="shared" si="2"/>
        <v>0</v>
      </c>
      <c r="I30" s="217">
        <f t="shared" si="2"/>
        <v>0</v>
      </c>
      <c r="J30" s="185">
        <f t="shared" si="2"/>
        <v>0</v>
      </c>
      <c r="K30" s="186">
        <f t="shared" si="2"/>
        <v>0</v>
      </c>
    </row>
    <row r="31" spans="1:11" ht="4.9000000000000004" customHeight="1" x14ac:dyDescent="0.25">
      <c r="A31" s="74"/>
      <c r="B31" s="55"/>
      <c r="C31" s="76"/>
      <c r="D31" s="76"/>
      <c r="E31" s="77"/>
      <c r="F31" s="78"/>
      <c r="G31" s="76"/>
      <c r="H31" s="75"/>
      <c r="I31" s="79"/>
      <c r="J31" s="76"/>
      <c r="K31" s="77"/>
    </row>
    <row r="32" spans="1:11" x14ac:dyDescent="0.25">
      <c r="A32" s="92" t="s">
        <v>152</v>
      </c>
      <c r="B32" s="465"/>
      <c r="C32" s="95">
        <f t="shared" ref="C32:K32" si="3">C17+C30</f>
        <v>0</v>
      </c>
      <c r="D32" s="95">
        <f t="shared" si="3"/>
        <v>24542131</v>
      </c>
      <c r="E32" s="96">
        <f t="shared" si="3"/>
        <v>1002806</v>
      </c>
      <c r="F32" s="97">
        <f t="shared" si="3"/>
        <v>3698411</v>
      </c>
      <c r="G32" s="95">
        <f t="shared" si="3"/>
        <v>3698411</v>
      </c>
      <c r="H32" s="94">
        <f t="shared" si="3"/>
        <v>3698411</v>
      </c>
      <c r="I32" s="98">
        <f t="shared" si="3"/>
        <v>3648000</v>
      </c>
      <c r="J32" s="95">
        <f t="shared" si="3"/>
        <v>3648000</v>
      </c>
      <c r="K32" s="96">
        <f t="shared" si="3"/>
        <v>3648000</v>
      </c>
    </row>
    <row r="33" spans="1:11" ht="6" customHeight="1" x14ac:dyDescent="0.25">
      <c r="C33" s="148"/>
      <c r="D33" s="148"/>
      <c r="E33" s="148"/>
      <c r="F33" s="148"/>
      <c r="G33" s="148"/>
      <c r="H33" s="148"/>
      <c r="I33" s="148"/>
      <c r="J33" s="148"/>
      <c r="K33" s="148"/>
    </row>
    <row r="34" spans="1:11" s="464" customFormat="1" ht="10.5" customHeight="1" x14ac:dyDescent="0.25">
      <c r="A34" s="101" t="str">
        <f>head27a</f>
        <v>References</v>
      </c>
      <c r="B34" s="645"/>
      <c r="C34" s="668"/>
      <c r="D34" s="668"/>
      <c r="E34" s="668"/>
      <c r="F34" s="668"/>
      <c r="G34" s="668"/>
      <c r="H34" s="668"/>
      <c r="I34" s="668"/>
      <c r="J34" s="668"/>
      <c r="K34" s="668"/>
    </row>
    <row r="35" spans="1:11" s="464" customFormat="1" ht="10.5" customHeight="1" x14ac:dyDescent="0.25">
      <c r="A35" s="132" t="s">
        <v>1127</v>
      </c>
      <c r="B35" s="645"/>
      <c r="C35" s="647"/>
      <c r="D35" s="648"/>
      <c r="E35" s="647"/>
      <c r="F35" s="647"/>
      <c r="G35" s="647"/>
      <c r="H35" s="647"/>
      <c r="I35" s="647"/>
      <c r="J35" s="647"/>
      <c r="K35" s="647"/>
    </row>
    <row r="36" spans="1:11" ht="10.5" customHeight="1" x14ac:dyDescent="0.25">
      <c r="A36" s="133" t="s">
        <v>478</v>
      </c>
      <c r="C36" s="177">
        <f>C17-'A6-FinPos'!C7-'A6-FinPos'!C16</f>
        <v>0</v>
      </c>
      <c r="D36" s="177">
        <f>D17-'A6-FinPos'!D7-'A6-FinPos'!D16</f>
        <v>0</v>
      </c>
      <c r="E36" s="109">
        <f>E17-'A6-FinPos'!E7-'A6-FinPos'!E16</f>
        <v>0</v>
      </c>
      <c r="F36" s="109">
        <f>F17-'A6-FinPos'!F7-'A6-FinPos'!F16</f>
        <v>0</v>
      </c>
      <c r="G36" s="109">
        <f>G17-'A6-FinPos'!G7-'A6-FinPos'!G16</f>
        <v>0</v>
      </c>
      <c r="H36" s="109">
        <f>H17-'A6-FinPos'!H7-'A6-FinPos'!H16</f>
        <v>0</v>
      </c>
      <c r="I36" s="109">
        <f>I17-'A6-FinPos'!J7-'A6-FinPos'!J16</f>
        <v>0</v>
      </c>
      <c r="J36" s="109">
        <f>J17-'A6-FinPos'!K7-'A6-FinPos'!K16</f>
        <v>0</v>
      </c>
      <c r="K36" s="109">
        <f>K17-'A6-FinPos'!L7-'A6-FinPos'!L16</f>
        <v>0</v>
      </c>
    </row>
    <row r="37" spans="1:11" ht="11.25" customHeight="1" x14ac:dyDescent="0.25"/>
    <row r="38" spans="1:11" ht="11.25" customHeight="1" x14ac:dyDescent="0.25"/>
    <row r="39" spans="1:11" ht="11.25" customHeight="1" x14ac:dyDescent="0.25"/>
    <row r="40" spans="1:11" ht="11.25" customHeight="1" x14ac:dyDescent="0.25"/>
    <row r="41" spans="1:11" ht="11.25" customHeight="1" x14ac:dyDescent="0.25"/>
    <row r="42" spans="1:11" ht="11.25" customHeight="1" x14ac:dyDescent="0.25"/>
    <row r="43" spans="1:11" ht="11.25" customHeight="1" x14ac:dyDescent="0.25"/>
    <row r="44" spans="1:11" ht="11.25" customHeight="1" x14ac:dyDescent="0.25"/>
    <row r="45" spans="1:11" ht="11.25" customHeight="1" x14ac:dyDescent="0.25"/>
    <row r="46" spans="1:11" ht="11.25" customHeight="1" x14ac:dyDescent="0.25"/>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mergeCells count="4">
    <mergeCell ref="F2:H2"/>
    <mergeCell ref="I2:K2"/>
    <mergeCell ref="B2:B4"/>
    <mergeCell ref="A2:A3"/>
  </mergeCells>
  <phoneticPr fontId="3" type="noConversion"/>
  <printOptions horizontalCentered="1"/>
  <pageMargins left="0" right="0" top="0.78740157480314965" bottom="0.59055118110236227" header="0.51181102362204722" footer="0.39370078740157483"/>
  <pageSetup paperSize="9" scale="87"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O64"/>
  <sheetViews>
    <sheetView showGridLines="0" zoomScaleNormal="100" workbookViewId="0">
      <pane xSplit="2" ySplit="3" topLeftCell="C4" activePane="bottomRight" state="frozen"/>
      <selection pane="topRight"/>
      <selection pane="bottomLeft"/>
      <selection pane="bottomRight" activeCell="A4" sqref="A4"/>
    </sheetView>
  </sheetViews>
  <sheetFormatPr defaultRowHeight="12.75" x14ac:dyDescent="0.25"/>
  <cols>
    <col min="1" max="1" width="30.7109375" style="25" customWidth="1"/>
    <col min="2" max="2" width="3" style="102" customWidth="1"/>
    <col min="3" max="10" width="13.7109375" style="25" customWidth="1"/>
    <col min="11" max="15" width="13.42578125" style="25" customWidth="1"/>
    <col min="16" max="16" width="9.42578125" style="25" customWidth="1"/>
    <col min="17" max="17" width="9.7109375" style="25" customWidth="1"/>
    <col min="18" max="20" width="9.42578125" style="25" customWidth="1"/>
    <col min="21" max="21" width="9.7109375" style="25" customWidth="1"/>
    <col min="22" max="24" width="9.42578125" style="25" customWidth="1"/>
    <col min="25" max="26" width="9.7109375" style="25" customWidth="1"/>
    <col min="27" max="16384" width="9.140625" style="25"/>
  </cols>
  <sheetData>
    <row r="1" spans="1:15" ht="13.5" x14ac:dyDescent="0.25">
      <c r="A1" s="23" t="str">
        <f>muni&amp;" - "&amp;TableA16</f>
        <v>EC101 Dr Beyers Naude - Supporting Table SA16 Investment particulars by maturity</v>
      </c>
      <c r="B1" s="23"/>
      <c r="C1" s="23"/>
      <c r="D1" s="23"/>
      <c r="E1" s="23"/>
      <c r="F1" s="23"/>
      <c r="G1" s="23"/>
      <c r="H1" s="23"/>
      <c r="I1" s="23"/>
      <c r="J1" s="23"/>
    </row>
    <row r="2" spans="1:15" ht="43.5" customHeight="1" x14ac:dyDescent="0.25">
      <c r="A2" s="18" t="s">
        <v>479</v>
      </c>
      <c r="B2" s="466" t="str">
        <f>head27</f>
        <v>Ref</v>
      </c>
      <c r="C2" s="26" t="s">
        <v>481</v>
      </c>
      <c r="D2" s="1954" t="s">
        <v>482</v>
      </c>
      <c r="E2" s="1114" t="s">
        <v>1826</v>
      </c>
      <c r="F2" s="1114" t="s">
        <v>1825</v>
      </c>
      <c r="G2" s="1114" t="s">
        <v>2505</v>
      </c>
      <c r="H2" s="1114" t="s">
        <v>1978</v>
      </c>
      <c r="I2" s="1114" t="s">
        <v>1827</v>
      </c>
      <c r="J2" s="1938" t="s">
        <v>483</v>
      </c>
      <c r="K2" s="565" t="s">
        <v>2035</v>
      </c>
      <c r="L2" s="467" t="s">
        <v>484</v>
      </c>
      <c r="M2" s="26" t="s">
        <v>2039</v>
      </c>
      <c r="N2" s="26" t="s">
        <v>2036</v>
      </c>
      <c r="O2" s="467" t="s">
        <v>2037</v>
      </c>
    </row>
    <row r="3" spans="1:15" ht="12.75" customHeight="1" x14ac:dyDescent="0.25">
      <c r="A3" s="17" t="s">
        <v>480</v>
      </c>
      <c r="B3" s="468">
        <v>1</v>
      </c>
      <c r="C3" s="15" t="s">
        <v>1402</v>
      </c>
      <c r="D3" s="1955"/>
      <c r="E3" s="616"/>
      <c r="F3" s="616"/>
      <c r="G3" s="616"/>
      <c r="H3" s="616"/>
      <c r="I3" s="616"/>
      <c r="J3" s="1939"/>
      <c r="K3" s="1963"/>
      <c r="L3" s="1963"/>
      <c r="M3" s="1963"/>
      <c r="N3" s="1963"/>
      <c r="O3" s="1964"/>
    </row>
    <row r="4" spans="1:15" ht="12.75" customHeight="1" x14ac:dyDescent="0.25">
      <c r="A4" s="54" t="s">
        <v>155</v>
      </c>
      <c r="B4" s="331"/>
      <c r="C4" s="55"/>
      <c r="D4" s="331"/>
      <c r="E4" s="331"/>
      <c r="F4" s="331"/>
      <c r="G4" s="331"/>
      <c r="H4" s="331"/>
      <c r="I4" s="331"/>
      <c r="J4" s="469"/>
      <c r="K4" s="211"/>
      <c r="L4" s="1295"/>
      <c r="M4" s="210"/>
      <c r="N4" s="210"/>
      <c r="O4" s="470"/>
    </row>
    <row r="5" spans="1:15" ht="11.25" customHeight="1" x14ac:dyDescent="0.25">
      <c r="A5" s="1369"/>
      <c r="B5" s="1203"/>
      <c r="C5" s="1547"/>
      <c r="D5" s="1627"/>
      <c r="E5" s="1627"/>
      <c r="F5" s="1627"/>
      <c r="G5" s="1627"/>
      <c r="H5" s="1627"/>
      <c r="I5" s="1627"/>
      <c r="J5" s="1628"/>
      <c r="K5" s="1318"/>
      <c r="L5" s="1320"/>
      <c r="M5" s="1316"/>
      <c r="N5" s="1316"/>
      <c r="O5" s="392">
        <f>SUM(K5:N5)</f>
        <v>0</v>
      </c>
    </row>
    <row r="6" spans="1:15" ht="11.25" customHeight="1" x14ac:dyDescent="0.25">
      <c r="A6" s="1369"/>
      <c r="B6" s="1203"/>
      <c r="C6" s="1547"/>
      <c r="D6" s="1627"/>
      <c r="E6" s="1627"/>
      <c r="F6" s="1627"/>
      <c r="G6" s="1627"/>
      <c r="H6" s="1627"/>
      <c r="I6" s="1627"/>
      <c r="J6" s="1628"/>
      <c r="K6" s="1318"/>
      <c r="L6" s="1320"/>
      <c r="M6" s="1316"/>
      <c r="N6" s="1316"/>
      <c r="O6" s="392">
        <f t="shared" ref="O6:O11" si="0">SUM(K6:N6)</f>
        <v>0</v>
      </c>
    </row>
    <row r="7" spans="1:15" ht="11.25" customHeight="1" x14ac:dyDescent="0.25">
      <c r="A7" s="1369"/>
      <c r="B7" s="1203"/>
      <c r="C7" s="1547"/>
      <c r="D7" s="1627"/>
      <c r="E7" s="1627"/>
      <c r="F7" s="1627"/>
      <c r="G7" s="1627"/>
      <c r="H7" s="1627"/>
      <c r="I7" s="1627"/>
      <c r="J7" s="1628"/>
      <c r="K7" s="1318"/>
      <c r="L7" s="1320"/>
      <c r="M7" s="1316"/>
      <c r="N7" s="1316"/>
      <c r="O7" s="392">
        <f t="shared" si="0"/>
        <v>0</v>
      </c>
    </row>
    <row r="8" spans="1:15" ht="11.25" customHeight="1" x14ac:dyDescent="0.25">
      <c r="A8" s="1369"/>
      <c r="B8" s="1203"/>
      <c r="C8" s="1547"/>
      <c r="D8" s="1627"/>
      <c r="E8" s="1627"/>
      <c r="F8" s="1627"/>
      <c r="G8" s="1627"/>
      <c r="H8" s="1627"/>
      <c r="I8" s="1627"/>
      <c r="J8" s="1628"/>
      <c r="K8" s="1318"/>
      <c r="L8" s="1320"/>
      <c r="M8" s="1316"/>
      <c r="N8" s="1316"/>
      <c r="O8" s="392">
        <f t="shared" si="0"/>
        <v>0</v>
      </c>
    </row>
    <row r="9" spans="1:15" ht="11.25" customHeight="1" x14ac:dyDescent="0.25">
      <c r="A9" s="1369"/>
      <c r="B9" s="1203"/>
      <c r="C9" s="1547"/>
      <c r="D9" s="1627"/>
      <c r="E9" s="1627"/>
      <c r="F9" s="1627"/>
      <c r="G9" s="1627"/>
      <c r="H9" s="1627"/>
      <c r="I9" s="1627"/>
      <c r="J9" s="1628"/>
      <c r="K9" s="1318"/>
      <c r="L9" s="1320"/>
      <c r="M9" s="1316"/>
      <c r="N9" s="1316"/>
      <c r="O9" s="392">
        <f t="shared" si="0"/>
        <v>0</v>
      </c>
    </row>
    <row r="10" spans="1:15" ht="11.25" customHeight="1" x14ac:dyDescent="0.25">
      <c r="A10" s="1369"/>
      <c r="B10" s="1203"/>
      <c r="C10" s="1547"/>
      <c r="D10" s="1627"/>
      <c r="E10" s="1627"/>
      <c r="F10" s="1627"/>
      <c r="G10" s="1627"/>
      <c r="H10" s="1627"/>
      <c r="I10" s="1627"/>
      <c r="J10" s="1628"/>
      <c r="K10" s="1318"/>
      <c r="L10" s="1320"/>
      <c r="M10" s="1316"/>
      <c r="N10" s="1316"/>
      <c r="O10" s="392">
        <f t="shared" si="0"/>
        <v>0</v>
      </c>
    </row>
    <row r="11" spans="1:15" ht="11.25" customHeight="1" x14ac:dyDescent="0.25">
      <c r="A11" s="1369"/>
      <c r="B11" s="1203"/>
      <c r="C11" s="1547"/>
      <c r="D11" s="1627"/>
      <c r="E11" s="1627"/>
      <c r="F11" s="1627"/>
      <c r="G11" s="1627"/>
      <c r="H11" s="1627"/>
      <c r="I11" s="1627"/>
      <c r="J11" s="1628"/>
      <c r="K11" s="1318"/>
      <c r="L11" s="1320"/>
      <c r="M11" s="1316"/>
      <c r="N11" s="1316"/>
      <c r="O11" s="1297">
        <f t="shared" si="0"/>
        <v>0</v>
      </c>
    </row>
    <row r="12" spans="1:15" ht="11.25" customHeight="1" x14ac:dyDescent="0.25">
      <c r="A12" s="118" t="s">
        <v>154</v>
      </c>
      <c r="B12" s="331"/>
      <c r="C12" s="780"/>
      <c r="D12" s="383"/>
      <c r="E12" s="383"/>
      <c r="F12" s="383"/>
      <c r="G12" s="383"/>
      <c r="H12" s="383"/>
      <c r="I12" s="383"/>
      <c r="J12" s="781"/>
      <c r="K12" s="84">
        <f>SUM(K5:K11)</f>
        <v>0</v>
      </c>
      <c r="L12" s="801"/>
      <c r="M12" s="81">
        <f>SUM(M5:M11)</f>
        <v>0</v>
      </c>
      <c r="N12" s="81">
        <f>SUM(N5:N11)</f>
        <v>0</v>
      </c>
      <c r="O12" s="472">
        <f>SUM(O5:O11)</f>
        <v>0</v>
      </c>
    </row>
    <row r="13" spans="1:15" ht="11.25" customHeight="1" x14ac:dyDescent="0.25">
      <c r="A13" s="74"/>
      <c r="B13" s="331"/>
      <c r="C13" s="55"/>
      <c r="D13" s="331"/>
      <c r="E13" s="331"/>
      <c r="F13" s="331"/>
      <c r="G13" s="331"/>
      <c r="H13" s="331"/>
      <c r="I13" s="331"/>
      <c r="J13" s="471"/>
      <c r="K13" s="79"/>
      <c r="L13" s="1185"/>
      <c r="M13" s="76"/>
      <c r="N13" s="76"/>
      <c r="O13" s="333"/>
    </row>
    <row r="14" spans="1:15" ht="11.25" customHeight="1" x14ac:dyDescent="0.25">
      <c r="A14" s="54" t="s">
        <v>585</v>
      </c>
      <c r="B14" s="331"/>
      <c r="C14" s="55"/>
      <c r="D14" s="331"/>
      <c r="E14" s="331"/>
      <c r="F14" s="331"/>
      <c r="G14" s="331"/>
      <c r="H14" s="331"/>
      <c r="I14" s="331"/>
      <c r="J14" s="471"/>
      <c r="K14" s="79"/>
      <c r="L14" s="1185"/>
      <c r="M14" s="76"/>
      <c r="N14" s="76"/>
      <c r="O14" s="333"/>
    </row>
    <row r="15" spans="1:15" ht="11.25" customHeight="1" x14ac:dyDescent="0.25">
      <c r="A15" s="1369"/>
      <c r="B15" s="1203"/>
      <c r="C15" s="1547"/>
      <c r="D15" s="1627"/>
      <c r="E15" s="1627"/>
      <c r="F15" s="1627"/>
      <c r="G15" s="1627"/>
      <c r="H15" s="1627"/>
      <c r="I15" s="1627"/>
      <c r="J15" s="1628"/>
      <c r="K15" s="1318"/>
      <c r="L15" s="1320"/>
      <c r="M15" s="1316"/>
      <c r="N15" s="1316"/>
      <c r="O15" s="392">
        <f>SUM(K15:N15)</f>
        <v>0</v>
      </c>
    </row>
    <row r="16" spans="1:15" ht="11.25" customHeight="1" x14ac:dyDescent="0.25">
      <c r="A16" s="1369"/>
      <c r="B16" s="1203"/>
      <c r="C16" s="1547"/>
      <c r="D16" s="1627"/>
      <c r="E16" s="1627"/>
      <c r="F16" s="1627"/>
      <c r="G16" s="1627"/>
      <c r="H16" s="1627"/>
      <c r="I16" s="1627"/>
      <c r="J16" s="1628"/>
      <c r="K16" s="1318"/>
      <c r="L16" s="1320"/>
      <c r="M16" s="1316"/>
      <c r="N16" s="1316"/>
      <c r="O16" s="392">
        <f t="shared" ref="O16:O21" si="1">SUM(K16:N16)</f>
        <v>0</v>
      </c>
    </row>
    <row r="17" spans="1:15" ht="11.25" customHeight="1" x14ac:dyDescent="0.25">
      <c r="A17" s="1369"/>
      <c r="B17" s="1203"/>
      <c r="C17" s="1547"/>
      <c r="D17" s="1627"/>
      <c r="E17" s="1627"/>
      <c r="F17" s="1627"/>
      <c r="G17" s="1627"/>
      <c r="H17" s="1627"/>
      <c r="I17" s="1627"/>
      <c r="J17" s="1628"/>
      <c r="K17" s="1318"/>
      <c r="L17" s="1320"/>
      <c r="M17" s="1316"/>
      <c r="N17" s="1316"/>
      <c r="O17" s="392">
        <f t="shared" si="1"/>
        <v>0</v>
      </c>
    </row>
    <row r="18" spans="1:15" ht="11.25" customHeight="1" x14ac:dyDescent="0.25">
      <c r="A18" s="1369"/>
      <c r="B18" s="1203"/>
      <c r="C18" s="1547"/>
      <c r="D18" s="1627"/>
      <c r="E18" s="1627"/>
      <c r="F18" s="1627"/>
      <c r="G18" s="1627"/>
      <c r="H18" s="1627"/>
      <c r="I18" s="1627"/>
      <c r="J18" s="1628"/>
      <c r="K18" s="1318"/>
      <c r="L18" s="1320"/>
      <c r="M18" s="1316"/>
      <c r="N18" s="1316"/>
      <c r="O18" s="392">
        <f t="shared" si="1"/>
        <v>0</v>
      </c>
    </row>
    <row r="19" spans="1:15" ht="11.25" customHeight="1" x14ac:dyDescent="0.25">
      <c r="A19" s="1369"/>
      <c r="B19" s="1203"/>
      <c r="C19" s="1547"/>
      <c r="D19" s="1627"/>
      <c r="E19" s="1627"/>
      <c r="F19" s="1627"/>
      <c r="G19" s="1627"/>
      <c r="H19" s="1627"/>
      <c r="I19" s="1627"/>
      <c r="J19" s="1628"/>
      <c r="K19" s="1318"/>
      <c r="L19" s="1320"/>
      <c r="M19" s="1316"/>
      <c r="N19" s="1316"/>
      <c r="O19" s="392">
        <f t="shared" si="1"/>
        <v>0</v>
      </c>
    </row>
    <row r="20" spans="1:15" ht="11.25" customHeight="1" x14ac:dyDescent="0.25">
      <c r="A20" s="1369"/>
      <c r="B20" s="1203"/>
      <c r="C20" s="1547"/>
      <c r="D20" s="1627"/>
      <c r="E20" s="1627"/>
      <c r="F20" s="1627"/>
      <c r="G20" s="1627"/>
      <c r="H20" s="1627"/>
      <c r="I20" s="1627"/>
      <c r="J20" s="1628"/>
      <c r="K20" s="1318"/>
      <c r="L20" s="1320"/>
      <c r="M20" s="1316"/>
      <c r="N20" s="1316"/>
      <c r="O20" s="392">
        <f t="shared" si="1"/>
        <v>0</v>
      </c>
    </row>
    <row r="21" spans="1:15" ht="11.25" customHeight="1" x14ac:dyDescent="0.25">
      <c r="A21" s="1369"/>
      <c r="B21" s="1203"/>
      <c r="C21" s="1547"/>
      <c r="D21" s="1627"/>
      <c r="E21" s="1627"/>
      <c r="F21" s="1627"/>
      <c r="G21" s="1627"/>
      <c r="H21" s="1627"/>
      <c r="I21" s="1627"/>
      <c r="J21" s="1628"/>
      <c r="K21" s="1318"/>
      <c r="L21" s="1320"/>
      <c r="M21" s="1316"/>
      <c r="N21" s="1316"/>
      <c r="O21" s="392">
        <f t="shared" si="1"/>
        <v>0</v>
      </c>
    </row>
    <row r="22" spans="1:15" ht="11.25" customHeight="1" x14ac:dyDescent="0.25">
      <c r="A22" s="118" t="s">
        <v>153</v>
      </c>
      <c r="B22" s="331"/>
      <c r="C22" s="780"/>
      <c r="D22" s="383"/>
      <c r="E22" s="383"/>
      <c r="F22" s="383"/>
      <c r="G22" s="383"/>
      <c r="H22" s="383"/>
      <c r="I22" s="383"/>
      <c r="J22" s="781"/>
      <c r="K22" s="84">
        <f>SUM(K15:K21)</f>
        <v>0</v>
      </c>
      <c r="L22" s="801"/>
      <c r="M22" s="81">
        <f>SUM(M15:M21)</f>
        <v>0</v>
      </c>
      <c r="N22" s="81">
        <f>SUM(N15:N21)</f>
        <v>0</v>
      </c>
      <c r="O22" s="472">
        <f>SUM(O15:O21)</f>
        <v>0</v>
      </c>
    </row>
    <row r="23" spans="1:15" ht="4.9000000000000004" customHeight="1" x14ac:dyDescent="0.25">
      <c r="A23" s="74"/>
      <c r="B23" s="331"/>
      <c r="C23" s="55"/>
      <c r="D23" s="331"/>
      <c r="E23" s="331"/>
      <c r="F23" s="331"/>
      <c r="G23" s="331"/>
      <c r="H23" s="331"/>
      <c r="I23" s="331"/>
      <c r="J23" s="471"/>
      <c r="K23" s="89"/>
      <c r="L23" s="824"/>
      <c r="M23" s="86"/>
      <c r="N23" s="86"/>
      <c r="O23" s="392"/>
    </row>
    <row r="24" spans="1:15" x14ac:dyDescent="0.25">
      <c r="A24" s="178" t="s">
        <v>492</v>
      </c>
      <c r="B24" s="393">
        <v>1</v>
      </c>
      <c r="C24" s="179"/>
      <c r="D24" s="393"/>
      <c r="E24" s="393"/>
      <c r="F24" s="393"/>
      <c r="G24" s="393"/>
      <c r="H24" s="393"/>
      <c r="I24" s="393"/>
      <c r="J24" s="473"/>
      <c r="K24" s="98">
        <f>K12+K22</f>
        <v>0</v>
      </c>
      <c r="L24" s="1296"/>
      <c r="M24" s="95">
        <f>M12+M22</f>
        <v>0</v>
      </c>
      <c r="N24" s="95">
        <f>N12+N22</f>
        <v>0</v>
      </c>
      <c r="O24" s="474">
        <f>O12+O22</f>
        <v>0</v>
      </c>
    </row>
    <row r="25" spans="1:15" ht="6" customHeight="1" x14ac:dyDescent="0.25">
      <c r="C25" s="668"/>
      <c r="D25" s="779"/>
      <c r="E25" s="148"/>
      <c r="F25" s="148"/>
      <c r="G25" s="148"/>
      <c r="H25" s="148"/>
      <c r="I25" s="148"/>
      <c r="J25" s="148"/>
    </row>
    <row r="26" spans="1:15" s="464" customFormat="1" x14ac:dyDescent="0.25">
      <c r="A26" s="101" t="str">
        <f>head27a</f>
        <v>References</v>
      </c>
      <c r="B26" s="645"/>
      <c r="C26" s="668"/>
      <c r="D26" s="668"/>
      <c r="E26" s="668"/>
      <c r="F26" s="668"/>
      <c r="G26" s="668"/>
      <c r="H26" s="668"/>
      <c r="I26" s="668"/>
      <c r="J26" s="668"/>
    </row>
    <row r="27" spans="1:15" s="464" customFormat="1" ht="11.25" customHeight="1" x14ac:dyDescent="0.25">
      <c r="A27" s="132" t="s">
        <v>315</v>
      </c>
      <c r="B27" s="645"/>
      <c r="C27" s="647"/>
      <c r="D27" s="648"/>
      <c r="E27" s="648"/>
      <c r="F27" s="648"/>
      <c r="G27" s="648"/>
      <c r="H27" s="648"/>
      <c r="I27" s="648"/>
      <c r="J27" s="647"/>
    </row>
    <row r="28" spans="1:15" s="464" customFormat="1" ht="11.25" customHeight="1" x14ac:dyDescent="0.25">
      <c r="A28" s="132" t="s">
        <v>806</v>
      </c>
      <c r="B28" s="645"/>
      <c r="C28" s="647"/>
      <c r="D28" s="648"/>
      <c r="E28" s="648"/>
      <c r="F28" s="648"/>
      <c r="G28" s="648"/>
      <c r="H28" s="648"/>
      <c r="I28" s="648"/>
      <c r="J28" s="647"/>
    </row>
    <row r="29" spans="1:15" ht="11.25" customHeight="1" x14ac:dyDescent="0.25">
      <c r="A29" s="132" t="s">
        <v>1977</v>
      </c>
      <c r="C29" s="148"/>
      <c r="D29" s="148"/>
      <c r="E29" s="148"/>
      <c r="F29" s="148"/>
      <c r="G29" s="148"/>
      <c r="H29" s="148"/>
      <c r="I29" s="148"/>
      <c r="J29" s="148"/>
    </row>
    <row r="30" spans="1:15" ht="11.25" customHeight="1" x14ac:dyDescent="0.25">
      <c r="A30" s="132" t="s">
        <v>2038</v>
      </c>
      <c r="C30" s="148"/>
      <c r="D30" s="148"/>
      <c r="E30" s="148"/>
      <c r="F30" s="148"/>
      <c r="G30" s="148"/>
      <c r="H30" s="148"/>
      <c r="I30" s="148"/>
      <c r="J30" s="148"/>
    </row>
    <row r="31" spans="1:15" ht="11.25" customHeight="1" x14ac:dyDescent="0.25">
      <c r="A31" s="108" t="s">
        <v>1354</v>
      </c>
    </row>
    <row r="32" spans="1:15" ht="11.25" customHeight="1" x14ac:dyDescent="0.25">
      <c r="M32" s="25" t="s">
        <v>1983</v>
      </c>
    </row>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sheetData>
  <mergeCells count="3">
    <mergeCell ref="D2:D3"/>
    <mergeCell ref="J2:J3"/>
    <mergeCell ref="K3:O3"/>
  </mergeCells>
  <phoneticPr fontId="3" type="noConversion"/>
  <printOptions horizontalCentered="1"/>
  <pageMargins left="0" right="0" top="0.78740157480314965" bottom="0.59055118110236227" header="0.51181102362204722" footer="0.39370078740157483"/>
  <pageSetup paperSize="9" scale="69" orientation="landscape"/>
  <headerFooter alignWithMargins="0"/>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pageSetUpPr fitToPage="1"/>
  </sheetPr>
  <dimension ref="A1:AS72"/>
  <sheetViews>
    <sheetView showGridLines="0" zoomScaleNormal="100" workbookViewId="0">
      <pane xSplit="2" ySplit="3" topLeftCell="C4" activePane="bottomRight" state="frozen"/>
      <selection pane="topRight"/>
      <selection pane="bottomLeft"/>
      <selection pane="bottomRight" activeCell="I53" sqref="I53"/>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x14ac:dyDescent="0.25">
      <c r="A1" s="23" t="str">
        <f>muni&amp;" - "&amp;TableA17</f>
        <v>EC101 Dr Beyers Naude - Supporting Table SA17 Borrowing</v>
      </c>
      <c r="B1" s="23"/>
      <c r="C1" s="23"/>
      <c r="D1" s="23"/>
      <c r="E1" s="23"/>
      <c r="F1" s="23"/>
      <c r="G1" s="23"/>
      <c r="H1" s="23"/>
      <c r="I1" s="23"/>
      <c r="J1" s="23"/>
      <c r="K1" s="23"/>
    </row>
    <row r="2" spans="1:11" ht="28.5" customHeight="1" x14ac:dyDescent="0.25">
      <c r="A2" s="624" t="s">
        <v>718</v>
      </c>
      <c r="B2" s="220" t="str">
        <f>head27</f>
        <v>Ref</v>
      </c>
      <c r="C2" s="26" t="str">
        <f>head1b</f>
        <v>2015/16</v>
      </c>
      <c r="D2" s="26" t="str">
        <f>head1A</f>
        <v>2016/17</v>
      </c>
      <c r="E2" s="21" t="str">
        <f>Head1</f>
        <v>2017/18</v>
      </c>
      <c r="F2" s="1907" t="str">
        <f>Head2</f>
        <v>Current Year 2018/19</v>
      </c>
      <c r="G2" s="1908"/>
      <c r="H2" s="1912"/>
      <c r="I2" s="1905" t="str">
        <f>Head3</f>
        <v>2019/20 Medium Term Revenue &amp; Expenditure Framework</v>
      </c>
      <c r="J2" s="1905"/>
      <c r="K2" s="1906"/>
    </row>
    <row r="3" spans="1:11" ht="25.5" x14ac:dyDescent="0.25">
      <c r="A3" s="53" t="s">
        <v>573</v>
      </c>
      <c r="B3" s="619"/>
      <c r="C3" s="203" t="str">
        <f>Head5</f>
        <v>Audited Outcome</v>
      </c>
      <c r="D3" s="203" t="str">
        <f>Head5</f>
        <v>Audited Outcome</v>
      </c>
      <c r="E3" s="202" t="str">
        <f>Head5</f>
        <v>Audited Outcome</v>
      </c>
      <c r="F3" s="141" t="str">
        <f>Head6</f>
        <v>Original Budget</v>
      </c>
      <c r="G3" s="203" t="str">
        <f>Head7</f>
        <v>Adjusted Budget</v>
      </c>
      <c r="H3" s="204" t="str">
        <f>Head8</f>
        <v>Full Year Forecast</v>
      </c>
      <c r="I3" s="202" t="str">
        <f>Head9</f>
        <v>Budget Year 2019/20</v>
      </c>
      <c r="J3" s="203" t="str">
        <f>Head10</f>
        <v>Budget Year +1 2020/21</v>
      </c>
      <c r="K3" s="204" t="str">
        <f>Head11</f>
        <v>Budget Year +2 2021/22</v>
      </c>
    </row>
    <row r="4" spans="1:11" ht="12.75" customHeight="1" x14ac:dyDescent="0.25">
      <c r="A4" s="54" t="s">
        <v>155</v>
      </c>
      <c r="B4" s="55"/>
      <c r="C4" s="76"/>
      <c r="D4" s="76"/>
      <c r="E4" s="75"/>
      <c r="F4" s="78"/>
      <c r="G4" s="76"/>
      <c r="H4" s="77"/>
      <c r="I4" s="1185"/>
      <c r="J4" s="76"/>
      <c r="K4" s="77"/>
    </row>
    <row r="5" spans="1:11" ht="12.75" customHeight="1" x14ac:dyDescent="0.25">
      <c r="A5" s="63" t="s">
        <v>2405</v>
      </c>
      <c r="B5" s="55"/>
      <c r="C5" s="1316"/>
      <c r="D5" s="1316"/>
      <c r="E5" s="1317"/>
      <c r="F5" s="1318"/>
      <c r="G5" s="1316"/>
      <c r="H5" s="1319"/>
      <c r="I5" s="1320"/>
      <c r="J5" s="1316"/>
      <c r="K5" s="1316"/>
    </row>
    <row r="6" spans="1:11" ht="12.75" customHeight="1" x14ac:dyDescent="0.25">
      <c r="A6" s="63" t="s">
        <v>247</v>
      </c>
      <c r="B6" s="55"/>
      <c r="C6" s="1316"/>
      <c r="D6" s="1316"/>
      <c r="E6" s="1317"/>
      <c r="F6" s="1318"/>
      <c r="G6" s="1316"/>
      <c r="H6" s="1319"/>
      <c r="I6" s="1320"/>
      <c r="J6" s="1316"/>
      <c r="K6" s="1316"/>
    </row>
    <row r="7" spans="1:11" ht="12.75" customHeight="1" x14ac:dyDescent="0.25">
      <c r="A7" s="63" t="s">
        <v>85</v>
      </c>
      <c r="B7" s="55"/>
      <c r="C7" s="1316"/>
      <c r="D7" s="1316"/>
      <c r="E7" s="1317"/>
      <c r="F7" s="1318"/>
      <c r="G7" s="1316"/>
      <c r="H7" s="1319"/>
      <c r="I7" s="1320"/>
      <c r="J7" s="1316"/>
      <c r="K7" s="1316"/>
    </row>
    <row r="8" spans="1:11" ht="12.75" customHeight="1" x14ac:dyDescent="0.25">
      <c r="A8" s="63" t="s">
        <v>486</v>
      </c>
      <c r="B8" s="55"/>
      <c r="C8" s="1316"/>
      <c r="D8" s="1316"/>
      <c r="E8" s="1317"/>
      <c r="F8" s="1318"/>
      <c r="G8" s="1316"/>
      <c r="H8" s="1319"/>
      <c r="I8" s="1320">
        <v>63750000</v>
      </c>
      <c r="J8" s="1316">
        <v>46750000</v>
      </c>
      <c r="K8" s="1316">
        <v>29750000</v>
      </c>
    </row>
    <row r="9" spans="1:11" ht="12.75" customHeight="1" x14ac:dyDescent="0.25">
      <c r="A9" s="63" t="s">
        <v>487</v>
      </c>
      <c r="B9" s="55"/>
      <c r="C9" s="1316"/>
      <c r="D9" s="1316"/>
      <c r="E9" s="1317"/>
      <c r="F9" s="1318"/>
      <c r="G9" s="1316"/>
      <c r="H9" s="1319"/>
      <c r="I9" s="1320"/>
      <c r="J9" s="1316"/>
      <c r="K9" s="1316"/>
    </row>
    <row r="10" spans="1:11" ht="12.75" customHeight="1" x14ac:dyDescent="0.25">
      <c r="A10" s="63" t="s">
        <v>678</v>
      </c>
      <c r="B10" s="55"/>
      <c r="C10" s="1316"/>
      <c r="D10" s="1316"/>
      <c r="E10" s="1317"/>
      <c r="F10" s="1318"/>
      <c r="G10" s="1316"/>
      <c r="H10" s="1319"/>
      <c r="I10" s="1320"/>
      <c r="J10" s="1316"/>
      <c r="K10" s="1316"/>
    </row>
    <row r="11" spans="1:11" ht="12.75" customHeight="1" x14ac:dyDescent="0.25">
      <c r="A11" s="63" t="s">
        <v>87</v>
      </c>
      <c r="B11" s="55"/>
      <c r="C11" s="1316"/>
      <c r="D11" s="1316"/>
      <c r="E11" s="1317"/>
      <c r="F11" s="1318"/>
      <c r="G11" s="1316"/>
      <c r="H11" s="1319"/>
      <c r="I11" s="1320"/>
      <c r="J11" s="1316"/>
      <c r="K11" s="1316"/>
    </row>
    <row r="12" spans="1:11" ht="12.75" customHeight="1" x14ac:dyDescent="0.25">
      <c r="A12" s="63" t="s">
        <v>88</v>
      </c>
      <c r="B12" s="55"/>
      <c r="C12" s="1316"/>
      <c r="D12" s="1316"/>
      <c r="E12" s="1317"/>
      <c r="F12" s="1318"/>
      <c r="G12" s="1316"/>
      <c r="H12" s="1319"/>
      <c r="I12" s="1320"/>
      <c r="J12" s="1316"/>
      <c r="K12" s="1316"/>
    </row>
    <row r="13" spans="1:11" ht="12.75" customHeight="1" x14ac:dyDescent="0.25">
      <c r="A13" s="63" t="s">
        <v>89</v>
      </c>
      <c r="B13" s="55"/>
      <c r="C13" s="1316"/>
      <c r="D13" s="1316"/>
      <c r="E13" s="1317"/>
      <c r="F13" s="1318"/>
      <c r="G13" s="1316"/>
      <c r="H13" s="1319"/>
      <c r="I13" s="1320"/>
      <c r="J13" s="1316"/>
      <c r="K13" s="1316"/>
    </row>
    <row r="14" spans="1:11" ht="12.75" customHeight="1" x14ac:dyDescent="0.25">
      <c r="A14" s="63" t="s">
        <v>90</v>
      </c>
      <c r="B14" s="55"/>
      <c r="C14" s="1316"/>
      <c r="D14" s="1316"/>
      <c r="E14" s="1317"/>
      <c r="F14" s="1318"/>
      <c r="G14" s="1316"/>
      <c r="H14" s="1319"/>
      <c r="I14" s="1320"/>
      <c r="J14" s="1316"/>
      <c r="K14" s="1316"/>
    </row>
    <row r="15" spans="1:11" ht="12.75" customHeight="1" x14ac:dyDescent="0.25">
      <c r="A15" s="63" t="s">
        <v>679</v>
      </c>
      <c r="B15" s="55"/>
      <c r="C15" s="1316"/>
      <c r="D15" s="1316"/>
      <c r="E15" s="1317"/>
      <c r="F15" s="1318"/>
      <c r="G15" s="1316"/>
      <c r="H15" s="1319"/>
      <c r="I15" s="1320"/>
      <c r="J15" s="1316"/>
      <c r="K15" s="1316"/>
    </row>
    <row r="16" spans="1:11" ht="12.75" customHeight="1" x14ac:dyDescent="0.25">
      <c r="A16" s="63" t="s">
        <v>91</v>
      </c>
      <c r="B16" s="55"/>
      <c r="C16" s="1316"/>
      <c r="D16" s="1316"/>
      <c r="E16" s="1317"/>
      <c r="F16" s="1318"/>
      <c r="G16" s="1316"/>
      <c r="H16" s="1319"/>
      <c r="I16" s="1320"/>
      <c r="J16" s="1316"/>
      <c r="K16" s="1316"/>
    </row>
    <row r="17" spans="1:11" ht="12.75" customHeight="1" x14ac:dyDescent="0.25">
      <c r="A17" s="118" t="s">
        <v>154</v>
      </c>
      <c r="B17" s="55">
        <v>1</v>
      </c>
      <c r="C17" s="81">
        <f>SUM(C5:C16)</f>
        <v>0</v>
      </c>
      <c r="D17" s="81">
        <f t="shared" ref="D17:K17" si="0">SUM(D5:D16)</f>
        <v>0</v>
      </c>
      <c r="E17" s="80">
        <f t="shared" si="0"/>
        <v>0</v>
      </c>
      <c r="F17" s="83">
        <f t="shared" si="0"/>
        <v>0</v>
      </c>
      <c r="G17" s="81">
        <f t="shared" si="0"/>
        <v>0</v>
      </c>
      <c r="H17" s="82">
        <f t="shared" si="0"/>
        <v>0</v>
      </c>
      <c r="I17" s="801">
        <f t="shared" si="0"/>
        <v>63750000</v>
      </c>
      <c r="J17" s="81">
        <f t="shared" si="0"/>
        <v>46750000</v>
      </c>
      <c r="K17" s="82">
        <f t="shared" si="0"/>
        <v>29750000</v>
      </c>
    </row>
    <row r="18" spans="1:11" ht="12.75" customHeight="1" x14ac:dyDescent="0.25">
      <c r="A18" s="118"/>
      <c r="B18" s="55"/>
      <c r="C18" s="86"/>
      <c r="D18" s="86"/>
      <c r="E18" s="85"/>
      <c r="F18" s="88"/>
      <c r="G18" s="86"/>
      <c r="H18" s="87"/>
      <c r="I18" s="824"/>
      <c r="J18" s="86"/>
      <c r="K18" s="87"/>
    </row>
    <row r="19" spans="1:11" ht="12.75" customHeight="1" x14ac:dyDescent="0.25">
      <c r="A19" s="54" t="s">
        <v>585</v>
      </c>
      <c r="B19" s="55"/>
      <c r="C19" s="76"/>
      <c r="D19" s="76"/>
      <c r="E19" s="75"/>
      <c r="F19" s="78"/>
      <c r="G19" s="76"/>
      <c r="H19" s="77"/>
      <c r="I19" s="1185"/>
      <c r="J19" s="76"/>
      <c r="K19" s="77"/>
    </row>
    <row r="20" spans="1:11" ht="12.75" customHeight="1" x14ac:dyDescent="0.25">
      <c r="A20" s="63" t="str">
        <f t="shared" ref="A20:A31" si="1">A5</f>
        <v>Annuity and Bullet Loans</v>
      </c>
      <c r="B20" s="55"/>
      <c r="C20" s="1316"/>
      <c r="D20" s="1316"/>
      <c r="E20" s="1317"/>
      <c r="F20" s="1318"/>
      <c r="G20" s="1316"/>
      <c r="H20" s="1319"/>
      <c r="I20" s="1320"/>
      <c r="J20" s="1316"/>
      <c r="K20" s="1316"/>
    </row>
    <row r="21" spans="1:11" ht="12.75" customHeight="1" x14ac:dyDescent="0.25">
      <c r="A21" s="63" t="str">
        <f t="shared" si="1"/>
        <v>Long-Term Loans (non-annuity)</v>
      </c>
      <c r="B21" s="55"/>
      <c r="C21" s="1316"/>
      <c r="D21" s="1316"/>
      <c r="E21" s="1317"/>
      <c r="F21" s="1318"/>
      <c r="G21" s="1316"/>
      <c r="H21" s="1319"/>
      <c r="I21" s="1320"/>
      <c r="J21" s="1316"/>
      <c r="K21" s="1316"/>
    </row>
    <row r="22" spans="1:11" ht="12.75" customHeight="1" x14ac:dyDescent="0.25">
      <c r="A22" s="63" t="str">
        <f t="shared" si="1"/>
        <v>Local registered stock</v>
      </c>
      <c r="B22" s="55"/>
      <c r="C22" s="1316"/>
      <c r="D22" s="1316"/>
      <c r="E22" s="1317"/>
      <c r="F22" s="1318"/>
      <c r="G22" s="1316"/>
      <c r="H22" s="1319"/>
      <c r="I22" s="1320"/>
      <c r="J22" s="1316"/>
      <c r="K22" s="1316"/>
    </row>
    <row r="23" spans="1:11" ht="12.75" customHeight="1" x14ac:dyDescent="0.25">
      <c r="A23" s="63" t="str">
        <f t="shared" si="1"/>
        <v>Instalment Credit</v>
      </c>
      <c r="B23" s="55"/>
      <c r="C23" s="1316"/>
      <c r="D23" s="1316"/>
      <c r="E23" s="1317"/>
      <c r="F23" s="1318"/>
      <c r="G23" s="1316"/>
      <c r="H23" s="1319"/>
      <c r="I23" s="1320"/>
      <c r="J23" s="1316"/>
      <c r="K23" s="1316"/>
    </row>
    <row r="24" spans="1:11" ht="12.75" customHeight="1" x14ac:dyDescent="0.25">
      <c r="A24" s="63" t="str">
        <f t="shared" si="1"/>
        <v>Financial Leases</v>
      </c>
      <c r="B24" s="55"/>
      <c r="C24" s="1316"/>
      <c r="D24" s="1316"/>
      <c r="E24" s="1317"/>
      <c r="F24" s="1318"/>
      <c r="G24" s="1316"/>
      <c r="H24" s="1319"/>
      <c r="I24" s="1320"/>
      <c r="J24" s="1316"/>
      <c r="K24" s="1316"/>
    </row>
    <row r="25" spans="1:11" ht="12.75" customHeight="1" x14ac:dyDescent="0.25">
      <c r="A25" s="63" t="str">
        <f t="shared" si="1"/>
        <v>PPP liabilities</v>
      </c>
      <c r="B25" s="55"/>
      <c r="C25" s="1316"/>
      <c r="D25" s="1316"/>
      <c r="E25" s="1317"/>
      <c r="F25" s="1318"/>
      <c r="G25" s="1316"/>
      <c r="H25" s="1319"/>
      <c r="I25" s="1320"/>
      <c r="J25" s="1316"/>
      <c r="K25" s="1316"/>
    </row>
    <row r="26" spans="1:11" ht="12.75" customHeight="1" x14ac:dyDescent="0.25">
      <c r="A26" s="63" t="str">
        <f t="shared" si="1"/>
        <v>Finance Granted By Cap Equipment Supplier</v>
      </c>
      <c r="B26" s="55"/>
      <c r="C26" s="1316"/>
      <c r="D26" s="1316"/>
      <c r="E26" s="1317"/>
      <c r="F26" s="1318"/>
      <c r="G26" s="1316"/>
      <c r="H26" s="1319"/>
      <c r="I26" s="1320"/>
      <c r="J26" s="1316"/>
      <c r="K26" s="1316"/>
    </row>
    <row r="27" spans="1:11" ht="12.75" customHeight="1" x14ac:dyDescent="0.25">
      <c r="A27" s="63" t="str">
        <f t="shared" si="1"/>
        <v>Marketable Bonds</v>
      </c>
      <c r="B27" s="55"/>
      <c r="C27" s="1316"/>
      <c r="D27" s="1316"/>
      <c r="E27" s="1317"/>
      <c r="F27" s="1318"/>
      <c r="G27" s="1316"/>
      <c r="H27" s="1319"/>
      <c r="I27" s="1320"/>
      <c r="J27" s="1316"/>
      <c r="K27" s="1316"/>
    </row>
    <row r="28" spans="1:11" ht="12.75" customHeight="1" x14ac:dyDescent="0.25">
      <c r="A28" s="63" t="str">
        <f t="shared" si="1"/>
        <v>Non-Marketable Bonds</v>
      </c>
      <c r="B28" s="55"/>
      <c r="C28" s="1316"/>
      <c r="D28" s="1316"/>
      <c r="E28" s="1317"/>
      <c r="F28" s="1318"/>
      <c r="G28" s="1316"/>
      <c r="H28" s="1319"/>
      <c r="I28" s="1320"/>
      <c r="J28" s="1316"/>
      <c r="K28" s="1316"/>
    </row>
    <row r="29" spans="1:11" ht="12.75" customHeight="1" x14ac:dyDescent="0.25">
      <c r="A29" s="63" t="str">
        <f t="shared" si="1"/>
        <v>Bankers Acceptances</v>
      </c>
      <c r="B29" s="55"/>
      <c r="C29" s="1316"/>
      <c r="D29" s="1316"/>
      <c r="E29" s="1317"/>
      <c r="F29" s="1318"/>
      <c r="G29" s="1316"/>
      <c r="H29" s="1319"/>
      <c r="I29" s="1320"/>
      <c r="J29" s="1316"/>
      <c r="K29" s="1316"/>
    </row>
    <row r="30" spans="1:11" ht="12.75" customHeight="1" x14ac:dyDescent="0.25">
      <c r="A30" s="63" t="str">
        <f t="shared" si="1"/>
        <v>Financial derivatives</v>
      </c>
      <c r="B30" s="55"/>
      <c r="C30" s="1316"/>
      <c r="D30" s="1316"/>
      <c r="E30" s="1317"/>
      <c r="F30" s="1318"/>
      <c r="G30" s="1316"/>
      <c r="H30" s="1319"/>
      <c r="I30" s="1320"/>
      <c r="J30" s="1316"/>
      <c r="K30" s="1316"/>
    </row>
    <row r="31" spans="1:11" ht="12.75" customHeight="1" x14ac:dyDescent="0.25">
      <c r="A31" s="63" t="str">
        <f t="shared" si="1"/>
        <v>Other Securities</v>
      </c>
      <c r="B31" s="55"/>
      <c r="C31" s="1316"/>
      <c r="D31" s="1316"/>
      <c r="E31" s="1317"/>
      <c r="F31" s="1318"/>
      <c r="G31" s="1316"/>
      <c r="H31" s="1319"/>
      <c r="I31" s="1320"/>
      <c r="J31" s="1316"/>
      <c r="K31" s="1316"/>
    </row>
    <row r="32" spans="1:11" ht="12.75" customHeight="1" x14ac:dyDescent="0.25">
      <c r="A32" s="118" t="s">
        <v>153</v>
      </c>
      <c r="B32" s="55">
        <v>1</v>
      </c>
      <c r="C32" s="81">
        <f>SUM(C20:C31)</f>
        <v>0</v>
      </c>
      <c r="D32" s="81">
        <f t="shared" ref="D32:K32" si="2">SUM(D20:D31)</f>
        <v>0</v>
      </c>
      <c r="E32" s="80">
        <f t="shared" si="2"/>
        <v>0</v>
      </c>
      <c r="F32" s="83">
        <f t="shared" si="2"/>
        <v>0</v>
      </c>
      <c r="G32" s="81">
        <f t="shared" si="2"/>
        <v>0</v>
      </c>
      <c r="H32" s="82">
        <f t="shared" si="2"/>
        <v>0</v>
      </c>
      <c r="I32" s="801">
        <f t="shared" si="2"/>
        <v>0</v>
      </c>
      <c r="J32" s="81">
        <f t="shared" si="2"/>
        <v>0</v>
      </c>
      <c r="K32" s="82">
        <f t="shared" si="2"/>
        <v>0</v>
      </c>
    </row>
    <row r="33" spans="1:45" ht="12.75" customHeight="1" x14ac:dyDescent="0.25">
      <c r="A33" s="74"/>
      <c r="B33" s="55"/>
      <c r="C33" s="76"/>
      <c r="D33" s="76"/>
      <c r="E33" s="75"/>
      <c r="F33" s="78"/>
      <c r="G33" s="76"/>
      <c r="H33" s="77"/>
      <c r="I33" s="1185"/>
      <c r="J33" s="76"/>
      <c r="K33" s="77"/>
    </row>
    <row r="34" spans="1:45" ht="12.75" customHeight="1" x14ac:dyDescent="0.25">
      <c r="A34" s="92" t="s">
        <v>1207</v>
      </c>
      <c r="B34" s="93">
        <v>1</v>
      </c>
      <c r="C34" s="95">
        <f>C17+C32</f>
        <v>0</v>
      </c>
      <c r="D34" s="95">
        <f t="shared" ref="D34:K34" si="3">D17+D32</f>
        <v>0</v>
      </c>
      <c r="E34" s="94">
        <f t="shared" si="3"/>
        <v>0</v>
      </c>
      <c r="F34" s="97">
        <f t="shared" si="3"/>
        <v>0</v>
      </c>
      <c r="G34" s="95">
        <f t="shared" si="3"/>
        <v>0</v>
      </c>
      <c r="H34" s="96">
        <f t="shared" si="3"/>
        <v>0</v>
      </c>
      <c r="I34" s="1296">
        <f t="shared" si="3"/>
        <v>63750000</v>
      </c>
      <c r="J34" s="95">
        <f t="shared" si="3"/>
        <v>46750000</v>
      </c>
      <c r="K34" s="96">
        <f t="shared" si="3"/>
        <v>29750000</v>
      </c>
    </row>
    <row r="35" spans="1:45" ht="12.75" customHeight="1" x14ac:dyDescent="0.25">
      <c r="A35" s="103"/>
      <c r="C35" s="85"/>
      <c r="D35" s="85"/>
      <c r="E35" s="85"/>
      <c r="F35" s="88"/>
      <c r="G35" s="85"/>
      <c r="H35" s="87"/>
      <c r="I35" s="85"/>
      <c r="J35" s="85"/>
      <c r="K35" s="85"/>
    </row>
    <row r="36" spans="1:45" ht="18.75" customHeight="1" x14ac:dyDescent="0.25">
      <c r="A36" s="624" t="s">
        <v>1960</v>
      </c>
      <c r="B36" s="220"/>
      <c r="C36" s="399"/>
      <c r="D36" s="399"/>
      <c r="E36" s="1837"/>
      <c r="F36" s="1057"/>
      <c r="G36" s="220"/>
      <c r="H36" s="625"/>
      <c r="I36" s="1188"/>
      <c r="J36" s="1186"/>
      <c r="K36" s="1187"/>
    </row>
    <row r="37" spans="1:45" ht="12.75" customHeight="1" x14ac:dyDescent="0.25">
      <c r="A37" s="54" t="s">
        <v>155</v>
      </c>
      <c r="B37" s="55"/>
      <c r="C37" s="76"/>
      <c r="D37" s="76"/>
      <c r="E37" s="75"/>
      <c r="F37" s="79"/>
      <c r="G37" s="76"/>
      <c r="H37" s="333"/>
      <c r="I37" s="1185"/>
      <c r="J37" s="76"/>
      <c r="K37" s="333"/>
    </row>
    <row r="38" spans="1:45" ht="11.25" customHeight="1" x14ac:dyDescent="0.25">
      <c r="A38" s="63" t="s">
        <v>84</v>
      </c>
      <c r="B38" s="55"/>
      <c r="C38" s="1316"/>
      <c r="D38" s="1316"/>
      <c r="E38" s="1317"/>
      <c r="F38" s="1318"/>
      <c r="G38" s="1316"/>
      <c r="H38" s="1319"/>
      <c r="I38" s="1320"/>
      <c r="J38" s="1316"/>
      <c r="K38" s="1316"/>
    </row>
    <row r="39" spans="1:45" ht="11.25" customHeight="1" x14ac:dyDescent="0.25">
      <c r="A39" s="63" t="s">
        <v>247</v>
      </c>
      <c r="B39" s="55"/>
      <c r="C39" s="1316"/>
      <c r="D39" s="1316"/>
      <c r="E39" s="1317"/>
      <c r="F39" s="1318"/>
      <c r="G39" s="1316"/>
      <c r="H39" s="1319"/>
      <c r="I39" s="1320"/>
      <c r="J39" s="1316"/>
      <c r="K39" s="1316"/>
    </row>
    <row r="40" spans="1:45" ht="11.25" customHeight="1" x14ac:dyDescent="0.25">
      <c r="A40" s="63" t="s">
        <v>85</v>
      </c>
      <c r="B40" s="55"/>
      <c r="C40" s="1316"/>
      <c r="D40" s="1316"/>
      <c r="E40" s="1317"/>
      <c r="F40" s="1318"/>
      <c r="G40" s="1316"/>
      <c r="H40" s="1319"/>
      <c r="I40" s="1320"/>
      <c r="J40" s="1316"/>
      <c r="K40" s="1316"/>
    </row>
    <row r="41" spans="1:45" ht="11.25" customHeight="1" x14ac:dyDescent="0.25">
      <c r="A41" s="63" t="s">
        <v>486</v>
      </c>
      <c r="B41" s="55"/>
      <c r="C41" s="1316"/>
      <c r="D41" s="1316"/>
      <c r="E41" s="1317"/>
      <c r="F41" s="1318"/>
      <c r="G41" s="1316"/>
      <c r="H41" s="1319"/>
      <c r="I41" s="1320"/>
      <c r="J41" s="1316"/>
      <c r="K41" s="1316"/>
      <c r="AQ41" s="25">
        <v>439005000</v>
      </c>
      <c r="AS41" s="25">
        <v>539442200</v>
      </c>
    </row>
    <row r="42" spans="1:45" ht="11.25" customHeight="1" x14ac:dyDescent="0.25">
      <c r="A42" s="63" t="s">
        <v>487</v>
      </c>
      <c r="B42" s="55"/>
      <c r="C42" s="1316"/>
      <c r="D42" s="1316"/>
      <c r="E42" s="1317"/>
      <c r="F42" s="1318"/>
      <c r="G42" s="1316"/>
      <c r="H42" s="1319"/>
      <c r="I42" s="1320"/>
      <c r="J42" s="1316"/>
      <c r="K42" s="1316"/>
    </row>
    <row r="43" spans="1:45" ht="11.25" customHeight="1" x14ac:dyDescent="0.25">
      <c r="A43" s="63" t="s">
        <v>678</v>
      </c>
      <c r="B43" s="55"/>
      <c r="C43" s="1316"/>
      <c r="D43" s="1316"/>
      <c r="E43" s="1317"/>
      <c r="F43" s="1318"/>
      <c r="G43" s="1316"/>
      <c r="H43" s="1319"/>
      <c r="I43" s="1320"/>
      <c r="J43" s="1316"/>
      <c r="K43" s="1316"/>
      <c r="W43" s="25">
        <v>0</v>
      </c>
      <c r="Y43" s="25">
        <v>0</v>
      </c>
      <c r="AB43" s="25">
        <v>0</v>
      </c>
      <c r="AD43" s="25">
        <v>0</v>
      </c>
      <c r="AG43" s="25">
        <v>0</v>
      </c>
      <c r="AI43" s="25">
        <v>0</v>
      </c>
      <c r="AL43" s="25">
        <v>0</v>
      </c>
      <c r="AN43" s="25">
        <v>0</v>
      </c>
      <c r="AQ43" s="25">
        <v>1834701353</v>
      </c>
      <c r="AS43" s="25">
        <v>1241876995</v>
      </c>
    </row>
    <row r="44" spans="1:45" ht="11.25" customHeight="1" x14ac:dyDescent="0.25">
      <c r="A44" s="63" t="s">
        <v>87</v>
      </c>
      <c r="B44" s="55"/>
      <c r="C44" s="1316"/>
      <c r="D44" s="1316"/>
      <c r="E44" s="1317"/>
      <c r="F44" s="1318"/>
      <c r="G44" s="1316"/>
      <c r="H44" s="1319"/>
      <c r="I44" s="1320"/>
      <c r="J44" s="1316"/>
      <c r="K44" s="1316"/>
      <c r="AQ44" s="25">
        <v>839041298</v>
      </c>
      <c r="AS44" s="25">
        <v>440387617</v>
      </c>
    </row>
    <row r="45" spans="1:45" ht="11.25" customHeight="1" x14ac:dyDescent="0.25">
      <c r="A45" s="63" t="s">
        <v>88</v>
      </c>
      <c r="B45" s="55"/>
      <c r="C45" s="1316"/>
      <c r="D45" s="1316"/>
      <c r="E45" s="1317"/>
      <c r="F45" s="1318"/>
      <c r="G45" s="1316"/>
      <c r="H45" s="1319"/>
      <c r="I45" s="1320"/>
      <c r="J45" s="1316"/>
      <c r="K45" s="1316"/>
      <c r="AQ45" s="25">
        <v>976543638</v>
      </c>
      <c r="AS45" s="25">
        <v>782372961</v>
      </c>
    </row>
    <row r="46" spans="1:45" ht="11.25" customHeight="1" x14ac:dyDescent="0.25">
      <c r="A46" s="63" t="s">
        <v>89</v>
      </c>
      <c r="B46" s="55"/>
      <c r="C46" s="1316"/>
      <c r="D46" s="1316"/>
      <c r="E46" s="1317"/>
      <c r="F46" s="1318"/>
      <c r="G46" s="1316"/>
      <c r="H46" s="1319"/>
      <c r="I46" s="1320"/>
      <c r="J46" s="1316"/>
      <c r="K46" s="1316"/>
      <c r="AQ46" s="25">
        <v>19116417</v>
      </c>
      <c r="AS46" s="25">
        <v>19116417</v>
      </c>
    </row>
    <row r="47" spans="1:45" ht="11.25" customHeight="1" x14ac:dyDescent="0.25">
      <c r="A47" s="63" t="s">
        <v>90</v>
      </c>
      <c r="B47" s="55"/>
      <c r="C47" s="1316"/>
      <c r="D47" s="1316"/>
      <c r="E47" s="1317"/>
      <c r="F47" s="1318"/>
      <c r="G47" s="1316"/>
      <c r="H47" s="1319"/>
      <c r="I47" s="1320"/>
      <c r="J47" s="1316"/>
      <c r="K47" s="1316"/>
      <c r="AQ47" s="25">
        <v>2273706353</v>
      </c>
      <c r="AS47" s="25">
        <v>1781319195</v>
      </c>
    </row>
    <row r="48" spans="1:45" ht="11.25" customHeight="1" x14ac:dyDescent="0.25">
      <c r="A48" s="63" t="s">
        <v>679</v>
      </c>
      <c r="B48" s="55"/>
      <c r="C48" s="1316"/>
      <c r="D48" s="1316"/>
      <c r="E48" s="1317"/>
      <c r="F48" s="1318"/>
      <c r="G48" s="1316"/>
      <c r="H48" s="1319"/>
      <c r="I48" s="1320"/>
      <c r="J48" s="1316"/>
      <c r="K48" s="1316"/>
      <c r="AQ48" s="25">
        <v>180259232</v>
      </c>
      <c r="AS48" s="25">
        <v>140396729</v>
      </c>
    </row>
    <row r="49" spans="1:45" ht="11.25" customHeight="1" x14ac:dyDescent="0.25">
      <c r="A49" s="63" t="s">
        <v>91</v>
      </c>
      <c r="B49" s="55"/>
      <c r="C49" s="1316"/>
      <c r="D49" s="1316"/>
      <c r="E49" s="1317"/>
      <c r="F49" s="1318"/>
      <c r="G49" s="1316"/>
      <c r="H49" s="1319"/>
      <c r="I49" s="1320"/>
      <c r="J49" s="1316"/>
      <c r="K49" s="1316"/>
      <c r="AQ49" s="25">
        <v>125005000</v>
      </c>
      <c r="AS49" s="25">
        <v>100442200</v>
      </c>
    </row>
    <row r="50" spans="1:45" ht="11.25" customHeight="1" x14ac:dyDescent="0.25">
      <c r="A50" s="118" t="s">
        <v>154</v>
      </c>
      <c r="B50" s="55">
        <v>1</v>
      </c>
      <c r="C50" s="81">
        <f>SUM(C38:C49)</f>
        <v>0</v>
      </c>
      <c r="D50" s="81">
        <f t="shared" ref="D50:K50" si="4">SUM(D38:D49)</f>
        <v>0</v>
      </c>
      <c r="E50" s="80">
        <f t="shared" si="4"/>
        <v>0</v>
      </c>
      <c r="F50" s="83">
        <f t="shared" si="4"/>
        <v>0</v>
      </c>
      <c r="G50" s="81">
        <f t="shared" si="4"/>
        <v>0</v>
      </c>
      <c r="H50" s="82">
        <f t="shared" si="4"/>
        <v>0</v>
      </c>
      <c r="I50" s="801">
        <f t="shared" si="4"/>
        <v>0</v>
      </c>
      <c r="J50" s="81">
        <f t="shared" si="4"/>
        <v>0</v>
      </c>
      <c r="K50" s="82">
        <f t="shared" si="4"/>
        <v>0</v>
      </c>
      <c r="AQ50" s="25">
        <v>40341797</v>
      </c>
      <c r="AS50" s="25">
        <v>38954529</v>
      </c>
    </row>
    <row r="51" spans="1:45" ht="11.25" customHeight="1" x14ac:dyDescent="0.25">
      <c r="A51" s="118"/>
      <c r="B51" s="55"/>
      <c r="C51" s="86"/>
      <c r="D51" s="86"/>
      <c r="E51" s="85"/>
      <c r="F51" s="88"/>
      <c r="G51" s="86"/>
      <c r="H51" s="87"/>
      <c r="I51" s="824"/>
      <c r="J51" s="86"/>
      <c r="K51" s="87"/>
      <c r="AQ51" s="25">
        <v>14912435</v>
      </c>
      <c r="AS51" s="25">
        <v>1000000</v>
      </c>
    </row>
    <row r="52" spans="1:45" ht="11.25" customHeight="1" x14ac:dyDescent="0.25">
      <c r="A52" s="54" t="s">
        <v>585</v>
      </c>
      <c r="B52" s="55"/>
      <c r="C52" s="76"/>
      <c r="D52" s="76"/>
      <c r="E52" s="75"/>
      <c r="F52" s="78"/>
      <c r="G52" s="76"/>
      <c r="H52" s="77"/>
      <c r="I52" s="1185"/>
      <c r="J52" s="76"/>
      <c r="K52" s="77"/>
    </row>
    <row r="53" spans="1:45" ht="11.25" customHeight="1" x14ac:dyDescent="0.25">
      <c r="A53" s="63" t="str">
        <f t="shared" ref="A53:A64" si="5">A38</f>
        <v>Long-Term Loans (annuity/reducing balance)</v>
      </c>
      <c r="B53" s="55"/>
      <c r="C53" s="1316"/>
      <c r="D53" s="1316"/>
      <c r="E53" s="1317"/>
      <c r="F53" s="1318"/>
      <c r="G53" s="1316"/>
      <c r="H53" s="1319"/>
      <c r="I53" s="1320"/>
      <c r="J53" s="1316"/>
      <c r="K53" s="1316"/>
    </row>
    <row r="54" spans="1:45" ht="11.25" customHeight="1" x14ac:dyDescent="0.25">
      <c r="A54" s="63" t="str">
        <f t="shared" si="5"/>
        <v>Long-Term Loans (non-annuity)</v>
      </c>
      <c r="B54" s="55"/>
      <c r="C54" s="1316"/>
      <c r="D54" s="1316"/>
      <c r="E54" s="1317"/>
      <c r="F54" s="1318"/>
      <c r="G54" s="1316"/>
      <c r="H54" s="1319"/>
      <c r="I54" s="1320"/>
      <c r="J54" s="1316"/>
      <c r="K54" s="1316"/>
    </row>
    <row r="55" spans="1:45" ht="11.25" customHeight="1" x14ac:dyDescent="0.25">
      <c r="A55" s="63" t="str">
        <f t="shared" si="5"/>
        <v>Local registered stock</v>
      </c>
      <c r="B55" s="55"/>
      <c r="C55" s="1316"/>
      <c r="D55" s="1316"/>
      <c r="E55" s="1317"/>
      <c r="F55" s="1318"/>
      <c r="G55" s="1316"/>
      <c r="H55" s="1319"/>
      <c r="I55" s="1320"/>
      <c r="J55" s="1316"/>
      <c r="K55" s="1316"/>
    </row>
    <row r="56" spans="1:45" ht="11.25" customHeight="1" x14ac:dyDescent="0.25">
      <c r="A56" s="63" t="str">
        <f t="shared" si="5"/>
        <v>Instalment Credit</v>
      </c>
      <c r="B56" s="55"/>
      <c r="C56" s="1316"/>
      <c r="D56" s="1316"/>
      <c r="E56" s="1317"/>
      <c r="F56" s="1318"/>
      <c r="G56" s="1316"/>
      <c r="H56" s="1319"/>
      <c r="I56" s="1320"/>
      <c r="J56" s="1316"/>
      <c r="K56" s="1316"/>
    </row>
    <row r="57" spans="1:45" ht="11.25" customHeight="1" x14ac:dyDescent="0.25">
      <c r="A57" s="63" t="str">
        <f t="shared" si="5"/>
        <v>Financial Leases</v>
      </c>
      <c r="B57" s="55"/>
      <c r="C57" s="1316"/>
      <c r="D57" s="1316"/>
      <c r="E57" s="1317"/>
      <c r="F57" s="1318"/>
      <c r="G57" s="1316"/>
      <c r="H57" s="1319"/>
      <c r="I57" s="1320"/>
      <c r="J57" s="1316"/>
      <c r="K57" s="1316"/>
    </row>
    <row r="58" spans="1:45" ht="11.25" customHeight="1" x14ac:dyDescent="0.25">
      <c r="A58" s="63" t="str">
        <f t="shared" si="5"/>
        <v>PPP liabilities</v>
      </c>
      <c r="B58" s="55"/>
      <c r="C58" s="1316"/>
      <c r="D58" s="1316"/>
      <c r="E58" s="1317"/>
      <c r="F58" s="1318"/>
      <c r="G58" s="1316"/>
      <c r="H58" s="1319"/>
      <c r="I58" s="1320"/>
      <c r="J58" s="1316"/>
      <c r="K58" s="1316"/>
    </row>
    <row r="59" spans="1:45" ht="11.25" customHeight="1" x14ac:dyDescent="0.25">
      <c r="A59" s="63" t="str">
        <f t="shared" si="5"/>
        <v>Finance Granted By Cap Equipment Supplier</v>
      </c>
      <c r="B59" s="55"/>
      <c r="C59" s="1316"/>
      <c r="D59" s="1316"/>
      <c r="E59" s="1317"/>
      <c r="F59" s="1318"/>
      <c r="G59" s="1316"/>
      <c r="H59" s="1319"/>
      <c r="I59" s="1320"/>
      <c r="J59" s="1316"/>
      <c r="K59" s="1316"/>
    </row>
    <row r="60" spans="1:45" ht="11.25" customHeight="1" x14ac:dyDescent="0.25">
      <c r="A60" s="63" t="str">
        <f t="shared" si="5"/>
        <v>Marketable Bonds</v>
      </c>
      <c r="B60" s="55"/>
      <c r="C60" s="1316"/>
      <c r="D60" s="1316"/>
      <c r="E60" s="1317"/>
      <c r="F60" s="1318"/>
      <c r="G60" s="1316"/>
      <c r="H60" s="1319"/>
      <c r="I60" s="1320"/>
      <c r="J60" s="1316"/>
      <c r="K60" s="1316"/>
    </row>
    <row r="61" spans="1:45" ht="11.25" customHeight="1" x14ac:dyDescent="0.25">
      <c r="A61" s="63" t="str">
        <f t="shared" si="5"/>
        <v>Non-Marketable Bonds</v>
      </c>
      <c r="B61" s="55"/>
      <c r="C61" s="1316"/>
      <c r="D61" s="1316"/>
      <c r="E61" s="1317"/>
      <c r="F61" s="1318"/>
      <c r="G61" s="1316"/>
      <c r="H61" s="1319"/>
      <c r="I61" s="1320"/>
      <c r="J61" s="1316"/>
      <c r="K61" s="1316"/>
    </row>
    <row r="62" spans="1:45" ht="11.25" customHeight="1" x14ac:dyDescent="0.25">
      <c r="A62" s="63" t="str">
        <f t="shared" si="5"/>
        <v>Bankers Acceptances</v>
      </c>
      <c r="B62" s="55"/>
      <c r="C62" s="1316"/>
      <c r="D62" s="1316"/>
      <c r="E62" s="1317"/>
      <c r="F62" s="1318"/>
      <c r="G62" s="1316"/>
      <c r="H62" s="1319"/>
      <c r="I62" s="1320"/>
      <c r="J62" s="1316"/>
      <c r="K62" s="1316"/>
    </row>
    <row r="63" spans="1:45" ht="11.25" customHeight="1" x14ac:dyDescent="0.25">
      <c r="A63" s="63" t="str">
        <f t="shared" si="5"/>
        <v>Financial derivatives</v>
      </c>
      <c r="B63" s="55"/>
      <c r="C63" s="1316"/>
      <c r="D63" s="1316"/>
      <c r="E63" s="1317"/>
      <c r="F63" s="1318"/>
      <c r="G63" s="1316"/>
      <c r="H63" s="1319"/>
      <c r="I63" s="1320"/>
      <c r="J63" s="1316"/>
      <c r="K63" s="1316"/>
    </row>
    <row r="64" spans="1:45" ht="11.25" customHeight="1" x14ac:dyDescent="0.25">
      <c r="A64" s="63" t="str">
        <f t="shared" si="5"/>
        <v>Other Securities</v>
      </c>
      <c r="B64" s="55"/>
      <c r="C64" s="1316"/>
      <c r="D64" s="1316"/>
      <c r="E64" s="1317"/>
      <c r="F64" s="1318"/>
      <c r="G64" s="1316"/>
      <c r="H64" s="1319"/>
      <c r="I64" s="1320"/>
      <c r="J64" s="1316"/>
      <c r="K64" s="1316"/>
    </row>
    <row r="65" spans="1:11" ht="11.25" customHeight="1" x14ac:dyDescent="0.25">
      <c r="A65" s="118" t="s">
        <v>153</v>
      </c>
      <c r="B65" s="55">
        <v>1</v>
      </c>
      <c r="C65" s="81">
        <f>SUM(C53:C64)</f>
        <v>0</v>
      </c>
      <c r="D65" s="81">
        <f t="shared" ref="D65:K65" si="6">SUM(D53:D64)</f>
        <v>0</v>
      </c>
      <c r="E65" s="80">
        <f t="shared" si="6"/>
        <v>0</v>
      </c>
      <c r="F65" s="83">
        <f t="shared" si="6"/>
        <v>0</v>
      </c>
      <c r="G65" s="81">
        <f t="shared" si="6"/>
        <v>0</v>
      </c>
      <c r="H65" s="82">
        <f t="shared" si="6"/>
        <v>0</v>
      </c>
      <c r="I65" s="801">
        <f t="shared" si="6"/>
        <v>0</v>
      </c>
      <c r="J65" s="81">
        <f t="shared" si="6"/>
        <v>0</v>
      </c>
      <c r="K65" s="82">
        <f t="shared" si="6"/>
        <v>0</v>
      </c>
    </row>
    <row r="66" spans="1:11" ht="11.25" customHeight="1" x14ac:dyDescent="0.25">
      <c r="A66" s="74"/>
      <c r="B66" s="55"/>
      <c r="C66" s="76"/>
      <c r="D66" s="76"/>
      <c r="E66" s="75"/>
      <c r="F66" s="78"/>
      <c r="G66" s="76"/>
      <c r="H66" s="77"/>
      <c r="I66" s="1185"/>
      <c r="J66" s="76"/>
      <c r="K66" s="77"/>
    </row>
    <row r="67" spans="1:11" ht="11.25" customHeight="1" x14ac:dyDescent="0.25">
      <c r="A67" s="92" t="s">
        <v>1961</v>
      </c>
      <c r="B67" s="93">
        <v>1</v>
      </c>
      <c r="C67" s="95">
        <f>C50+C65</f>
        <v>0</v>
      </c>
      <c r="D67" s="95">
        <f t="shared" ref="D67:K67" si="7">D50+D65</f>
        <v>0</v>
      </c>
      <c r="E67" s="94">
        <f t="shared" si="7"/>
        <v>0</v>
      </c>
      <c r="F67" s="97">
        <f t="shared" si="7"/>
        <v>0</v>
      </c>
      <c r="G67" s="95">
        <f t="shared" si="7"/>
        <v>0</v>
      </c>
      <c r="H67" s="96">
        <f t="shared" si="7"/>
        <v>0</v>
      </c>
      <c r="I67" s="1296">
        <f t="shared" si="7"/>
        <v>0</v>
      </c>
      <c r="J67" s="95">
        <f t="shared" si="7"/>
        <v>0</v>
      </c>
      <c r="K67" s="96">
        <f t="shared" si="7"/>
        <v>0</v>
      </c>
    </row>
    <row r="68" spans="1:11" ht="11.25" customHeight="1" x14ac:dyDescent="0.25">
      <c r="C68" s="148"/>
      <c r="D68" s="148"/>
      <c r="E68" s="148"/>
      <c r="F68" s="148"/>
      <c r="G68" s="148"/>
      <c r="H68" s="148"/>
      <c r="I68" s="148"/>
      <c r="J68" s="148"/>
      <c r="K68" s="148"/>
    </row>
    <row r="69" spans="1:11" ht="11.25" customHeight="1" x14ac:dyDescent="0.25">
      <c r="A69" s="101" t="str">
        <f>head27a</f>
        <v>References</v>
      </c>
      <c r="C69" s="148"/>
      <c r="D69" s="148"/>
      <c r="E69" s="148"/>
      <c r="F69" s="148"/>
      <c r="G69" s="148"/>
      <c r="H69" s="148"/>
      <c r="I69" s="148"/>
      <c r="J69" s="148"/>
      <c r="K69" s="148"/>
    </row>
    <row r="70" spans="1:11" ht="11.25" customHeight="1" x14ac:dyDescent="0.25">
      <c r="A70" s="132" t="s">
        <v>1128</v>
      </c>
      <c r="C70" s="104"/>
      <c r="D70" s="103"/>
      <c r="E70" s="104"/>
      <c r="F70" s="104"/>
      <c r="G70" s="104"/>
      <c r="H70" s="104"/>
      <c r="I70" s="104"/>
      <c r="J70" s="104"/>
      <c r="K70" s="104"/>
    </row>
    <row r="71" spans="1:11" ht="11.25" customHeight="1" x14ac:dyDescent="0.25">
      <c r="A71" s="133" t="s">
        <v>485</v>
      </c>
      <c r="C71" s="770">
        <f>C34-'A6-FinPos'!C37</f>
        <v>0</v>
      </c>
      <c r="D71" s="770">
        <f>D34-'A6-FinPos'!D37</f>
        <v>0</v>
      </c>
      <c r="E71" s="770">
        <f>E34-'A6-FinPos'!E37</f>
        <v>0</v>
      </c>
      <c r="F71" s="770">
        <f>F34-'A6-FinPos'!F37</f>
        <v>0</v>
      </c>
      <c r="G71" s="770">
        <f>G34-'A6-FinPos'!G37</f>
        <v>0</v>
      </c>
      <c r="H71" s="770">
        <f>H34-'A6-FinPos'!H37</f>
        <v>0</v>
      </c>
      <c r="I71" s="770">
        <f>I34-'A6-FinPos'!J37</f>
        <v>0</v>
      </c>
      <c r="J71" s="770">
        <f>J34-'A6-FinPos'!K37</f>
        <v>0</v>
      </c>
      <c r="K71" s="770">
        <f>K34-'A6-FinPos'!L37</f>
        <v>0</v>
      </c>
    </row>
    <row r="72" spans="1:11" ht="11.25" customHeight="1" x14ac:dyDescent="0.25">
      <c r="F72" s="148"/>
    </row>
  </sheetData>
  <mergeCells count="2">
    <mergeCell ref="F2:H2"/>
    <mergeCell ref="I2:K2"/>
  </mergeCells>
  <phoneticPr fontId="3" type="noConversion"/>
  <printOptions horizontalCentered="1"/>
  <pageMargins left="0" right="0" top="0.78740157480314965" bottom="0.59055118110236227" header="0.51181102362204722" footer="0.39370078740157483"/>
  <pageSetup paperSize="9" scale="85" orientation="portrait"/>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K86"/>
  <sheetViews>
    <sheetView showGridLines="0" zoomScaleNormal="100" workbookViewId="0">
      <pane xSplit="2" ySplit="3" topLeftCell="C4" activePane="bottomRight" state="frozen"/>
      <selection pane="topRight"/>
      <selection pane="bottomLeft"/>
      <selection pane="bottomRight" activeCell="D9" sqref="D9"/>
    </sheetView>
  </sheetViews>
  <sheetFormatPr defaultRowHeight="12.75" x14ac:dyDescent="0.25"/>
  <cols>
    <col min="1" max="1" width="30.7109375" style="25" customWidth="1"/>
    <col min="2" max="2" width="7.42578125" style="102" customWidth="1"/>
    <col min="3" max="4" width="12.5703125" style="25" customWidth="1"/>
    <col min="5" max="5" width="12.7109375" style="25" customWidth="1"/>
    <col min="6"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customHeight="1" x14ac:dyDescent="0.25">
      <c r="A1" s="23" t="str">
        <f>muni&amp;" - "&amp; TableA18</f>
        <v>EC101 Dr Beyers Naude - Supporting Table SA18 Transfers and grant receipts</v>
      </c>
      <c r="B1" s="23"/>
      <c r="C1" s="23"/>
      <c r="D1" s="23"/>
      <c r="E1" s="23"/>
      <c r="F1" s="23"/>
      <c r="G1" s="23"/>
      <c r="H1" s="23"/>
      <c r="I1" s="23"/>
      <c r="J1" s="23"/>
      <c r="K1" s="23"/>
    </row>
    <row r="2" spans="1:11" ht="28.5" customHeight="1" x14ac:dyDescent="0.25">
      <c r="A2" s="614" t="str">
        <f>desc</f>
        <v>Description</v>
      </c>
      <c r="B2" s="220" t="str">
        <f>head27</f>
        <v>Ref</v>
      </c>
      <c r="C2" s="26" t="str">
        <f>head1b</f>
        <v>2015/16</v>
      </c>
      <c r="D2" s="475"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53" t="s">
        <v>573</v>
      </c>
      <c r="B3" s="619"/>
      <c r="C3" s="203" t="str">
        <f>Head5</f>
        <v>Audited Outcome</v>
      </c>
      <c r="D3" s="627"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1.25" customHeight="1" x14ac:dyDescent="0.25">
      <c r="A4" s="118" t="s">
        <v>1129</v>
      </c>
      <c r="B4" s="136" t="s">
        <v>1361</v>
      </c>
      <c r="C4" s="476"/>
      <c r="D4" s="476"/>
      <c r="E4" s="477"/>
      <c r="F4" s="478"/>
      <c r="G4" s="476"/>
      <c r="H4" s="479"/>
      <c r="I4" s="480"/>
      <c r="J4" s="476"/>
      <c r="K4" s="477"/>
    </row>
    <row r="5" spans="1:11" ht="4.9000000000000004" customHeight="1" x14ac:dyDescent="0.25">
      <c r="A5" s="54"/>
      <c r="B5" s="55"/>
      <c r="C5" s="86"/>
      <c r="D5" s="86"/>
      <c r="E5" s="87"/>
      <c r="F5" s="88"/>
      <c r="G5" s="86"/>
      <c r="H5" s="85"/>
      <c r="I5" s="89"/>
      <c r="J5" s="86"/>
      <c r="K5" s="87"/>
    </row>
    <row r="6" spans="1:11" ht="11.25" customHeight="1" x14ac:dyDescent="0.25">
      <c r="A6" s="54" t="s">
        <v>310</v>
      </c>
      <c r="B6" s="55"/>
      <c r="C6" s="86"/>
      <c r="D6" s="86"/>
      <c r="E6" s="87"/>
      <c r="F6" s="88"/>
      <c r="G6" s="86"/>
      <c r="H6" s="85"/>
      <c r="I6" s="89"/>
      <c r="J6" s="86"/>
      <c r="K6" s="87"/>
    </row>
    <row r="7" spans="1:11" ht="18" customHeight="1" x14ac:dyDescent="0.25">
      <c r="A7" s="189" t="s">
        <v>901</v>
      </c>
      <c r="B7" s="55"/>
      <c r="C7" s="86">
        <f>SUM(C8:C14)</f>
        <v>0</v>
      </c>
      <c r="D7" s="86">
        <f t="shared" ref="D7:K7" si="0">SUM(D8:D14)</f>
        <v>0</v>
      </c>
      <c r="E7" s="87">
        <f t="shared" si="0"/>
        <v>0</v>
      </c>
      <c r="F7" s="88">
        <f t="shared" si="0"/>
        <v>90395000</v>
      </c>
      <c r="G7" s="86">
        <f t="shared" si="0"/>
        <v>91395000</v>
      </c>
      <c r="H7" s="85">
        <f t="shared" si="0"/>
        <v>91395000</v>
      </c>
      <c r="I7" s="89">
        <f t="shared" si="0"/>
        <v>96127000</v>
      </c>
      <c r="J7" s="86">
        <f t="shared" si="0"/>
        <v>99797000</v>
      </c>
      <c r="K7" s="87">
        <f t="shared" si="0"/>
        <v>106598000</v>
      </c>
    </row>
    <row r="8" spans="1:11" ht="11.25" customHeight="1" x14ac:dyDescent="0.25">
      <c r="A8" s="187" t="s">
        <v>1707</v>
      </c>
      <c r="B8" s="55" t="str">
        <f t="shared" ref="B8:B13" si="1">IF(A8="  Levy replacement",3,"")</f>
        <v/>
      </c>
      <c r="C8" s="1321"/>
      <c r="D8" s="1321"/>
      <c r="E8" s="1602"/>
      <c r="F8" s="1630">
        <v>83278000</v>
      </c>
      <c r="G8" s="1321">
        <v>83278000</v>
      </c>
      <c r="H8" s="1631">
        <v>83278000</v>
      </c>
      <c r="I8" s="1632">
        <v>90876000</v>
      </c>
      <c r="J8" s="1321">
        <v>96797000</v>
      </c>
      <c r="K8" s="1602">
        <v>103334000</v>
      </c>
    </row>
    <row r="9" spans="1:11" ht="11.25" customHeight="1" x14ac:dyDescent="0.25">
      <c r="A9" s="1629" t="s">
        <v>1705</v>
      </c>
      <c r="B9" s="55" t="str">
        <f t="shared" si="1"/>
        <v/>
      </c>
      <c r="C9" s="1316"/>
      <c r="D9" s="1316"/>
      <c r="E9" s="1325"/>
      <c r="F9" s="1326">
        <v>6085000</v>
      </c>
      <c r="G9" s="1316">
        <v>6085000</v>
      </c>
      <c r="H9" s="1327">
        <v>6085000</v>
      </c>
      <c r="I9" s="1318">
        <v>4000000</v>
      </c>
      <c r="J9" s="1316">
        <v>3000000</v>
      </c>
      <c r="K9" s="1325">
        <v>3264000</v>
      </c>
    </row>
    <row r="10" spans="1:11" ht="11.25" customHeight="1" x14ac:dyDescent="0.25">
      <c r="A10" s="1629" t="s">
        <v>1695</v>
      </c>
      <c r="B10" s="55" t="str">
        <f t="shared" si="1"/>
        <v/>
      </c>
      <c r="C10" s="1316"/>
      <c r="D10" s="1316"/>
      <c r="E10" s="1325"/>
      <c r="F10" s="1326">
        <v>1032000</v>
      </c>
      <c r="G10" s="1316">
        <v>1032000</v>
      </c>
      <c r="H10" s="1327">
        <v>1032000</v>
      </c>
      <c r="I10" s="1318">
        <v>1251000</v>
      </c>
      <c r="J10" s="1316">
        <v>0</v>
      </c>
      <c r="K10" s="1325">
        <v>0</v>
      </c>
    </row>
    <row r="11" spans="1:11" ht="11.25" customHeight="1" x14ac:dyDescent="0.25">
      <c r="A11" s="1629" t="s">
        <v>1704</v>
      </c>
      <c r="B11" s="55" t="str">
        <f t="shared" si="1"/>
        <v/>
      </c>
      <c r="C11" s="1316"/>
      <c r="D11" s="1316"/>
      <c r="E11" s="1325"/>
      <c r="F11" s="1326"/>
      <c r="G11" s="1316">
        <v>1000000</v>
      </c>
      <c r="H11" s="1327">
        <v>1000000</v>
      </c>
      <c r="I11" s="1318">
        <v>0</v>
      </c>
      <c r="J11" s="1316">
        <v>0</v>
      </c>
      <c r="K11" s="1325">
        <v>0</v>
      </c>
    </row>
    <row r="12" spans="1:11" ht="11.25" customHeight="1" x14ac:dyDescent="0.25">
      <c r="A12" s="1629"/>
      <c r="B12" s="55" t="str">
        <f t="shared" si="1"/>
        <v/>
      </c>
      <c r="C12" s="1316"/>
      <c r="D12" s="1316"/>
      <c r="E12" s="1325"/>
      <c r="F12" s="1326"/>
      <c r="G12" s="1316"/>
      <c r="H12" s="1327"/>
      <c r="I12" s="1318"/>
      <c r="J12" s="1316"/>
      <c r="K12" s="1325"/>
    </row>
    <row r="13" spans="1:11" ht="11.25" customHeight="1" x14ac:dyDescent="0.25">
      <c r="A13" s="1629"/>
      <c r="B13" s="55" t="str">
        <f t="shared" si="1"/>
        <v/>
      </c>
      <c r="C13" s="1316"/>
      <c r="D13" s="1316"/>
      <c r="E13" s="1325"/>
      <c r="F13" s="1326"/>
      <c r="G13" s="1316"/>
      <c r="H13" s="1327"/>
      <c r="I13" s="1318"/>
      <c r="J13" s="1316"/>
      <c r="K13" s="1325"/>
    </row>
    <row r="14" spans="1:11" ht="18" customHeight="1" x14ac:dyDescent="0.25">
      <c r="A14" s="1629" t="s">
        <v>1090</v>
      </c>
      <c r="B14" s="55"/>
      <c r="C14" s="1346"/>
      <c r="D14" s="1346"/>
      <c r="E14" s="1349"/>
      <c r="F14" s="1633"/>
      <c r="G14" s="1346"/>
      <c r="H14" s="1634"/>
      <c r="I14" s="1348"/>
      <c r="J14" s="1346"/>
      <c r="K14" s="1349"/>
    </row>
    <row r="15" spans="1:11" ht="18" customHeight="1" x14ac:dyDescent="0.25">
      <c r="A15" s="189" t="s">
        <v>902</v>
      </c>
      <c r="B15" s="55"/>
      <c r="C15" s="86">
        <f>SUM(C16:C20)</f>
        <v>0</v>
      </c>
      <c r="D15" s="86">
        <f t="shared" ref="D15:K15" si="2">SUM(D16:D20)</f>
        <v>0</v>
      </c>
      <c r="E15" s="87">
        <f t="shared" si="2"/>
        <v>0</v>
      </c>
      <c r="F15" s="88">
        <f t="shared" si="2"/>
        <v>3507780</v>
      </c>
      <c r="G15" s="86">
        <f t="shared" si="2"/>
        <v>5599530</v>
      </c>
      <c r="H15" s="85">
        <f t="shared" si="2"/>
        <v>5599530</v>
      </c>
      <c r="I15" s="89">
        <f t="shared" si="2"/>
        <v>2446480</v>
      </c>
      <c r="J15" s="86">
        <f t="shared" si="2"/>
        <v>2593268.8000000003</v>
      </c>
      <c r="K15" s="87">
        <f t="shared" si="2"/>
        <v>2748864.9280000003</v>
      </c>
    </row>
    <row r="16" spans="1:11" ht="11.25" customHeight="1" x14ac:dyDescent="0.25">
      <c r="A16" s="1629" t="s">
        <v>2672</v>
      </c>
      <c r="B16" s="55" t="str">
        <f>IF(A16="  Housing",4,"")</f>
        <v/>
      </c>
      <c r="C16" s="1321"/>
      <c r="D16" s="1321"/>
      <c r="E16" s="1602"/>
      <c r="F16" s="1630">
        <v>2308000</v>
      </c>
      <c r="G16" s="1321">
        <v>2308000</v>
      </c>
      <c r="H16" s="1631">
        <v>2308000</v>
      </c>
      <c r="I16" s="1632">
        <f>H16*1.06</f>
        <v>2446480</v>
      </c>
      <c r="J16" s="1632">
        <f t="shared" ref="J16:K16" si="3">I16*1.06</f>
        <v>2593268.8000000003</v>
      </c>
      <c r="K16" s="1632">
        <f t="shared" si="3"/>
        <v>2748864.9280000003</v>
      </c>
    </row>
    <row r="17" spans="1:11" ht="11.25" customHeight="1" x14ac:dyDescent="0.25">
      <c r="A17" s="1629" t="s">
        <v>1513</v>
      </c>
      <c r="B17" s="55" t="str">
        <f>IF(A17="  Housing",4,"")</f>
        <v/>
      </c>
      <c r="C17" s="1316"/>
      <c r="D17" s="1316"/>
      <c r="E17" s="1325"/>
      <c r="F17" s="1326">
        <v>93780</v>
      </c>
      <c r="G17" s="1316">
        <v>93780</v>
      </c>
      <c r="H17" s="1327">
        <v>93780</v>
      </c>
      <c r="I17" s="1632">
        <v>0</v>
      </c>
      <c r="J17" s="1632">
        <f t="shared" ref="J17:K17" si="4">I17*1.06</f>
        <v>0</v>
      </c>
      <c r="K17" s="1632">
        <f t="shared" si="4"/>
        <v>0</v>
      </c>
    </row>
    <row r="18" spans="1:11" ht="11.25" customHeight="1" x14ac:dyDescent="0.25">
      <c r="A18" s="1629" t="s">
        <v>2673</v>
      </c>
      <c r="B18" s="55" t="str">
        <f>IF(A18="  Housing",4,"")</f>
        <v/>
      </c>
      <c r="C18" s="1316"/>
      <c r="D18" s="1316"/>
      <c r="E18" s="1325"/>
      <c r="F18" s="1326">
        <v>1106000</v>
      </c>
      <c r="G18" s="1316">
        <v>0</v>
      </c>
      <c r="H18" s="1327">
        <v>0</v>
      </c>
      <c r="I18" s="1632">
        <f t="shared" ref="I18:K18" si="5">H18*1.06</f>
        <v>0</v>
      </c>
      <c r="J18" s="1632">
        <f t="shared" si="5"/>
        <v>0</v>
      </c>
      <c r="K18" s="1632">
        <f t="shared" si="5"/>
        <v>0</v>
      </c>
    </row>
    <row r="19" spans="1:11" ht="11.25" customHeight="1" x14ac:dyDescent="0.25">
      <c r="A19" s="1629" t="s">
        <v>2674</v>
      </c>
      <c r="B19" s="55" t="str">
        <f>IF(A19="  Housing",4,"")</f>
        <v/>
      </c>
      <c r="C19" s="1316"/>
      <c r="D19" s="1316"/>
      <c r="E19" s="1325"/>
      <c r="F19" s="1326"/>
      <c r="G19" s="1316">
        <v>3197750</v>
      </c>
      <c r="H19" s="1327">
        <v>3197750</v>
      </c>
      <c r="I19" s="1632">
        <v>0</v>
      </c>
      <c r="J19" s="1632">
        <f t="shared" ref="J19:K19" si="6">I19*1.06</f>
        <v>0</v>
      </c>
      <c r="K19" s="1632">
        <f t="shared" si="6"/>
        <v>0</v>
      </c>
    </row>
    <row r="20" spans="1:11" ht="11.25" customHeight="1" x14ac:dyDescent="0.25">
      <c r="A20" s="1770" t="str">
        <f>A14</f>
        <v xml:space="preserve">  Other transfers/grants [insert description]</v>
      </c>
      <c r="B20" s="55"/>
      <c r="C20" s="1346"/>
      <c r="D20" s="1346"/>
      <c r="E20" s="1349"/>
      <c r="F20" s="1633"/>
      <c r="G20" s="1346"/>
      <c r="H20" s="1634"/>
      <c r="I20" s="1348"/>
      <c r="J20" s="1346"/>
      <c r="K20" s="1349"/>
    </row>
    <row r="21" spans="1:11" ht="18" customHeight="1" x14ac:dyDescent="0.25">
      <c r="A21" s="189" t="s">
        <v>936</v>
      </c>
      <c r="B21" s="55"/>
      <c r="C21" s="86">
        <f>SUM(C22:C23)</f>
        <v>0</v>
      </c>
      <c r="D21" s="86">
        <f t="shared" ref="D21:K21" si="7">SUM(D22:D23)</f>
        <v>0</v>
      </c>
      <c r="E21" s="87">
        <f t="shared" si="7"/>
        <v>0</v>
      </c>
      <c r="F21" s="88">
        <f t="shared" si="7"/>
        <v>3241529.8200000003</v>
      </c>
      <c r="G21" s="86">
        <f t="shared" si="7"/>
        <v>3249025</v>
      </c>
      <c r="H21" s="85">
        <f t="shared" si="7"/>
        <v>3249025</v>
      </c>
      <c r="I21" s="89">
        <f t="shared" si="7"/>
        <v>3443966.5</v>
      </c>
      <c r="J21" s="86">
        <f t="shared" si="7"/>
        <v>3650604.49</v>
      </c>
      <c r="K21" s="87">
        <f t="shared" si="7"/>
        <v>3869640.7594000008</v>
      </c>
    </row>
    <row r="22" spans="1:11" ht="11.25" customHeight="1" x14ac:dyDescent="0.25">
      <c r="A22" s="1635" t="s">
        <v>2675</v>
      </c>
      <c r="B22" s="55"/>
      <c r="C22" s="1321"/>
      <c r="D22" s="1321"/>
      <c r="E22" s="1602"/>
      <c r="F22" s="1630">
        <v>1279999.82</v>
      </c>
      <c r="G22" s="1321">
        <v>1369125</v>
      </c>
      <c r="H22" s="1631">
        <v>1369125</v>
      </c>
      <c r="I22" s="1632">
        <f t="shared" ref="I22:K23" si="8">H22*1.06</f>
        <v>1451272.5</v>
      </c>
      <c r="J22" s="1321">
        <f t="shared" si="8"/>
        <v>1538348.85</v>
      </c>
      <c r="K22" s="1602">
        <f t="shared" si="8"/>
        <v>1630649.7810000002</v>
      </c>
    </row>
    <row r="23" spans="1:11" ht="11.25" customHeight="1" x14ac:dyDescent="0.25">
      <c r="A23" s="1635" t="s">
        <v>2676</v>
      </c>
      <c r="B23" s="55"/>
      <c r="C23" s="1346"/>
      <c r="D23" s="1346"/>
      <c r="E23" s="1349"/>
      <c r="F23" s="1633">
        <v>1961530</v>
      </c>
      <c r="G23" s="1346">
        <v>1879900</v>
      </c>
      <c r="H23" s="1634">
        <v>1879900</v>
      </c>
      <c r="I23" s="1632">
        <f t="shared" si="8"/>
        <v>1992694</v>
      </c>
      <c r="J23" s="1321">
        <f t="shared" si="8"/>
        <v>2112255.64</v>
      </c>
      <c r="K23" s="1602">
        <f t="shared" si="8"/>
        <v>2238990.9784000004</v>
      </c>
    </row>
    <row r="24" spans="1:11" ht="18" customHeight="1" x14ac:dyDescent="0.25">
      <c r="A24" s="189" t="s">
        <v>515</v>
      </c>
      <c r="B24" s="55"/>
      <c r="C24" s="86">
        <f>SUM(C25:C26)</f>
        <v>0</v>
      </c>
      <c r="D24" s="86">
        <f t="shared" ref="D24:K24" si="9">SUM(D25:D26)</f>
        <v>0</v>
      </c>
      <c r="E24" s="87">
        <f t="shared" si="9"/>
        <v>0</v>
      </c>
      <c r="F24" s="88">
        <f t="shared" si="9"/>
        <v>296800</v>
      </c>
      <c r="G24" s="86">
        <f t="shared" si="9"/>
        <v>863800</v>
      </c>
      <c r="H24" s="85">
        <f t="shared" si="9"/>
        <v>863800</v>
      </c>
      <c r="I24" s="89">
        <f t="shared" si="9"/>
        <v>314608</v>
      </c>
      <c r="J24" s="86">
        <f t="shared" si="9"/>
        <v>333484.48000000004</v>
      </c>
      <c r="K24" s="87">
        <f t="shared" si="9"/>
        <v>353493.54880000005</v>
      </c>
    </row>
    <row r="25" spans="1:11" ht="11.25" customHeight="1" x14ac:dyDescent="0.25">
      <c r="A25" s="1635" t="s">
        <v>2677</v>
      </c>
      <c r="B25" s="55"/>
      <c r="C25" s="1321"/>
      <c r="D25" s="1321"/>
      <c r="E25" s="1602"/>
      <c r="F25" s="1630">
        <v>296800</v>
      </c>
      <c r="G25" s="1321">
        <v>296800</v>
      </c>
      <c r="H25" s="1631">
        <v>296800</v>
      </c>
      <c r="I25" s="1632">
        <f>H25*1.06</f>
        <v>314608</v>
      </c>
      <c r="J25" s="1321">
        <f>I25*1.06</f>
        <v>333484.48000000004</v>
      </c>
      <c r="K25" s="1602">
        <f>J25*1.06</f>
        <v>353493.54880000005</v>
      </c>
    </row>
    <row r="26" spans="1:11" ht="11.25" customHeight="1" x14ac:dyDescent="0.25">
      <c r="A26" s="1635" t="s">
        <v>2678</v>
      </c>
      <c r="B26" s="55"/>
      <c r="C26" s="1346"/>
      <c r="D26" s="1346"/>
      <c r="E26" s="1349"/>
      <c r="F26" s="1633"/>
      <c r="G26" s="1346">
        <v>567000</v>
      </c>
      <c r="H26" s="1634">
        <v>567000</v>
      </c>
      <c r="I26" s="1348"/>
      <c r="J26" s="1346"/>
      <c r="K26" s="1349"/>
    </row>
    <row r="27" spans="1:11" s="488" customFormat="1" ht="15.75" customHeight="1" x14ac:dyDescent="0.2">
      <c r="A27" s="481" t="s">
        <v>311</v>
      </c>
      <c r="B27" s="482">
        <v>5</v>
      </c>
      <c r="C27" s="483">
        <f>C7+C15+C21+C24</f>
        <v>0</v>
      </c>
      <c r="D27" s="483">
        <f t="shared" ref="D27:K27" si="10">D7+D15+D21+D24</f>
        <v>0</v>
      </c>
      <c r="E27" s="484">
        <f t="shared" si="10"/>
        <v>0</v>
      </c>
      <c r="F27" s="485">
        <f t="shared" si="10"/>
        <v>97441109.819999993</v>
      </c>
      <c r="G27" s="483">
        <f t="shared" si="10"/>
        <v>101107355</v>
      </c>
      <c r="H27" s="486">
        <f t="shared" si="10"/>
        <v>101107355</v>
      </c>
      <c r="I27" s="487">
        <f t="shared" si="10"/>
        <v>102332054.5</v>
      </c>
      <c r="J27" s="483">
        <f t="shared" si="10"/>
        <v>106374357.77</v>
      </c>
      <c r="K27" s="484">
        <f t="shared" si="10"/>
        <v>113569999.2362</v>
      </c>
    </row>
    <row r="28" spans="1:11" ht="4.9000000000000004" customHeight="1" x14ac:dyDescent="0.25">
      <c r="A28" s="74"/>
      <c r="B28" s="55"/>
      <c r="C28" s="76"/>
      <c r="D28" s="76"/>
      <c r="E28" s="77"/>
      <c r="F28" s="78"/>
      <c r="G28" s="76"/>
      <c r="H28" s="75"/>
      <c r="I28" s="79"/>
      <c r="J28" s="76"/>
      <c r="K28" s="77"/>
    </row>
    <row r="29" spans="1:11" ht="11.25" customHeight="1" x14ac:dyDescent="0.25">
      <c r="A29" s="54" t="s">
        <v>312</v>
      </c>
      <c r="B29" s="55"/>
      <c r="C29" s="76"/>
      <c r="D29" s="76"/>
      <c r="E29" s="77"/>
      <c r="F29" s="78"/>
      <c r="G29" s="76"/>
      <c r="H29" s="75"/>
      <c r="I29" s="79"/>
      <c r="J29" s="76"/>
      <c r="K29" s="77"/>
    </row>
    <row r="30" spans="1:11" ht="18" customHeight="1" x14ac:dyDescent="0.25">
      <c r="A30" s="189" t="str">
        <f>A7</f>
        <v>National Government:</v>
      </c>
      <c r="B30" s="55"/>
      <c r="C30" s="86">
        <f>SUM(C31:C36)</f>
        <v>0</v>
      </c>
      <c r="D30" s="86">
        <f t="shared" ref="D30:K30" si="11">SUM(D31:D36)</f>
        <v>0</v>
      </c>
      <c r="E30" s="87">
        <f t="shared" si="11"/>
        <v>0</v>
      </c>
      <c r="F30" s="88">
        <f t="shared" si="11"/>
        <v>34767000</v>
      </c>
      <c r="G30" s="86">
        <f t="shared" si="11"/>
        <v>24266474</v>
      </c>
      <c r="H30" s="85">
        <f t="shared" si="11"/>
        <v>24266474</v>
      </c>
      <c r="I30" s="89">
        <f t="shared" si="11"/>
        <v>33608000</v>
      </c>
      <c r="J30" s="86">
        <f t="shared" si="11"/>
        <v>51050000</v>
      </c>
      <c r="K30" s="87">
        <f t="shared" si="11"/>
        <v>99905000</v>
      </c>
    </row>
    <row r="31" spans="1:11" ht="11.25" customHeight="1" x14ac:dyDescent="0.25">
      <c r="A31" s="1629" t="s">
        <v>1703</v>
      </c>
      <c r="B31" s="55"/>
      <c r="C31" s="1321"/>
      <c r="D31" s="1321"/>
      <c r="E31" s="1602"/>
      <c r="F31" s="1630">
        <v>20267000</v>
      </c>
      <c r="G31" s="1321">
        <v>16267000</v>
      </c>
      <c r="H31" s="1631">
        <v>16267000</v>
      </c>
      <c r="I31" s="1632">
        <v>20608000</v>
      </c>
      <c r="J31" s="1321">
        <v>21550000</v>
      </c>
      <c r="K31" s="1602">
        <v>22905000</v>
      </c>
    </row>
    <row r="32" spans="1:11" ht="11.25" customHeight="1" x14ac:dyDescent="0.25">
      <c r="A32" s="1629" t="s">
        <v>1693</v>
      </c>
      <c r="B32" s="55"/>
      <c r="C32" s="1316"/>
      <c r="D32" s="1316"/>
      <c r="E32" s="1325"/>
      <c r="F32" s="1326">
        <v>10000000</v>
      </c>
      <c r="G32" s="1316">
        <v>3499474</v>
      </c>
      <c r="H32" s="1327">
        <v>3499474</v>
      </c>
      <c r="I32" s="1318">
        <v>6000000</v>
      </c>
      <c r="J32" s="1316">
        <v>14000000</v>
      </c>
      <c r="K32" s="1325">
        <v>60000000</v>
      </c>
    </row>
    <row r="33" spans="1:11" ht="11.25" customHeight="1" x14ac:dyDescent="0.25">
      <c r="A33" s="1629" t="s">
        <v>2679</v>
      </c>
      <c r="B33" s="55"/>
      <c r="C33" s="1316"/>
      <c r="D33" s="1316"/>
      <c r="E33" s="1325"/>
      <c r="F33" s="1326">
        <v>4500000</v>
      </c>
      <c r="G33" s="1316">
        <v>4500000</v>
      </c>
      <c r="H33" s="1327">
        <v>4500000</v>
      </c>
      <c r="I33" s="1318">
        <v>0</v>
      </c>
      <c r="J33" s="1316">
        <v>5500000</v>
      </c>
      <c r="K33" s="1325">
        <v>6000000</v>
      </c>
    </row>
    <row r="34" spans="1:11" ht="11.25" customHeight="1" x14ac:dyDescent="0.25">
      <c r="A34" s="1629"/>
      <c r="B34" s="55"/>
      <c r="C34" s="1316"/>
      <c r="D34" s="1316"/>
      <c r="E34" s="1325"/>
      <c r="F34" s="1326"/>
      <c r="G34" s="1316"/>
      <c r="H34" s="1327"/>
      <c r="I34" s="1318"/>
      <c r="J34" s="1316"/>
      <c r="K34" s="1325"/>
    </row>
    <row r="35" spans="1:11" ht="11.25" customHeight="1" x14ac:dyDescent="0.25">
      <c r="A35" s="1629"/>
      <c r="B35" s="55"/>
      <c r="C35" s="1316"/>
      <c r="D35" s="1316"/>
      <c r="E35" s="1325"/>
      <c r="F35" s="1326"/>
      <c r="G35" s="1316"/>
      <c r="H35" s="1327"/>
      <c r="I35" s="1318"/>
      <c r="J35" s="1316"/>
      <c r="K35" s="1325"/>
    </row>
    <row r="36" spans="1:11" ht="11.25" customHeight="1" x14ac:dyDescent="0.25">
      <c r="A36" s="1629" t="s">
        <v>2683</v>
      </c>
      <c r="B36" s="55"/>
      <c r="C36" s="1346"/>
      <c r="D36" s="1346"/>
      <c r="E36" s="1349"/>
      <c r="F36" s="1633"/>
      <c r="G36" s="1346"/>
      <c r="H36" s="1634"/>
      <c r="I36" s="1348">
        <v>7000000</v>
      </c>
      <c r="J36" s="1346">
        <v>10000000</v>
      </c>
      <c r="K36" s="1349">
        <v>11000000</v>
      </c>
    </row>
    <row r="37" spans="1:11" ht="18" customHeight="1" x14ac:dyDescent="0.25">
      <c r="A37" s="489" t="str">
        <f>A15</f>
        <v>Provincial Government:</v>
      </c>
      <c r="B37" s="55"/>
      <c r="C37" s="86">
        <f>SUM(C38)</f>
        <v>0</v>
      </c>
      <c r="D37" s="86">
        <f t="shared" ref="D37:K37" si="12">SUM(D38)</f>
        <v>0</v>
      </c>
      <c r="E37" s="87">
        <f t="shared" si="12"/>
        <v>0</v>
      </c>
      <c r="F37" s="88">
        <f t="shared" si="12"/>
        <v>9750000</v>
      </c>
      <c r="G37" s="86">
        <f t="shared" si="12"/>
        <v>9750000</v>
      </c>
      <c r="H37" s="85">
        <f t="shared" si="12"/>
        <v>9750000</v>
      </c>
      <c r="I37" s="89">
        <f t="shared" si="12"/>
        <v>0</v>
      </c>
      <c r="J37" s="86">
        <f t="shared" si="12"/>
        <v>0</v>
      </c>
      <c r="K37" s="87">
        <f t="shared" si="12"/>
        <v>0</v>
      </c>
    </row>
    <row r="38" spans="1:11" x14ac:dyDescent="0.25">
      <c r="A38" s="1636" t="s">
        <v>2680</v>
      </c>
      <c r="B38" s="55"/>
      <c r="C38" s="1637"/>
      <c r="D38" s="1637"/>
      <c r="E38" s="1638"/>
      <c r="F38" s="1639">
        <v>9750000</v>
      </c>
      <c r="G38" s="1637">
        <v>9750000</v>
      </c>
      <c r="H38" s="1640">
        <v>9750000</v>
      </c>
      <c r="I38" s="1641"/>
      <c r="J38" s="1637"/>
      <c r="K38" s="1638"/>
    </row>
    <row r="39" spans="1:11" ht="18" customHeight="1" x14ac:dyDescent="0.25">
      <c r="A39" s="189" t="str">
        <f>A21</f>
        <v>District Municipality:</v>
      </c>
      <c r="B39" s="55"/>
      <c r="C39" s="86">
        <f t="shared" ref="C39:K39" si="13">SUM(C40:C41)</f>
        <v>0</v>
      </c>
      <c r="D39" s="86">
        <f t="shared" si="13"/>
        <v>0</v>
      </c>
      <c r="E39" s="87">
        <f t="shared" si="13"/>
        <v>0</v>
      </c>
      <c r="F39" s="88">
        <f t="shared" si="13"/>
        <v>300000</v>
      </c>
      <c r="G39" s="86">
        <f t="shared" si="13"/>
        <v>300000</v>
      </c>
      <c r="H39" s="85">
        <f t="shared" si="13"/>
        <v>300000</v>
      </c>
      <c r="I39" s="89">
        <f t="shared" si="13"/>
        <v>0</v>
      </c>
      <c r="J39" s="86">
        <f t="shared" si="13"/>
        <v>0</v>
      </c>
      <c r="K39" s="87">
        <f t="shared" si="13"/>
        <v>0</v>
      </c>
    </row>
    <row r="40" spans="1:11" ht="11.25" customHeight="1" x14ac:dyDescent="0.25">
      <c r="A40" s="1771" t="s">
        <v>2681</v>
      </c>
      <c r="B40" s="55"/>
      <c r="C40" s="1321"/>
      <c r="D40" s="1321"/>
      <c r="E40" s="1602"/>
      <c r="F40" s="1630">
        <v>300000</v>
      </c>
      <c r="G40" s="1321">
        <v>300000</v>
      </c>
      <c r="H40" s="1631">
        <v>300000</v>
      </c>
      <c r="I40" s="1632"/>
      <c r="J40" s="1321"/>
      <c r="K40" s="1602"/>
    </row>
    <row r="41" spans="1:11" ht="11.25" customHeight="1" x14ac:dyDescent="0.25">
      <c r="A41" s="1635"/>
      <c r="B41" s="55"/>
      <c r="C41" s="1346"/>
      <c r="D41" s="1346"/>
      <c r="E41" s="1349"/>
      <c r="F41" s="1633"/>
      <c r="G41" s="1346"/>
      <c r="H41" s="1634"/>
      <c r="I41" s="1348"/>
      <c r="J41" s="1346"/>
      <c r="K41" s="1349"/>
    </row>
    <row r="42" spans="1:11" ht="18" customHeight="1" x14ac:dyDescent="0.25">
      <c r="A42" s="189" t="str">
        <f>A24</f>
        <v>Other grant providers:</v>
      </c>
      <c r="B42" s="55"/>
      <c r="C42" s="86">
        <f>SUM(C43:C44)</f>
        <v>0</v>
      </c>
      <c r="D42" s="86">
        <f t="shared" ref="D42:K42" si="14">SUM(D43:D44)</f>
        <v>0</v>
      </c>
      <c r="E42" s="87">
        <f t="shared" si="14"/>
        <v>0</v>
      </c>
      <c r="F42" s="88">
        <f t="shared" si="14"/>
        <v>0</v>
      </c>
      <c r="G42" s="86">
        <f t="shared" si="14"/>
        <v>30020000</v>
      </c>
      <c r="H42" s="85">
        <f t="shared" si="14"/>
        <v>30020000</v>
      </c>
      <c r="I42" s="89">
        <f t="shared" si="14"/>
        <v>0</v>
      </c>
      <c r="J42" s="86">
        <f t="shared" si="14"/>
        <v>0</v>
      </c>
      <c r="K42" s="87">
        <f t="shared" si="14"/>
        <v>0</v>
      </c>
    </row>
    <row r="43" spans="1:11" ht="11.25" customHeight="1" x14ac:dyDescent="0.25">
      <c r="A43" s="1771" t="s">
        <v>2682</v>
      </c>
      <c r="B43" s="55"/>
      <c r="C43" s="1321"/>
      <c r="D43" s="1321"/>
      <c r="E43" s="1602"/>
      <c r="F43" s="1630"/>
      <c r="G43" s="1321">
        <v>30020000</v>
      </c>
      <c r="H43" s="1631">
        <v>30020000</v>
      </c>
      <c r="I43" s="1632"/>
      <c r="J43" s="1321"/>
      <c r="K43" s="1602"/>
    </row>
    <row r="44" spans="1:11" ht="11.25" customHeight="1" x14ac:dyDescent="0.25">
      <c r="A44" s="1635"/>
      <c r="B44" s="55"/>
      <c r="C44" s="1346"/>
      <c r="D44" s="1346"/>
      <c r="E44" s="1349"/>
      <c r="F44" s="1633"/>
      <c r="G44" s="1346"/>
      <c r="H44" s="1634"/>
      <c r="I44" s="1348"/>
      <c r="J44" s="1346"/>
      <c r="K44" s="1349"/>
    </row>
    <row r="45" spans="1:11" ht="15.75" customHeight="1" x14ac:dyDescent="0.25">
      <c r="A45" s="490" t="s">
        <v>313</v>
      </c>
      <c r="B45" s="214">
        <v>5</v>
      </c>
      <c r="C45" s="86">
        <f t="shared" ref="C45:K45" si="15">C30+C37+C39+C42</f>
        <v>0</v>
      </c>
      <c r="D45" s="86">
        <f t="shared" si="15"/>
        <v>0</v>
      </c>
      <c r="E45" s="87">
        <f t="shared" si="15"/>
        <v>0</v>
      </c>
      <c r="F45" s="88">
        <f t="shared" si="15"/>
        <v>44817000</v>
      </c>
      <c r="G45" s="86">
        <f t="shared" si="15"/>
        <v>64336474</v>
      </c>
      <c r="H45" s="85">
        <f t="shared" si="15"/>
        <v>64336474</v>
      </c>
      <c r="I45" s="89">
        <f t="shared" si="15"/>
        <v>33608000</v>
      </c>
      <c r="J45" s="86">
        <f t="shared" si="15"/>
        <v>51050000</v>
      </c>
      <c r="K45" s="87">
        <f t="shared" si="15"/>
        <v>99905000</v>
      </c>
    </row>
    <row r="46" spans="1:11" s="488" customFormat="1" ht="16.5" customHeight="1" x14ac:dyDescent="0.2">
      <c r="A46" s="491" t="s">
        <v>314</v>
      </c>
      <c r="B46" s="492"/>
      <c r="C46" s="493">
        <f t="shared" ref="C46:K46" si="16">C27+C45</f>
        <v>0</v>
      </c>
      <c r="D46" s="493">
        <f t="shared" si="16"/>
        <v>0</v>
      </c>
      <c r="E46" s="494">
        <f t="shared" si="16"/>
        <v>0</v>
      </c>
      <c r="F46" s="495">
        <f t="shared" si="16"/>
        <v>142258109.81999999</v>
      </c>
      <c r="G46" s="493">
        <f t="shared" si="16"/>
        <v>165443829</v>
      </c>
      <c r="H46" s="496">
        <f t="shared" si="16"/>
        <v>165443829</v>
      </c>
      <c r="I46" s="497">
        <f t="shared" si="16"/>
        <v>135940054.5</v>
      </c>
      <c r="J46" s="493">
        <f t="shared" si="16"/>
        <v>157424357.76999998</v>
      </c>
      <c r="K46" s="494">
        <f t="shared" si="16"/>
        <v>213474999.2362</v>
      </c>
    </row>
    <row r="47" spans="1:11" s="464" customFormat="1" x14ac:dyDescent="0.25">
      <c r="A47" s="101" t="str">
        <f>head27a</f>
        <v>References</v>
      </c>
      <c r="B47" s="645"/>
      <c r="C47" s="647"/>
      <c r="D47" s="647"/>
      <c r="E47" s="647"/>
      <c r="F47" s="647"/>
      <c r="G47" s="647"/>
      <c r="H47" s="647"/>
      <c r="I47" s="647"/>
      <c r="J47" s="647"/>
      <c r="K47" s="647"/>
    </row>
    <row r="48" spans="1:11" s="464" customFormat="1" ht="11.25" customHeight="1" x14ac:dyDescent="0.25">
      <c r="A48" s="105" t="s">
        <v>259</v>
      </c>
      <c r="B48" s="645"/>
      <c r="C48" s="648"/>
      <c r="D48" s="648"/>
      <c r="E48" s="647"/>
      <c r="F48" s="647"/>
      <c r="G48" s="647"/>
      <c r="H48" s="647"/>
      <c r="I48" s="647"/>
      <c r="J48" s="647"/>
      <c r="K48" s="647"/>
    </row>
    <row r="49" spans="1:11" s="464" customFormat="1" ht="11.25" customHeight="1" x14ac:dyDescent="0.25">
      <c r="A49" s="132" t="s">
        <v>1245</v>
      </c>
      <c r="B49" s="645"/>
      <c r="C49" s="648"/>
      <c r="D49" s="648"/>
      <c r="E49" s="647"/>
      <c r="F49" s="647"/>
      <c r="G49" s="647"/>
      <c r="H49" s="647"/>
      <c r="I49" s="647"/>
      <c r="J49" s="647"/>
      <c r="K49" s="647"/>
    </row>
    <row r="50" spans="1:11" s="464" customFormat="1" ht="11.25" customHeight="1" x14ac:dyDescent="0.25">
      <c r="A50" s="132" t="s">
        <v>514</v>
      </c>
      <c r="B50" s="645"/>
      <c r="C50" s="648"/>
      <c r="D50" s="648"/>
      <c r="E50" s="647"/>
      <c r="F50" s="647"/>
      <c r="G50" s="647"/>
      <c r="H50" s="647"/>
      <c r="I50" s="647"/>
      <c r="J50" s="647"/>
      <c r="K50" s="647"/>
    </row>
    <row r="51" spans="1:11" s="464" customFormat="1" ht="11.25" customHeight="1" x14ac:dyDescent="0.25">
      <c r="A51" s="105" t="s">
        <v>1208</v>
      </c>
      <c r="B51" s="645"/>
      <c r="C51" s="648"/>
      <c r="D51" s="648"/>
      <c r="E51" s="647"/>
      <c r="F51" s="647"/>
      <c r="G51" s="647"/>
      <c r="H51" s="647"/>
      <c r="I51" s="647"/>
      <c r="J51" s="647"/>
      <c r="K51" s="647"/>
    </row>
    <row r="52" spans="1:11" s="464" customFormat="1" ht="11.25" customHeight="1" x14ac:dyDescent="0.25">
      <c r="A52" s="106" t="s">
        <v>258</v>
      </c>
      <c r="B52" s="649"/>
      <c r="C52" s="668"/>
      <c r="D52" s="669"/>
      <c r="E52" s="668"/>
      <c r="F52" s="669"/>
      <c r="G52" s="668"/>
      <c r="H52" s="668"/>
      <c r="I52" s="668"/>
      <c r="J52" s="668"/>
      <c r="K52" s="668"/>
    </row>
    <row r="53" spans="1:11" s="464" customFormat="1" ht="11.25" customHeight="1" x14ac:dyDescent="0.25">
      <c r="A53" s="106" t="s">
        <v>788</v>
      </c>
      <c r="B53" s="645"/>
    </row>
    <row r="54" spans="1:11" ht="11.25" customHeight="1" x14ac:dyDescent="0.25"/>
    <row r="55" spans="1:11" ht="11.25" customHeight="1" x14ac:dyDescent="0.25"/>
    <row r="56" spans="1:11" ht="11.25" customHeight="1" x14ac:dyDescent="0.25"/>
    <row r="57" spans="1:11" ht="11.25" customHeight="1" x14ac:dyDescent="0.25"/>
    <row r="58" spans="1:11" ht="11.25" customHeight="1" x14ac:dyDescent="0.25"/>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mergeCells count="2">
    <mergeCell ref="F2:H2"/>
    <mergeCell ref="I2:K2"/>
  </mergeCells>
  <phoneticPr fontId="3" type="noConversion"/>
  <dataValidations xWindow="42844" yWindow="125" count="4">
    <dataValidation type="list" showInputMessage="1" showErrorMessage="1" prompt="Select transfer/grant description" sqref="A9:A13" xr:uid="{00000000-0002-0000-2700-000000000000}">
      <formula1>GrantNatOpex</formula1>
    </dataValidation>
    <dataValidation type="list" showInputMessage="1" showErrorMessage="1" prompt="Select transfer/grant description" sqref="A17" xr:uid="{00000000-0002-0000-2700-000001000000}">
      <formula1>GrantProvOpex</formula1>
    </dataValidation>
    <dataValidation type="list" showInputMessage="1" showErrorMessage="1" prompt="Select transfer/grant description" sqref="A31:A35" xr:uid="{00000000-0002-0000-2700-000002000000}">
      <formula1>GrantNatCapex</formula1>
    </dataValidation>
    <dataValidation showInputMessage="1" showErrorMessage="1" prompt="Select transfer/grant description" sqref="A8" xr:uid="{00000000-0002-0000-2700-000003000000}"/>
  </dataValidations>
  <printOptions horizontalCentered="1"/>
  <pageMargins left="0" right="0" top="0.78740157480314965" bottom="0.59055118110236227" header="0.51181102362204722" footer="0.39370078740157483"/>
  <pageSetup paperSize="9" scale="87"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AD308"/>
  <sheetViews>
    <sheetView zoomScaleNormal="100" workbookViewId="0">
      <pane xSplit="1" ySplit="1" topLeftCell="B247" activePane="bottomRight" state="frozen"/>
      <selection pane="topRight"/>
      <selection pane="bottomLeft"/>
      <selection pane="bottomRight" activeCell="B30" sqref="B30:C286"/>
    </sheetView>
  </sheetViews>
  <sheetFormatPr defaultRowHeight="11.25" x14ac:dyDescent="0.2"/>
  <cols>
    <col min="1" max="1" width="28.7109375" style="2" bestFit="1" customWidth="1"/>
    <col min="2" max="3" width="29.42578125" style="2" customWidth="1"/>
    <col min="4" max="4" width="41.7109375" style="2" bestFit="1" customWidth="1"/>
    <col min="5" max="14" width="41.7109375" style="2" customWidth="1"/>
    <col min="15" max="15" width="43.42578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42578125" style="2" bestFit="1" customWidth="1"/>
    <col min="22" max="22" width="3.71093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30" s="3" customFormat="1" x14ac:dyDescent="0.2">
      <c r="A1" s="635" t="s">
        <v>669</v>
      </c>
      <c r="B1" s="636">
        <v>2007</v>
      </c>
      <c r="C1" s="636">
        <v>2008</v>
      </c>
      <c r="D1" s="636">
        <v>2009</v>
      </c>
      <c r="E1" s="639">
        <v>2010</v>
      </c>
      <c r="F1" s="639">
        <v>2011</v>
      </c>
      <c r="G1" s="636">
        <v>2012</v>
      </c>
      <c r="H1" s="639">
        <v>2013</v>
      </c>
      <c r="I1" s="639">
        <v>2014</v>
      </c>
      <c r="J1" s="639">
        <v>2015</v>
      </c>
      <c r="K1" s="639">
        <v>2016</v>
      </c>
      <c r="L1" s="639">
        <v>2017</v>
      </c>
      <c r="M1" s="639">
        <v>2018</v>
      </c>
      <c r="N1" s="639">
        <v>2019</v>
      </c>
      <c r="O1" s="639">
        <v>2020</v>
      </c>
      <c r="P1" s="640"/>
      <c r="Q1" s="643" t="s">
        <v>134</v>
      </c>
      <c r="R1" s="644"/>
      <c r="S1" s="644"/>
      <c r="T1" s="644"/>
      <c r="U1" s="644"/>
      <c r="V1" s="644"/>
      <c r="W1" s="644"/>
      <c r="X1" s="644"/>
      <c r="Y1" s="703" t="s">
        <v>1413</v>
      </c>
      <c r="Z1" s="703" t="s">
        <v>1414</v>
      </c>
      <c r="AA1" s="703" t="s">
        <v>1416</v>
      </c>
      <c r="AB1" s="703" t="s">
        <v>1415</v>
      </c>
      <c r="AC1" s="703" t="s">
        <v>1089</v>
      </c>
    </row>
    <row r="2" spans="1:30" x14ac:dyDescent="0.2">
      <c r="A2" s="5" t="str">
        <f>'Template names'!C2</f>
        <v>Prior year -1</v>
      </c>
      <c r="B2" s="2" t="s">
        <v>932</v>
      </c>
      <c r="C2" s="2" t="s">
        <v>1138</v>
      </c>
      <c r="D2" s="2" t="s">
        <v>975</v>
      </c>
      <c r="E2" s="7" t="str">
        <f t="shared" ref="E2:O2" si="0">E1-2&amp;"/"&amp;RIGHT(E1,2)-1</f>
        <v>2008/9</v>
      </c>
      <c r="F2" s="7" t="str">
        <f t="shared" si="0"/>
        <v>2009/10</v>
      </c>
      <c r="G2" s="7" t="str">
        <f t="shared" si="0"/>
        <v>2010/11</v>
      </c>
      <c r="H2" s="7" t="str">
        <f t="shared" si="0"/>
        <v>2011/12</v>
      </c>
      <c r="I2" s="7" t="str">
        <f t="shared" si="0"/>
        <v>2012/13</v>
      </c>
      <c r="J2" s="7" t="str">
        <f t="shared" si="0"/>
        <v>2013/14</v>
      </c>
      <c r="K2" s="7" t="str">
        <f t="shared" si="0"/>
        <v>2014/15</v>
      </c>
      <c r="L2" s="7" t="str">
        <f t="shared" si="0"/>
        <v>2015/16</v>
      </c>
      <c r="M2" s="7" t="str">
        <f t="shared" si="0"/>
        <v>2016/17</v>
      </c>
      <c r="N2" s="7" t="str">
        <f t="shared" si="0"/>
        <v>2017/18</v>
      </c>
      <c r="O2" s="7" t="str">
        <f t="shared" si="0"/>
        <v>2018/19</v>
      </c>
      <c r="Q2" s="13" t="s">
        <v>365</v>
      </c>
      <c r="R2" s="642" t="s">
        <v>135</v>
      </c>
      <c r="S2" s="642" t="s">
        <v>136</v>
      </c>
      <c r="T2" s="4" t="s">
        <v>138</v>
      </c>
      <c r="U2" s="7" t="s">
        <v>142</v>
      </c>
      <c r="V2" s="4" t="s">
        <v>365</v>
      </c>
      <c r="W2" s="10" t="s">
        <v>960</v>
      </c>
      <c r="X2" s="10" t="s">
        <v>1490</v>
      </c>
      <c r="Z2" s="1" t="s">
        <v>1707</v>
      </c>
      <c r="AA2" s="1" t="s">
        <v>1708</v>
      </c>
      <c r="AB2" s="1" t="s">
        <v>1703</v>
      </c>
      <c r="AC2" s="1" t="s">
        <v>1696</v>
      </c>
    </row>
    <row r="3" spans="1:30" x14ac:dyDescent="0.2">
      <c r="A3" s="5" t="str">
        <f>'Template names'!C3</f>
        <v>Prior year -2</v>
      </c>
      <c r="B3" s="2" t="s">
        <v>933</v>
      </c>
      <c r="C3" s="2" t="s">
        <v>932</v>
      </c>
      <c r="D3" s="2" t="s">
        <v>1138</v>
      </c>
      <c r="E3" s="7" t="str">
        <f t="shared" ref="E3:O3" si="1">E1-3&amp;"/"&amp;RIGHT(E1,2)-2</f>
        <v>2007/8</v>
      </c>
      <c r="F3" s="7" t="str">
        <f t="shared" si="1"/>
        <v>2008/9</v>
      </c>
      <c r="G3" s="7" t="str">
        <f t="shared" si="1"/>
        <v>2009/10</v>
      </c>
      <c r="H3" s="7" t="str">
        <f t="shared" si="1"/>
        <v>2010/11</v>
      </c>
      <c r="I3" s="7" t="str">
        <f t="shared" si="1"/>
        <v>2011/12</v>
      </c>
      <c r="J3" s="7" t="str">
        <f t="shared" si="1"/>
        <v>2012/13</v>
      </c>
      <c r="K3" s="7" t="str">
        <f t="shared" si="1"/>
        <v>2013/14</v>
      </c>
      <c r="L3" s="7" t="str">
        <f t="shared" si="1"/>
        <v>2014/15</v>
      </c>
      <c r="M3" s="7" t="str">
        <f t="shared" si="1"/>
        <v>2015/16</v>
      </c>
      <c r="N3" s="7" t="str">
        <f t="shared" si="1"/>
        <v>2016/17</v>
      </c>
      <c r="O3" s="7" t="str">
        <f t="shared" si="1"/>
        <v>2017/18</v>
      </c>
      <c r="Q3" s="13" t="s">
        <v>717</v>
      </c>
      <c r="R3" s="4">
        <v>1</v>
      </c>
      <c r="S3" s="4">
        <v>4</v>
      </c>
      <c r="T3" s="4" t="s">
        <v>139</v>
      </c>
      <c r="U3" s="7" t="s">
        <v>140</v>
      </c>
      <c r="V3" s="11" t="s">
        <v>717</v>
      </c>
      <c r="W3" s="11" t="s">
        <v>1487</v>
      </c>
      <c r="X3" s="11" t="s">
        <v>1491</v>
      </c>
      <c r="Z3" s="1" t="s">
        <v>1706</v>
      </c>
      <c r="AA3" s="1" t="s">
        <v>1709</v>
      </c>
      <c r="AB3" s="1" t="s">
        <v>1702</v>
      </c>
      <c r="AC3" s="1" t="s">
        <v>1697</v>
      </c>
    </row>
    <row r="4" spans="1:30" x14ac:dyDescent="0.2">
      <c r="A4" s="5" t="str">
        <f>'Template names'!C4</f>
        <v>Prior year -3</v>
      </c>
      <c r="B4" s="2" t="s">
        <v>934</v>
      </c>
      <c r="C4" s="2" t="s">
        <v>933</v>
      </c>
      <c r="D4" s="2" t="s">
        <v>932</v>
      </c>
      <c r="E4" s="7" t="str">
        <f t="shared" ref="E4:O4" si="2">E1-4&amp;"/"&amp;RIGHT(E1,2)-3</f>
        <v>2006/7</v>
      </c>
      <c r="F4" s="7" t="str">
        <f t="shared" si="2"/>
        <v>2007/8</v>
      </c>
      <c r="G4" s="7" t="str">
        <f t="shared" si="2"/>
        <v>2008/9</v>
      </c>
      <c r="H4" s="7" t="str">
        <f t="shared" si="2"/>
        <v>2009/10</v>
      </c>
      <c r="I4" s="7" t="str">
        <f t="shared" si="2"/>
        <v>2010/11</v>
      </c>
      <c r="J4" s="7" t="str">
        <f t="shared" si="2"/>
        <v>2011/12</v>
      </c>
      <c r="K4" s="7" t="str">
        <f t="shared" si="2"/>
        <v>2012/13</v>
      </c>
      <c r="L4" s="7" t="str">
        <f t="shared" si="2"/>
        <v>2013/14</v>
      </c>
      <c r="M4" s="7" t="str">
        <f t="shared" si="2"/>
        <v>2014/15</v>
      </c>
      <c r="N4" s="7" t="str">
        <f t="shared" si="2"/>
        <v>2015/16</v>
      </c>
      <c r="O4" s="7" t="str">
        <f t="shared" si="2"/>
        <v>2016/17</v>
      </c>
      <c r="Q4" s="14"/>
      <c r="R4" s="4">
        <v>2</v>
      </c>
      <c r="S4" s="4">
        <v>5</v>
      </c>
      <c r="T4" s="11" t="s">
        <v>246</v>
      </c>
      <c r="U4" s="8" t="s">
        <v>246</v>
      </c>
      <c r="V4" s="12"/>
      <c r="Z4" s="1" t="s">
        <v>1705</v>
      </c>
      <c r="AA4" s="1" t="s">
        <v>1513</v>
      </c>
      <c r="AB4" s="1" t="s">
        <v>1691</v>
      </c>
      <c r="AC4" s="1" t="s">
        <v>1577</v>
      </c>
    </row>
    <row r="5" spans="1:30" x14ac:dyDescent="0.2">
      <c r="A5" s="5" t="str">
        <f>'Template names'!C5</f>
        <v>Year in which budget is being prepared</v>
      </c>
      <c r="B5" s="2" t="s">
        <v>344</v>
      </c>
      <c r="C5" s="2" t="s">
        <v>974</v>
      </c>
      <c r="D5" s="2" t="s">
        <v>982</v>
      </c>
      <c r="E5" s="7" t="str">
        <f t="shared" ref="E5:O5" si="3">"Current Year "&amp; E1-1&amp;"/"&amp;RIGHT(E1,2)</f>
        <v>Current Year 2009/10</v>
      </c>
      <c r="F5" s="7" t="str">
        <f t="shared" si="3"/>
        <v>Current Year 2010/11</v>
      </c>
      <c r="G5" s="7" t="str">
        <f t="shared" si="3"/>
        <v>Current Year 2011/12</v>
      </c>
      <c r="H5" s="7" t="str">
        <f t="shared" si="3"/>
        <v>Current Year 2012/13</v>
      </c>
      <c r="I5" s="7" t="str">
        <f t="shared" si="3"/>
        <v>Current Year 2013/14</v>
      </c>
      <c r="J5" s="7" t="str">
        <f t="shared" si="3"/>
        <v>Current Year 2014/15</v>
      </c>
      <c r="K5" s="7" t="str">
        <f t="shared" si="3"/>
        <v>Current Year 2015/16</v>
      </c>
      <c r="L5" s="7" t="str">
        <f t="shared" si="3"/>
        <v>Current Year 2016/17</v>
      </c>
      <c r="M5" s="7" t="str">
        <f t="shared" si="3"/>
        <v>Current Year 2017/18</v>
      </c>
      <c r="N5" s="7" t="str">
        <f t="shared" si="3"/>
        <v>Current Year 2018/19</v>
      </c>
      <c r="O5" s="7" t="str">
        <f t="shared" si="3"/>
        <v>Current Year 2019/20</v>
      </c>
      <c r="R5" s="4">
        <v>3</v>
      </c>
      <c r="S5" s="4">
        <v>6</v>
      </c>
      <c r="Z5" s="1" t="s">
        <v>1704</v>
      </c>
      <c r="AA5" s="1" t="s">
        <v>1701</v>
      </c>
      <c r="AB5" s="1" t="s">
        <v>1693</v>
      </c>
      <c r="AC5" s="1" t="s">
        <v>1698</v>
      </c>
    </row>
    <row r="6" spans="1:30" x14ac:dyDescent="0.2">
      <c r="A6" s="5" t="str">
        <f>'Template names'!C6</f>
        <v>Year in which budget is being prepared</v>
      </c>
      <c r="B6" s="2" t="s">
        <v>1138</v>
      </c>
      <c r="C6" s="2" t="s">
        <v>975</v>
      </c>
      <c r="D6" s="2" t="s">
        <v>983</v>
      </c>
      <c r="E6" s="7" t="str">
        <f t="shared" ref="E6:O6" si="4">E1-1&amp;"/"&amp;RIGHT(E1,2)</f>
        <v>2009/10</v>
      </c>
      <c r="F6" s="7" t="str">
        <f t="shared" si="4"/>
        <v>2010/11</v>
      </c>
      <c r="G6" s="7" t="str">
        <f t="shared" si="4"/>
        <v>2011/12</v>
      </c>
      <c r="H6" s="7" t="str">
        <f t="shared" si="4"/>
        <v>2012/13</v>
      </c>
      <c r="I6" s="7" t="str">
        <f t="shared" si="4"/>
        <v>2013/14</v>
      </c>
      <c r="J6" s="7" t="str">
        <f t="shared" si="4"/>
        <v>2014/15</v>
      </c>
      <c r="K6" s="7" t="str">
        <f t="shared" si="4"/>
        <v>2015/16</v>
      </c>
      <c r="L6" s="7" t="str">
        <f t="shared" si="4"/>
        <v>2016/17</v>
      </c>
      <c r="M6" s="7" t="str">
        <f t="shared" si="4"/>
        <v>2017/18</v>
      </c>
      <c r="N6" s="7" t="str">
        <f t="shared" si="4"/>
        <v>2018/19</v>
      </c>
      <c r="O6" s="7" t="str">
        <f t="shared" si="4"/>
        <v>2019/20</v>
      </c>
      <c r="R6" s="4">
        <v>4</v>
      </c>
      <c r="S6" s="641" t="s">
        <v>959</v>
      </c>
      <c r="Z6" s="2" t="s">
        <v>1684</v>
      </c>
      <c r="AB6" s="1" t="s">
        <v>1692</v>
      </c>
      <c r="AC6" s="1" t="s">
        <v>1699</v>
      </c>
    </row>
    <row r="7" spans="1:30" x14ac:dyDescent="0.2">
      <c r="A7" s="5" t="str">
        <f>'Template names'!C7</f>
        <v>MTREF name</v>
      </c>
      <c r="B7" s="2" t="s">
        <v>694</v>
      </c>
      <c r="C7" s="2" t="s">
        <v>695</v>
      </c>
      <c r="D7" s="2" t="s">
        <v>696</v>
      </c>
      <c r="E7" s="7" t="str">
        <f t="shared" ref="E7:O7" si="5">E1&amp;"/"&amp;RIGHT(E1,2)+1&amp;" Medium Term Revenue &amp; Expenditure Framework"</f>
        <v>2010/11 Medium Term Revenue &amp; Expenditure Framework</v>
      </c>
      <c r="F7" s="7" t="str">
        <f t="shared" si="5"/>
        <v>2011/12 Medium Term Revenue &amp; Expenditure Framework</v>
      </c>
      <c r="G7" s="7" t="str">
        <f t="shared" si="5"/>
        <v>2012/13 Medium Term Revenue &amp; Expenditure Framework</v>
      </c>
      <c r="H7" s="7" t="str">
        <f t="shared" si="5"/>
        <v>2013/14 Medium Term Revenue &amp; Expenditure Framework</v>
      </c>
      <c r="I7" s="7" t="str">
        <f t="shared" si="5"/>
        <v>2014/15 Medium Term Revenue &amp; Expenditure Framework</v>
      </c>
      <c r="J7" s="7" t="str">
        <f t="shared" si="5"/>
        <v>2015/16 Medium Term Revenue &amp; Expenditure Framework</v>
      </c>
      <c r="K7" s="7" t="str">
        <f t="shared" si="5"/>
        <v>2016/17 Medium Term Revenue &amp; Expenditure Framework</v>
      </c>
      <c r="L7" s="7" t="str">
        <f t="shared" si="5"/>
        <v>2017/18 Medium Term Revenue &amp; Expenditure Framework</v>
      </c>
      <c r="M7" s="7" t="str">
        <f t="shared" si="5"/>
        <v>2018/19 Medium Term Revenue &amp; Expenditure Framework</v>
      </c>
      <c r="N7" s="7" t="str">
        <f t="shared" si="5"/>
        <v>2019/20 Medium Term Revenue &amp; Expenditure Framework</v>
      </c>
      <c r="O7" s="7" t="str">
        <f t="shared" si="5"/>
        <v>2020/21 Medium Term Revenue &amp; Expenditure Framework</v>
      </c>
      <c r="R7" s="4">
        <v>5</v>
      </c>
      <c r="S7" s="11" t="s">
        <v>137</v>
      </c>
      <c r="Z7" s="2" t="s">
        <v>1685</v>
      </c>
      <c r="AB7" s="1" t="s">
        <v>1689</v>
      </c>
      <c r="AC7" s="1" t="s">
        <v>1700</v>
      </c>
    </row>
    <row r="8" spans="1:30" x14ac:dyDescent="0.2">
      <c r="A8" s="5" t="str">
        <f>'Template names'!C15</f>
        <v>1st year of MTREF</v>
      </c>
      <c r="B8" s="2" t="s">
        <v>1443</v>
      </c>
      <c r="C8" s="2" t="s">
        <v>976</v>
      </c>
      <c r="D8" s="2" t="s">
        <v>984</v>
      </c>
      <c r="E8" s="7" t="str">
        <f t="shared" ref="E8:O8" si="6">"Budget Year "&amp;E1&amp;"/"&amp;RIGHT(E1,2)+1</f>
        <v>Budget Year 2010/11</v>
      </c>
      <c r="F8" s="7" t="str">
        <f t="shared" si="6"/>
        <v>Budget Year 2011/12</v>
      </c>
      <c r="G8" s="7" t="str">
        <f t="shared" si="6"/>
        <v>Budget Year 2012/13</v>
      </c>
      <c r="H8" s="7" t="str">
        <f t="shared" si="6"/>
        <v>Budget Year 2013/14</v>
      </c>
      <c r="I8" s="7" t="str">
        <f t="shared" si="6"/>
        <v>Budget Year 2014/15</v>
      </c>
      <c r="J8" s="7" t="str">
        <f t="shared" si="6"/>
        <v>Budget Year 2015/16</v>
      </c>
      <c r="K8" s="7" t="str">
        <f t="shared" si="6"/>
        <v>Budget Year 2016/17</v>
      </c>
      <c r="L8" s="7" t="str">
        <f t="shared" si="6"/>
        <v>Budget Year 2017/18</v>
      </c>
      <c r="M8" s="7" t="str">
        <f t="shared" si="6"/>
        <v>Budget Year 2018/19</v>
      </c>
      <c r="N8" s="7" t="str">
        <f t="shared" si="6"/>
        <v>Budget Year 2019/20</v>
      </c>
      <c r="O8" s="7" t="str">
        <f t="shared" si="6"/>
        <v>Budget Year 2020/21</v>
      </c>
      <c r="R8" s="11" t="s">
        <v>958</v>
      </c>
      <c r="Z8" s="2" t="s">
        <v>1686</v>
      </c>
      <c r="AB8" s="1" t="s">
        <v>1690</v>
      </c>
      <c r="AC8" s="1" t="s">
        <v>1701</v>
      </c>
    </row>
    <row r="9" spans="1:30" x14ac:dyDescent="0.2">
      <c r="A9" s="5" t="str">
        <f>'Template names'!C16</f>
        <v>2nd year of MTREF</v>
      </c>
      <c r="B9" s="2" t="s">
        <v>1444</v>
      </c>
      <c r="C9" s="2" t="s">
        <v>977</v>
      </c>
      <c r="D9" s="2" t="s">
        <v>1211</v>
      </c>
      <c r="E9" s="7" t="str">
        <f t="shared" ref="E9:O9" si="7">"Budget Year +1 "&amp;E1+1&amp;"/"&amp;RIGHT(E1,2)+2</f>
        <v>Budget Year +1 2011/12</v>
      </c>
      <c r="F9" s="7" t="str">
        <f t="shared" si="7"/>
        <v>Budget Year +1 2012/13</v>
      </c>
      <c r="G9" s="7" t="str">
        <f t="shared" si="7"/>
        <v>Budget Year +1 2013/14</v>
      </c>
      <c r="H9" s="7" t="str">
        <f t="shared" si="7"/>
        <v>Budget Year +1 2014/15</v>
      </c>
      <c r="I9" s="7" t="str">
        <f t="shared" si="7"/>
        <v>Budget Year +1 2015/16</v>
      </c>
      <c r="J9" s="7" t="str">
        <f t="shared" si="7"/>
        <v>Budget Year +1 2016/17</v>
      </c>
      <c r="K9" s="7" t="str">
        <f t="shared" si="7"/>
        <v>Budget Year +1 2017/18</v>
      </c>
      <c r="L9" s="7" t="str">
        <f t="shared" si="7"/>
        <v>Budget Year +1 2018/19</v>
      </c>
      <c r="M9" s="7" t="str">
        <f t="shared" si="7"/>
        <v>Budget Year +1 2019/20</v>
      </c>
      <c r="N9" s="7" t="str">
        <f t="shared" si="7"/>
        <v>Budget Year +1 2020/21</v>
      </c>
      <c r="O9" s="7" t="str">
        <f t="shared" si="7"/>
        <v>Budget Year +1 2021/22</v>
      </c>
      <c r="Z9" s="1" t="s">
        <v>1687</v>
      </c>
    </row>
    <row r="10" spans="1:30" x14ac:dyDescent="0.2">
      <c r="A10" s="5" t="str">
        <f>'Template names'!C17</f>
        <v>3rd year of MTREF</v>
      </c>
      <c r="B10" s="2" t="s">
        <v>1445</v>
      </c>
      <c r="C10" s="2" t="s">
        <v>978</v>
      </c>
      <c r="D10" s="2" t="s">
        <v>1212</v>
      </c>
      <c r="E10" s="7" t="str">
        <f t="shared" ref="E10:O10" si="8">"Budget Year +2 "&amp;E1+2&amp;"/"&amp;RIGHT(E1,2)+3</f>
        <v>Budget Year +2 2012/13</v>
      </c>
      <c r="F10" s="7" t="str">
        <f t="shared" si="8"/>
        <v>Budget Year +2 2013/14</v>
      </c>
      <c r="G10" s="7" t="str">
        <f t="shared" si="8"/>
        <v>Budget Year +2 2014/15</v>
      </c>
      <c r="H10" s="7" t="str">
        <f t="shared" si="8"/>
        <v>Budget Year +2 2015/16</v>
      </c>
      <c r="I10" s="7" t="str">
        <f t="shared" si="8"/>
        <v>Budget Year +2 2016/17</v>
      </c>
      <c r="J10" s="7" t="str">
        <f t="shared" si="8"/>
        <v>Budget Year +2 2017/18</v>
      </c>
      <c r="K10" s="7" t="str">
        <f t="shared" si="8"/>
        <v>Budget Year +2 2018/19</v>
      </c>
      <c r="L10" s="7" t="str">
        <f t="shared" si="8"/>
        <v>Budget Year +2 2019/20</v>
      </c>
      <c r="M10" s="7" t="str">
        <f t="shared" si="8"/>
        <v>Budget Year +2 2020/21</v>
      </c>
      <c r="N10" s="7" t="str">
        <f t="shared" si="8"/>
        <v>Budget Year +2 2021/22</v>
      </c>
      <c r="O10" s="7" t="str">
        <f t="shared" si="8"/>
        <v>Budget Year +2 2022/23</v>
      </c>
      <c r="Z10" s="1" t="s">
        <v>1688</v>
      </c>
    </row>
    <row r="11" spans="1:30" x14ac:dyDescent="0.2">
      <c r="A11" s="5" t="str">
        <f>'Template names'!C18</f>
        <v>1st yr of long term forecast</v>
      </c>
      <c r="B11" s="2" t="s">
        <v>1509</v>
      </c>
      <c r="C11" s="2" t="s">
        <v>1510</v>
      </c>
      <c r="D11" s="2" t="s">
        <v>1511</v>
      </c>
      <c r="E11" s="7" t="str">
        <f t="shared" ref="E11:O11" si="9">"Forecast "&amp;E1+3&amp;"/"&amp;RIGHT(E1,2)+4</f>
        <v>Forecast 2013/14</v>
      </c>
      <c r="F11" s="7" t="str">
        <f t="shared" si="9"/>
        <v>Forecast 2014/15</v>
      </c>
      <c r="G11" s="7" t="str">
        <f t="shared" si="9"/>
        <v>Forecast 2015/16</v>
      </c>
      <c r="H11" s="7" t="str">
        <f t="shared" si="9"/>
        <v>Forecast 2016/17</v>
      </c>
      <c r="I11" s="7" t="str">
        <f t="shared" si="9"/>
        <v>Forecast 2017/18</v>
      </c>
      <c r="J11" s="7" t="str">
        <f t="shared" si="9"/>
        <v>Forecast 2018/19</v>
      </c>
      <c r="K11" s="7" t="str">
        <f t="shared" si="9"/>
        <v>Forecast 2019/20</v>
      </c>
      <c r="L11" s="7" t="str">
        <f t="shared" si="9"/>
        <v>Forecast 2020/21</v>
      </c>
      <c r="M11" s="7" t="str">
        <f t="shared" si="9"/>
        <v>Forecast 2021/22</v>
      </c>
      <c r="N11" s="7" t="str">
        <f t="shared" si="9"/>
        <v>Forecast 2022/23</v>
      </c>
      <c r="O11" s="7" t="str">
        <f t="shared" si="9"/>
        <v>Forecast 2023/24</v>
      </c>
      <c r="Z11" s="1" t="s">
        <v>1694</v>
      </c>
    </row>
    <row r="12" spans="1:30" x14ac:dyDescent="0.2">
      <c r="A12" s="5" t="str">
        <f>'Template names'!C19</f>
        <v>Next yr of long term forecast</v>
      </c>
      <c r="B12" s="2" t="s">
        <v>1510</v>
      </c>
      <c r="C12" s="2" t="s">
        <v>1511</v>
      </c>
      <c r="D12" s="2" t="s">
        <v>1512</v>
      </c>
      <c r="E12" s="7" t="str">
        <f t="shared" ref="E12:O12" si="10">"Forecast "&amp;E1+4&amp;"/"&amp;RIGHT(E1,2)+5</f>
        <v>Forecast 2014/15</v>
      </c>
      <c r="F12" s="7" t="str">
        <f t="shared" si="10"/>
        <v>Forecast 2015/16</v>
      </c>
      <c r="G12" s="7" t="str">
        <f t="shared" si="10"/>
        <v>Forecast 2016/17</v>
      </c>
      <c r="H12" s="7" t="str">
        <f t="shared" si="10"/>
        <v>Forecast 2017/18</v>
      </c>
      <c r="I12" s="7" t="str">
        <f t="shared" si="10"/>
        <v>Forecast 2018/19</v>
      </c>
      <c r="J12" s="7" t="str">
        <f t="shared" si="10"/>
        <v>Forecast 2019/20</v>
      </c>
      <c r="K12" s="7" t="str">
        <f t="shared" si="10"/>
        <v>Forecast 2020/21</v>
      </c>
      <c r="L12" s="7" t="str">
        <f t="shared" si="10"/>
        <v>Forecast 2021/22</v>
      </c>
      <c r="M12" s="7" t="str">
        <f t="shared" si="10"/>
        <v>Forecast 2022/23</v>
      </c>
      <c r="N12" s="7" t="str">
        <f t="shared" si="10"/>
        <v>Forecast 2023/24</v>
      </c>
      <c r="O12" s="7" t="str">
        <f t="shared" si="10"/>
        <v>Forecast 2024/25</v>
      </c>
      <c r="Z12" s="1" t="s">
        <v>1695</v>
      </c>
    </row>
    <row r="13" spans="1:30" x14ac:dyDescent="0.2">
      <c r="A13" s="5" t="str">
        <f>'Template names'!C20</f>
        <v>Next yr of long term forecast</v>
      </c>
      <c r="B13" s="2" t="s">
        <v>1511</v>
      </c>
      <c r="C13" s="2" t="s">
        <v>1512</v>
      </c>
      <c r="D13" s="2" t="s">
        <v>796</v>
      </c>
      <c r="E13" s="7" t="str">
        <f t="shared" ref="E13:O13" si="11">"Forecast "&amp;E1+5&amp;"/"&amp;RIGHT(E1,2)+6</f>
        <v>Forecast 2015/16</v>
      </c>
      <c r="F13" s="7" t="str">
        <f t="shared" si="11"/>
        <v>Forecast 2016/17</v>
      </c>
      <c r="G13" s="7" t="str">
        <f t="shared" si="11"/>
        <v>Forecast 2017/18</v>
      </c>
      <c r="H13" s="7" t="str">
        <f t="shared" si="11"/>
        <v>Forecast 2018/19</v>
      </c>
      <c r="I13" s="7" t="str">
        <f t="shared" si="11"/>
        <v>Forecast 2019/20</v>
      </c>
      <c r="J13" s="7" t="str">
        <f t="shared" si="11"/>
        <v>Forecast 2020/21</v>
      </c>
      <c r="K13" s="7" t="str">
        <f t="shared" si="11"/>
        <v>Forecast 2021/22</v>
      </c>
      <c r="L13" s="7" t="str">
        <f t="shared" si="11"/>
        <v>Forecast 2022/23</v>
      </c>
      <c r="M13" s="7" t="str">
        <f t="shared" si="11"/>
        <v>Forecast 2023/24</v>
      </c>
      <c r="N13" s="7" t="str">
        <f t="shared" si="11"/>
        <v>Forecast 2024/25</v>
      </c>
      <c r="O13" s="7" t="str">
        <f t="shared" si="11"/>
        <v>Forecast 2025/26</v>
      </c>
    </row>
    <row r="14" spans="1:30" x14ac:dyDescent="0.2">
      <c r="A14" s="5" t="str">
        <f>'Template names'!C21</f>
        <v>Next yr of long term forecast</v>
      </c>
      <c r="B14" s="2" t="s">
        <v>1512</v>
      </c>
      <c r="C14" s="2" t="s">
        <v>796</v>
      </c>
      <c r="D14" s="2" t="s">
        <v>797</v>
      </c>
      <c r="E14" s="7" t="str">
        <f t="shared" ref="E14:O14" si="12">"Forecast "&amp;E1+6&amp;"/"&amp;RIGHT(E1,2)+7</f>
        <v>Forecast 2016/17</v>
      </c>
      <c r="F14" s="7" t="str">
        <f t="shared" si="12"/>
        <v>Forecast 2017/18</v>
      </c>
      <c r="G14" s="7" t="str">
        <f t="shared" si="12"/>
        <v>Forecast 2018/19</v>
      </c>
      <c r="H14" s="7" t="str">
        <f t="shared" si="12"/>
        <v>Forecast 2019/20</v>
      </c>
      <c r="I14" s="7" t="str">
        <f t="shared" si="12"/>
        <v>Forecast 2020/21</v>
      </c>
      <c r="J14" s="7" t="str">
        <f t="shared" si="12"/>
        <v>Forecast 2021/22</v>
      </c>
      <c r="K14" s="7" t="str">
        <f t="shared" si="12"/>
        <v>Forecast 2022/23</v>
      </c>
      <c r="L14" s="7" t="str">
        <f t="shared" si="12"/>
        <v>Forecast 2023/24</v>
      </c>
      <c r="M14" s="7" t="str">
        <f t="shared" si="12"/>
        <v>Forecast 2024/25</v>
      </c>
      <c r="N14" s="7" t="str">
        <f t="shared" si="12"/>
        <v>Forecast 2025/26</v>
      </c>
      <c r="O14" s="7" t="str">
        <f t="shared" si="12"/>
        <v>Forecast 2026/27</v>
      </c>
      <c r="Z14" s="703" t="s">
        <v>1756</v>
      </c>
      <c r="AA14" s="703" t="s">
        <v>2504</v>
      </c>
      <c r="AB14" s="703" t="s">
        <v>1757</v>
      </c>
      <c r="AC14" s="703" t="s">
        <v>2521</v>
      </c>
      <c r="AD14" s="703" t="s">
        <v>2535</v>
      </c>
    </row>
    <row r="15" spans="1:30" x14ac:dyDescent="0.2">
      <c r="A15" s="5" t="str">
        <f>'Template names'!C22</f>
        <v>Next yr of long term forecast</v>
      </c>
      <c r="B15" s="2" t="s">
        <v>796</v>
      </c>
      <c r="C15" s="2" t="s">
        <v>797</v>
      </c>
      <c r="D15" s="2" t="s">
        <v>798</v>
      </c>
      <c r="E15" s="7" t="str">
        <f t="shared" ref="E15:O15" si="13">"Forecast "&amp;E1+7&amp;"/"&amp;RIGHT(E1,2)+8</f>
        <v>Forecast 2017/18</v>
      </c>
      <c r="F15" s="7" t="str">
        <f t="shared" si="13"/>
        <v>Forecast 2018/19</v>
      </c>
      <c r="G15" s="7" t="str">
        <f t="shared" si="13"/>
        <v>Forecast 2019/20</v>
      </c>
      <c r="H15" s="7" t="str">
        <f t="shared" si="13"/>
        <v>Forecast 2020/21</v>
      </c>
      <c r="I15" s="7" t="str">
        <f t="shared" si="13"/>
        <v>Forecast 2021/22</v>
      </c>
      <c r="J15" s="7" t="str">
        <f t="shared" si="13"/>
        <v>Forecast 2022/23</v>
      </c>
      <c r="K15" s="7" t="str">
        <f t="shared" si="13"/>
        <v>Forecast 2023/24</v>
      </c>
      <c r="L15" s="7" t="str">
        <f t="shared" si="13"/>
        <v>Forecast 2024/25</v>
      </c>
      <c r="M15" s="7" t="str">
        <f t="shared" si="13"/>
        <v>Forecast 2025/26</v>
      </c>
      <c r="N15" s="7" t="str">
        <f t="shared" si="13"/>
        <v>Forecast 2026/27</v>
      </c>
      <c r="O15" s="7" t="str">
        <f t="shared" si="13"/>
        <v>Forecast 2027/28</v>
      </c>
    </row>
    <row r="16" spans="1:30" x14ac:dyDescent="0.2">
      <c r="A16" s="5" t="str">
        <f>'Template names'!C23</f>
        <v>Next yr of long term forecast</v>
      </c>
      <c r="B16" s="2" t="s">
        <v>797</v>
      </c>
      <c r="C16" s="2" t="s">
        <v>798</v>
      </c>
      <c r="D16" s="2" t="s">
        <v>799</v>
      </c>
      <c r="E16" s="7" t="str">
        <f t="shared" ref="E16:O16" si="14">"Forecast "&amp;E1+8&amp;"/"&amp;RIGHT(E1,2)+9</f>
        <v>Forecast 2018/19</v>
      </c>
      <c r="F16" s="7" t="str">
        <f t="shared" si="14"/>
        <v>Forecast 2019/20</v>
      </c>
      <c r="G16" s="7" t="str">
        <f t="shared" si="14"/>
        <v>Forecast 2020/21</v>
      </c>
      <c r="H16" s="7" t="str">
        <f t="shared" si="14"/>
        <v>Forecast 2021/22</v>
      </c>
      <c r="I16" s="7" t="str">
        <f t="shared" si="14"/>
        <v>Forecast 2022/23</v>
      </c>
      <c r="J16" s="7" t="str">
        <f t="shared" si="14"/>
        <v>Forecast 2023/24</v>
      </c>
      <c r="K16" s="7" t="str">
        <f t="shared" si="14"/>
        <v>Forecast 2024/25</v>
      </c>
      <c r="L16" s="7" t="str">
        <f t="shared" si="14"/>
        <v>Forecast 2025/26</v>
      </c>
      <c r="M16" s="7" t="str">
        <f t="shared" si="14"/>
        <v>Forecast 2026/27</v>
      </c>
      <c r="N16" s="7" t="str">
        <f t="shared" si="14"/>
        <v>Forecast 2027/28</v>
      </c>
      <c r="O16" s="7" t="str">
        <f t="shared" si="14"/>
        <v>Forecast 2028/29</v>
      </c>
      <c r="Z16" s="2" t="s">
        <v>2272</v>
      </c>
      <c r="AA16" s="2" t="s">
        <v>466</v>
      </c>
      <c r="AB16" s="2" t="s">
        <v>638</v>
      </c>
      <c r="AC16" s="2" t="s">
        <v>2531</v>
      </c>
      <c r="AD16" s="2" t="s">
        <v>2536</v>
      </c>
    </row>
    <row r="17" spans="1:30" x14ac:dyDescent="0.2">
      <c r="A17" s="5" t="str">
        <f>'Template names'!C24</f>
        <v>Next yr of long term forecast</v>
      </c>
      <c r="B17" s="2" t="s">
        <v>798</v>
      </c>
      <c r="C17" s="2" t="s">
        <v>799</v>
      </c>
      <c r="D17" s="2" t="s">
        <v>1375</v>
      </c>
      <c r="E17" s="7" t="str">
        <f t="shared" ref="E17:O17" si="15">"Forecast "&amp;E1+9&amp;"/"&amp;RIGHT(E1,2)+10</f>
        <v>Forecast 2019/20</v>
      </c>
      <c r="F17" s="7" t="str">
        <f t="shared" si="15"/>
        <v>Forecast 2020/21</v>
      </c>
      <c r="G17" s="7" t="str">
        <f t="shared" si="15"/>
        <v>Forecast 2021/22</v>
      </c>
      <c r="H17" s="7" t="str">
        <f t="shared" si="15"/>
        <v>Forecast 2022/23</v>
      </c>
      <c r="I17" s="7" t="str">
        <f t="shared" si="15"/>
        <v>Forecast 2023/24</v>
      </c>
      <c r="J17" s="7" t="str">
        <f t="shared" si="15"/>
        <v>Forecast 2024/25</v>
      </c>
      <c r="K17" s="7" t="str">
        <f t="shared" si="15"/>
        <v>Forecast 2025/26</v>
      </c>
      <c r="L17" s="7" t="str">
        <f t="shared" si="15"/>
        <v>Forecast 2026/27</v>
      </c>
      <c r="M17" s="7" t="str">
        <f t="shared" si="15"/>
        <v>Forecast 2027/28</v>
      </c>
      <c r="N17" s="7" t="str">
        <f t="shared" si="15"/>
        <v>Forecast 2028/29</v>
      </c>
      <c r="O17" s="7" t="str">
        <f t="shared" si="15"/>
        <v>Forecast 2029/30</v>
      </c>
      <c r="Z17" s="2" t="s">
        <v>2276</v>
      </c>
      <c r="AA17" s="2" t="s">
        <v>467</v>
      </c>
      <c r="AB17" s="2" t="s">
        <v>2273</v>
      </c>
      <c r="AC17" s="2" t="s">
        <v>2532</v>
      </c>
      <c r="AD17" s="2" t="s">
        <v>2537</v>
      </c>
    </row>
    <row r="18" spans="1:30" x14ac:dyDescent="0.2">
      <c r="A18" s="5" t="str">
        <f>'Template names'!C25</f>
        <v>Next yr of long term forecast</v>
      </c>
      <c r="B18" s="2" t="s">
        <v>799</v>
      </c>
      <c r="C18" s="2" t="s">
        <v>1375</v>
      </c>
      <c r="D18" s="2" t="s">
        <v>1374</v>
      </c>
      <c r="E18" s="7" t="str">
        <f t="shared" ref="E18:O18" si="16">"Forecast "&amp;E1+10&amp;"/"&amp;RIGHT(E1,2)+11</f>
        <v>Forecast 2020/21</v>
      </c>
      <c r="F18" s="7" t="str">
        <f t="shared" si="16"/>
        <v>Forecast 2021/22</v>
      </c>
      <c r="G18" s="7" t="str">
        <f t="shared" si="16"/>
        <v>Forecast 2022/23</v>
      </c>
      <c r="H18" s="7" t="str">
        <f t="shared" si="16"/>
        <v>Forecast 2023/24</v>
      </c>
      <c r="I18" s="7" t="str">
        <f t="shared" si="16"/>
        <v>Forecast 2024/25</v>
      </c>
      <c r="J18" s="7" t="str">
        <f t="shared" si="16"/>
        <v>Forecast 2025/26</v>
      </c>
      <c r="K18" s="7" t="str">
        <f t="shared" si="16"/>
        <v>Forecast 2026/27</v>
      </c>
      <c r="L18" s="7" t="str">
        <f t="shared" si="16"/>
        <v>Forecast 2027/28</v>
      </c>
      <c r="M18" s="7" t="str">
        <f t="shared" si="16"/>
        <v>Forecast 2028/29</v>
      </c>
      <c r="N18" s="7" t="str">
        <f t="shared" si="16"/>
        <v>Forecast 2029/30</v>
      </c>
      <c r="O18" s="7" t="str">
        <f t="shared" si="16"/>
        <v>Forecast 2030/31</v>
      </c>
      <c r="Z18" s="2" t="s">
        <v>2321</v>
      </c>
      <c r="AA18" s="2" t="s">
        <v>21</v>
      </c>
      <c r="AB18" s="2" t="s">
        <v>2274</v>
      </c>
      <c r="AC18" s="2" t="s">
        <v>2533</v>
      </c>
      <c r="AD18" s="2" t="s">
        <v>2538</v>
      </c>
    </row>
    <row r="19" spans="1:30" x14ac:dyDescent="0.2">
      <c r="A19" s="5" t="str">
        <f>'Template names'!C26</f>
        <v>Next yr of long term forecast</v>
      </c>
      <c r="B19" s="2" t="s">
        <v>1375</v>
      </c>
      <c r="C19" s="2" t="s">
        <v>1374</v>
      </c>
      <c r="D19" s="2" t="s">
        <v>800</v>
      </c>
      <c r="E19" s="7" t="str">
        <f t="shared" ref="E19:O19" si="17">"Forecast "&amp;E1+11&amp;"/"&amp;RIGHT(E1,2)+12</f>
        <v>Forecast 2021/22</v>
      </c>
      <c r="F19" s="7" t="str">
        <f t="shared" si="17"/>
        <v>Forecast 2022/23</v>
      </c>
      <c r="G19" s="7" t="str">
        <f t="shared" si="17"/>
        <v>Forecast 2023/24</v>
      </c>
      <c r="H19" s="7" t="str">
        <f t="shared" si="17"/>
        <v>Forecast 2024/25</v>
      </c>
      <c r="I19" s="7" t="str">
        <f t="shared" si="17"/>
        <v>Forecast 2025/26</v>
      </c>
      <c r="J19" s="7" t="str">
        <f t="shared" si="17"/>
        <v>Forecast 2026/27</v>
      </c>
      <c r="K19" s="7" t="str">
        <f t="shared" si="17"/>
        <v>Forecast 2027/28</v>
      </c>
      <c r="L19" s="7" t="str">
        <f t="shared" si="17"/>
        <v>Forecast 2028/29</v>
      </c>
      <c r="M19" s="7" t="str">
        <f t="shared" si="17"/>
        <v>Forecast 2029/30</v>
      </c>
      <c r="N19" s="7" t="str">
        <f t="shared" si="17"/>
        <v>Forecast 2030/31</v>
      </c>
      <c r="O19" s="7" t="str">
        <f t="shared" si="17"/>
        <v>Forecast 2031/32</v>
      </c>
      <c r="Z19" s="2" t="s">
        <v>2322</v>
      </c>
      <c r="AA19" s="2" t="s">
        <v>22</v>
      </c>
      <c r="AB19" s="2" t="s">
        <v>2275</v>
      </c>
      <c r="AC19" s="2" t="s">
        <v>2534</v>
      </c>
      <c r="AD19" s="2" t="s">
        <v>2539</v>
      </c>
    </row>
    <row r="20" spans="1:30" x14ac:dyDescent="0.2">
      <c r="A20" s="5" t="str">
        <f>'Template names'!C27</f>
        <v>Next yr of long term forecast</v>
      </c>
      <c r="B20" s="2" t="s">
        <v>1374</v>
      </c>
      <c r="C20" s="2" t="s">
        <v>800</v>
      </c>
      <c r="D20" s="2" t="s">
        <v>1442</v>
      </c>
      <c r="E20" s="7" t="str">
        <f t="shared" ref="E20:O20" si="18">"Forecast "&amp;E1+12&amp;"/"&amp;RIGHT(E1,2)+13</f>
        <v>Forecast 2022/23</v>
      </c>
      <c r="F20" s="7" t="str">
        <f t="shared" si="18"/>
        <v>Forecast 2023/24</v>
      </c>
      <c r="G20" s="7" t="str">
        <f t="shared" si="18"/>
        <v>Forecast 2024/25</v>
      </c>
      <c r="H20" s="7" t="str">
        <f t="shared" si="18"/>
        <v>Forecast 2025/26</v>
      </c>
      <c r="I20" s="7" t="str">
        <f t="shared" si="18"/>
        <v>Forecast 2026/27</v>
      </c>
      <c r="J20" s="7" t="str">
        <f t="shared" si="18"/>
        <v>Forecast 2027/28</v>
      </c>
      <c r="K20" s="7" t="str">
        <f t="shared" si="18"/>
        <v>Forecast 2028/29</v>
      </c>
      <c r="L20" s="7" t="str">
        <f t="shared" si="18"/>
        <v>Forecast 2029/30</v>
      </c>
      <c r="M20" s="7" t="str">
        <f t="shared" si="18"/>
        <v>Forecast 2030/31</v>
      </c>
      <c r="N20" s="7" t="str">
        <f t="shared" si="18"/>
        <v>Forecast 2031/32</v>
      </c>
      <c r="O20" s="7" t="str">
        <f t="shared" si="18"/>
        <v>Forecast 2032/33</v>
      </c>
      <c r="Z20" s="2" t="s">
        <v>2323</v>
      </c>
      <c r="AA20" s="2" t="s">
        <v>116</v>
      </c>
      <c r="AB20" s="2" t="s">
        <v>2277</v>
      </c>
      <c r="AD20" s="2" t="s">
        <v>2540</v>
      </c>
    </row>
    <row r="21" spans="1:30" x14ac:dyDescent="0.2">
      <c r="A21" s="5" t="str">
        <f>'Template names'!C28</f>
        <v>Next yr of long term forecast</v>
      </c>
      <c r="B21" s="2" t="s">
        <v>800</v>
      </c>
      <c r="C21" s="2" t="s">
        <v>1442</v>
      </c>
      <c r="D21" s="2" t="s">
        <v>979</v>
      </c>
      <c r="E21" s="7" t="str">
        <f t="shared" ref="E21:O21" si="19">"Forecast "&amp;E1+13&amp;"/"&amp;RIGHT(E1,2)+14</f>
        <v>Forecast 2023/24</v>
      </c>
      <c r="F21" s="7" t="str">
        <f t="shared" si="19"/>
        <v>Forecast 2024/25</v>
      </c>
      <c r="G21" s="7" t="str">
        <f t="shared" si="19"/>
        <v>Forecast 2025/26</v>
      </c>
      <c r="H21" s="7" t="str">
        <f t="shared" si="19"/>
        <v>Forecast 2026/27</v>
      </c>
      <c r="I21" s="7" t="str">
        <f t="shared" si="19"/>
        <v>Forecast 2027/28</v>
      </c>
      <c r="J21" s="7" t="str">
        <f t="shared" si="19"/>
        <v>Forecast 2028/29</v>
      </c>
      <c r="K21" s="7" t="str">
        <f t="shared" si="19"/>
        <v>Forecast 2029/30</v>
      </c>
      <c r="L21" s="7" t="str">
        <f t="shared" si="19"/>
        <v>Forecast 2030/31</v>
      </c>
      <c r="M21" s="7" t="str">
        <f t="shared" si="19"/>
        <v>Forecast 2031/32</v>
      </c>
      <c r="N21" s="7" t="str">
        <f t="shared" si="19"/>
        <v>Forecast 2032/33</v>
      </c>
      <c r="O21" s="7" t="str">
        <f t="shared" si="19"/>
        <v>Forecast 2033/34</v>
      </c>
      <c r="Z21" s="2" t="s">
        <v>2301</v>
      </c>
      <c r="AA21" s="2" t="s">
        <v>23</v>
      </c>
      <c r="AB21" s="2" t="s">
        <v>2278</v>
      </c>
      <c r="AD21" s="2" t="s">
        <v>2541</v>
      </c>
    </row>
    <row r="22" spans="1:30" x14ac:dyDescent="0.2">
      <c r="A22" s="5" t="str">
        <f>'Template names'!C29</f>
        <v>Next yr of long term forecast</v>
      </c>
      <c r="B22" s="2" t="s">
        <v>1442</v>
      </c>
      <c r="C22" s="2" t="s">
        <v>979</v>
      </c>
      <c r="D22" s="2" t="s">
        <v>1213</v>
      </c>
      <c r="E22" s="7" t="str">
        <f t="shared" ref="E22:O22" si="20">"Forecast "&amp;E1+14&amp;"/"&amp;RIGHT(E1,2)+15</f>
        <v>Forecast 2024/25</v>
      </c>
      <c r="F22" s="7" t="str">
        <f t="shared" si="20"/>
        <v>Forecast 2025/26</v>
      </c>
      <c r="G22" s="7" t="str">
        <f t="shared" si="20"/>
        <v>Forecast 2026/27</v>
      </c>
      <c r="H22" s="7" t="str">
        <f t="shared" si="20"/>
        <v>Forecast 2027/28</v>
      </c>
      <c r="I22" s="7" t="str">
        <f t="shared" si="20"/>
        <v>Forecast 2028/29</v>
      </c>
      <c r="J22" s="7" t="str">
        <f t="shared" si="20"/>
        <v>Forecast 2029/30</v>
      </c>
      <c r="K22" s="7" t="str">
        <f t="shared" si="20"/>
        <v>Forecast 2030/31</v>
      </c>
      <c r="L22" s="7" t="str">
        <f t="shared" si="20"/>
        <v>Forecast 2031/32</v>
      </c>
      <c r="M22" s="7" t="str">
        <f t="shared" si="20"/>
        <v>Forecast 2032/33</v>
      </c>
      <c r="N22" s="7" t="str">
        <f t="shared" si="20"/>
        <v>Forecast 2033/34</v>
      </c>
      <c r="O22" s="7" t="str">
        <f t="shared" si="20"/>
        <v>Forecast 2034/35</v>
      </c>
      <c r="Z22" s="2" t="s">
        <v>2317</v>
      </c>
      <c r="AA22" s="2" t="s">
        <v>24</v>
      </c>
      <c r="AB22" s="2" t="s">
        <v>2279</v>
      </c>
      <c r="AD22" s="2" t="s">
        <v>2542</v>
      </c>
    </row>
    <row r="23" spans="1:30" x14ac:dyDescent="0.2">
      <c r="A23" s="5" t="s">
        <v>1216</v>
      </c>
      <c r="B23" s="2" t="s">
        <v>1526</v>
      </c>
      <c r="C23" s="2" t="s">
        <v>980</v>
      </c>
      <c r="D23" s="2" t="s">
        <v>1214</v>
      </c>
      <c r="E23" s="7" t="str">
        <f t="shared" ref="E23:O23" si="21">"Annual target " &amp; E1&amp;"/"&amp;RIGHT(E1,2)+1</f>
        <v>Annual target 2010/11</v>
      </c>
      <c r="F23" s="7" t="str">
        <f t="shared" si="21"/>
        <v>Annual target 2011/12</v>
      </c>
      <c r="G23" s="7" t="str">
        <f t="shared" si="21"/>
        <v>Annual target 2012/13</v>
      </c>
      <c r="H23" s="7" t="str">
        <f t="shared" si="21"/>
        <v>Annual target 2013/14</v>
      </c>
      <c r="I23" s="7" t="str">
        <f t="shared" si="21"/>
        <v>Annual target 2014/15</v>
      </c>
      <c r="J23" s="7" t="str">
        <f t="shared" si="21"/>
        <v>Annual target 2015/16</v>
      </c>
      <c r="K23" s="7" t="str">
        <f t="shared" si="21"/>
        <v>Annual target 2016/17</v>
      </c>
      <c r="L23" s="7" t="str">
        <f t="shared" si="21"/>
        <v>Annual target 2017/18</v>
      </c>
      <c r="M23" s="7" t="str">
        <f t="shared" si="21"/>
        <v>Annual target 2018/19</v>
      </c>
      <c r="N23" s="7" t="str">
        <f t="shared" si="21"/>
        <v>Annual target 2019/20</v>
      </c>
      <c r="O23" s="7" t="str">
        <f t="shared" si="21"/>
        <v>Annual target 2020/21</v>
      </c>
      <c r="Z23" s="2" t="s">
        <v>2312</v>
      </c>
      <c r="AA23" s="2" t="s">
        <v>25</v>
      </c>
      <c r="AB23" s="2" t="s">
        <v>2280</v>
      </c>
      <c r="AD23" s="2" t="s">
        <v>2543</v>
      </c>
    </row>
    <row r="24" spans="1:30" x14ac:dyDescent="0.2">
      <c r="A24" s="6" t="str">
        <f>A23</f>
        <v>Adjustments Budget</v>
      </c>
      <c r="B24" s="9" t="s">
        <v>1527</v>
      </c>
      <c r="C24" s="9" t="s">
        <v>981</v>
      </c>
      <c r="D24" s="9" t="s">
        <v>1215</v>
      </c>
      <c r="E24" s="8" t="str">
        <f t="shared" ref="E24:O24" si="22">"Revised target "&amp; E1&amp;"/"&amp;RIGHT(E1,2)+1</f>
        <v>Revised target 2010/11</v>
      </c>
      <c r="F24" s="8" t="str">
        <f t="shared" si="22"/>
        <v>Revised target 2011/12</v>
      </c>
      <c r="G24" s="8" t="str">
        <f t="shared" si="22"/>
        <v>Revised target 2012/13</v>
      </c>
      <c r="H24" s="8" t="str">
        <f t="shared" si="22"/>
        <v>Revised target 2013/14</v>
      </c>
      <c r="I24" s="8" t="str">
        <f t="shared" si="22"/>
        <v>Revised target 2014/15</v>
      </c>
      <c r="J24" s="8" t="str">
        <f t="shared" si="22"/>
        <v>Revised target 2015/16</v>
      </c>
      <c r="K24" s="8" t="str">
        <f t="shared" si="22"/>
        <v>Revised target 2016/17</v>
      </c>
      <c r="L24" s="8" t="str">
        <f t="shared" si="22"/>
        <v>Revised target 2017/18</v>
      </c>
      <c r="M24" s="8" t="str">
        <f t="shared" si="22"/>
        <v>Revised target 2018/19</v>
      </c>
      <c r="N24" s="8" t="str">
        <f t="shared" si="22"/>
        <v>Revised target 2019/20</v>
      </c>
      <c r="O24" s="8" t="str">
        <f t="shared" si="22"/>
        <v>Revised target 2020/21</v>
      </c>
      <c r="Z24" s="2" t="s">
        <v>2308</v>
      </c>
      <c r="AA24" s="2" t="s">
        <v>26</v>
      </c>
      <c r="AB24" s="2" t="s">
        <v>2281</v>
      </c>
      <c r="AD24" s="2" t="s">
        <v>2544</v>
      </c>
    </row>
    <row r="25" spans="1:30" ht="18" x14ac:dyDescent="0.25">
      <c r="A25" s="637" t="s">
        <v>471</v>
      </c>
      <c r="Z25" s="2" t="s">
        <v>2325</v>
      </c>
      <c r="AA25" s="2" t="s">
        <v>956</v>
      </c>
      <c r="AB25" s="2" t="s">
        <v>2282</v>
      </c>
      <c r="AD25" s="2" t="s">
        <v>2545</v>
      </c>
    </row>
    <row r="26" spans="1:30" x14ac:dyDescent="0.2">
      <c r="Z26" s="2" t="s">
        <v>2343</v>
      </c>
      <c r="AA26" s="2" t="s">
        <v>272</v>
      </c>
      <c r="AB26" s="2" t="s">
        <v>2283</v>
      </c>
      <c r="AD26" s="2" t="s">
        <v>2546</v>
      </c>
    </row>
    <row r="27" spans="1:30" ht="12.75" x14ac:dyDescent="0.2">
      <c r="A27" t="s">
        <v>77</v>
      </c>
      <c r="B27">
        <v>4</v>
      </c>
      <c r="C27"/>
      <c r="D27"/>
      <c r="Z27" s="2" t="s">
        <v>843</v>
      </c>
      <c r="AA27" s="2" t="s">
        <v>117</v>
      </c>
      <c r="AB27" s="2" t="s">
        <v>2284</v>
      </c>
      <c r="AD27" s="2" t="s">
        <v>2547</v>
      </c>
    </row>
    <row r="28" spans="1:30" ht="12.75" x14ac:dyDescent="0.2">
      <c r="A28" t="s">
        <v>76</v>
      </c>
      <c r="B28" t="str">
        <f>INDEX(B29:B307,B27,1)</f>
        <v>EC101 Dr Beyers Naude</v>
      </c>
      <c r="C28"/>
      <c r="D28"/>
      <c r="Z28" s="2" t="s">
        <v>2380</v>
      </c>
      <c r="AA28" s="2" t="s">
        <v>2</v>
      </c>
      <c r="AB28" s="2" t="s">
        <v>2285</v>
      </c>
      <c r="AD28" s="2" t="s">
        <v>2548</v>
      </c>
    </row>
    <row r="29" spans="1:30" ht="12.75" x14ac:dyDescent="0.2">
      <c r="A29"/>
      <c r="B29" t="s">
        <v>75</v>
      </c>
      <c r="C29" t="s">
        <v>641</v>
      </c>
      <c r="D29"/>
      <c r="Z29" s="2" t="s">
        <v>2383</v>
      </c>
      <c r="AA29" s="2" t="s">
        <v>1411</v>
      </c>
      <c r="AB29" s="2" t="s">
        <v>2286</v>
      </c>
      <c r="AD29" s="2" t="s">
        <v>2549</v>
      </c>
    </row>
    <row r="30" spans="1:30" ht="12.75" x14ac:dyDescent="0.2">
      <c r="A30"/>
      <c r="B30" s="877" t="s">
        <v>2007</v>
      </c>
      <c r="C30" s="877" t="s">
        <v>98</v>
      </c>
      <c r="D30"/>
      <c r="Z30" s="2" t="s">
        <v>2351</v>
      </c>
      <c r="AA30" s="2" t="s">
        <v>436</v>
      </c>
      <c r="AB30" s="2" t="s">
        <v>2287</v>
      </c>
    </row>
    <row r="31" spans="1:30" ht="12.75" x14ac:dyDescent="0.2">
      <c r="A31"/>
      <c r="B31" s="877" t="s">
        <v>2008</v>
      </c>
      <c r="C31" s="1767" t="s">
        <v>98</v>
      </c>
      <c r="D31"/>
      <c r="Z31" s="2" t="s">
        <v>1513</v>
      </c>
      <c r="AA31" s="2" t="s">
        <v>1</v>
      </c>
      <c r="AB31" s="2" t="s">
        <v>2275</v>
      </c>
    </row>
    <row r="32" spans="1:30" ht="12.75" x14ac:dyDescent="0.2">
      <c r="A32"/>
      <c r="B32" s="877" t="s">
        <v>2558</v>
      </c>
      <c r="C32" s="877" t="s">
        <v>98</v>
      </c>
      <c r="D32"/>
      <c r="Z32" s="2" t="s">
        <v>2364</v>
      </c>
      <c r="AA32" s="2" t="s">
        <v>289</v>
      </c>
      <c r="AB32" s="2" t="s">
        <v>2288</v>
      </c>
    </row>
    <row r="33" spans="1:28" ht="12.75" x14ac:dyDescent="0.2">
      <c r="A33"/>
      <c r="B33" s="877" t="s">
        <v>1052</v>
      </c>
      <c r="C33" s="877" t="s">
        <v>98</v>
      </c>
      <c r="D33"/>
      <c r="Z33" s="2" t="s">
        <v>2365</v>
      </c>
      <c r="AA33" s="2" t="s">
        <v>0</v>
      </c>
      <c r="AB33" s="2" t="s">
        <v>2289</v>
      </c>
    </row>
    <row r="34" spans="1:28" ht="12.75" x14ac:dyDescent="0.2">
      <c r="A34"/>
      <c r="B34" s="877" t="s">
        <v>1053</v>
      </c>
      <c r="C34" s="877" t="s">
        <v>98</v>
      </c>
      <c r="D34"/>
      <c r="Z34" s="2" t="s">
        <v>2366</v>
      </c>
      <c r="AA34" s="2" t="s">
        <v>1412</v>
      </c>
      <c r="AB34" s="2" t="s">
        <v>2290</v>
      </c>
    </row>
    <row r="35" spans="1:28" ht="12.75" x14ac:dyDescent="0.2">
      <c r="A35"/>
      <c r="B35" s="877" t="s">
        <v>1054</v>
      </c>
      <c r="C35" s="877" t="s">
        <v>98</v>
      </c>
      <c r="D35"/>
      <c r="Z35" s="2" t="s">
        <v>2374</v>
      </c>
      <c r="AA35" s="2" t="s">
        <v>840</v>
      </c>
      <c r="AB35" s="2" t="s">
        <v>2291</v>
      </c>
    </row>
    <row r="36" spans="1:28" ht="12.75" x14ac:dyDescent="0.2">
      <c r="A36"/>
      <c r="B36" s="877" t="s">
        <v>1055</v>
      </c>
      <c r="C36" s="877" t="s">
        <v>98</v>
      </c>
      <c r="D36"/>
      <c r="Z36" s="2" t="s">
        <v>2375</v>
      </c>
      <c r="AA36" s="2" t="s">
        <v>1356</v>
      </c>
      <c r="AB36" s="2" t="s">
        <v>2292</v>
      </c>
    </row>
    <row r="37" spans="1:28" ht="12.75" x14ac:dyDescent="0.2">
      <c r="A37"/>
      <c r="B37" s="877" t="s">
        <v>1056</v>
      </c>
      <c r="C37" s="1767" t="s">
        <v>98</v>
      </c>
      <c r="D37"/>
      <c r="Z37" s="2" t="s">
        <v>2376</v>
      </c>
      <c r="AA37" s="2" t="s">
        <v>1133</v>
      </c>
      <c r="AB37" s="2" t="s">
        <v>2293</v>
      </c>
    </row>
    <row r="38" spans="1:28" ht="12.75" x14ac:dyDescent="0.2">
      <c r="A38"/>
      <c r="B38" s="877" t="s">
        <v>1673</v>
      </c>
      <c r="C38" s="877" t="s">
        <v>98</v>
      </c>
      <c r="D38"/>
      <c r="Z38" s="2" t="s">
        <v>2377</v>
      </c>
      <c r="AA38" s="2" t="s">
        <v>628</v>
      </c>
      <c r="AB38" s="2" t="s">
        <v>2294</v>
      </c>
    </row>
    <row r="39" spans="1:28" ht="12.75" x14ac:dyDescent="0.2">
      <c r="A39"/>
      <c r="B39" s="877" t="s">
        <v>2048</v>
      </c>
      <c r="C39" s="877" t="s">
        <v>98</v>
      </c>
      <c r="D39"/>
      <c r="Z39" s="2" t="s">
        <v>2514</v>
      </c>
      <c r="AA39" s="2" t="s">
        <v>434</v>
      </c>
      <c r="AB39" s="2" t="s">
        <v>2295</v>
      </c>
    </row>
    <row r="40" spans="1:28" ht="12.75" x14ac:dyDescent="0.2">
      <c r="A40"/>
      <c r="B40" s="877" t="s">
        <v>1057</v>
      </c>
      <c r="C40" s="877" t="s">
        <v>98</v>
      </c>
      <c r="D40"/>
      <c r="Z40" s="2" t="s">
        <v>2378</v>
      </c>
      <c r="AA40" s="2" t="s">
        <v>27</v>
      </c>
      <c r="AB40" s="2" t="s">
        <v>2296</v>
      </c>
    </row>
    <row r="41" spans="1:28" ht="12.75" x14ac:dyDescent="0.2">
      <c r="A41"/>
      <c r="B41" s="877" t="s">
        <v>1058</v>
      </c>
      <c r="C41" t="s">
        <v>98</v>
      </c>
      <c r="D41"/>
      <c r="AA41" s="2" t="s">
        <v>1107</v>
      </c>
      <c r="AB41" s="2" t="s">
        <v>2275</v>
      </c>
    </row>
    <row r="42" spans="1:28" ht="12.75" x14ac:dyDescent="0.2">
      <c r="A42"/>
      <c r="B42" s="877" t="s">
        <v>1059</v>
      </c>
      <c r="C42" t="s">
        <v>98</v>
      </c>
      <c r="D42"/>
      <c r="AA42" s="2" t="s">
        <v>435</v>
      </c>
      <c r="AB42" s="2" t="s">
        <v>2297</v>
      </c>
    </row>
    <row r="43" spans="1:28" ht="12.75" x14ac:dyDescent="0.2">
      <c r="A43"/>
      <c r="B43" s="877" t="s">
        <v>1060</v>
      </c>
      <c r="C43" t="s">
        <v>98</v>
      </c>
      <c r="D43"/>
      <c r="AA43" s="2" t="s">
        <v>540</v>
      </c>
      <c r="AB43" s="2" t="s">
        <v>25</v>
      </c>
    </row>
    <row r="44" spans="1:28" ht="12.75" x14ac:dyDescent="0.2">
      <c r="A44"/>
      <c r="B44" s="877" t="s">
        <v>1061</v>
      </c>
      <c r="C44" t="s">
        <v>98</v>
      </c>
      <c r="D44"/>
      <c r="AA44" s="2" t="s">
        <v>1759</v>
      </c>
      <c r="AB44" s="2" t="s">
        <v>2298</v>
      </c>
    </row>
    <row r="45" spans="1:28" ht="12.75" x14ac:dyDescent="0.2">
      <c r="A45"/>
      <c r="B45" s="877" t="s">
        <v>2256</v>
      </c>
      <c r="C45" t="s">
        <v>98</v>
      </c>
      <c r="D45"/>
      <c r="AA45" s="2" t="s">
        <v>1760</v>
      </c>
      <c r="AB45" s="2" t="s">
        <v>2299</v>
      </c>
    </row>
    <row r="46" spans="1:28" ht="12.75" x14ac:dyDescent="0.2">
      <c r="A46"/>
      <c r="B46" s="877" t="s">
        <v>1551</v>
      </c>
      <c r="C46" t="s">
        <v>98</v>
      </c>
      <c r="D46"/>
      <c r="AA46" s="2" t="s">
        <v>1761</v>
      </c>
      <c r="AB46" s="2" t="s">
        <v>2300</v>
      </c>
    </row>
    <row r="47" spans="1:28" ht="12.75" x14ac:dyDescent="0.2">
      <c r="A47"/>
      <c r="B47" s="877" t="s">
        <v>1062</v>
      </c>
      <c r="C47" t="s">
        <v>98</v>
      </c>
      <c r="D47"/>
      <c r="AA47" s="2" t="s">
        <v>1762</v>
      </c>
      <c r="AB47" s="2" t="s">
        <v>2275</v>
      </c>
    </row>
    <row r="48" spans="1:28" ht="12.75" x14ac:dyDescent="0.2">
      <c r="A48"/>
      <c r="B48" s="877" t="s">
        <v>158</v>
      </c>
      <c r="C48" t="s">
        <v>98</v>
      </c>
      <c r="D48"/>
      <c r="AA48" s="2" t="s">
        <v>1095</v>
      </c>
      <c r="AB48" s="2" t="s">
        <v>2302</v>
      </c>
    </row>
    <row r="49" spans="1:28" ht="12.75" x14ac:dyDescent="0.2">
      <c r="A49"/>
      <c r="B49" s="877" t="s">
        <v>2257</v>
      </c>
      <c r="C49" t="s">
        <v>98</v>
      </c>
      <c r="D49"/>
      <c r="AA49" s="2" t="s">
        <v>541</v>
      </c>
      <c r="AB49" s="2" t="s">
        <v>2303</v>
      </c>
    </row>
    <row r="50" spans="1:28" ht="12.75" x14ac:dyDescent="0.2">
      <c r="A50"/>
      <c r="B50" s="877" t="s">
        <v>159</v>
      </c>
      <c r="C50" t="s">
        <v>98</v>
      </c>
      <c r="D50"/>
      <c r="AA50" s="2" t="s">
        <v>542</v>
      </c>
      <c r="AB50" s="2" t="s">
        <v>2304</v>
      </c>
    </row>
    <row r="51" spans="1:28" ht="12.75" x14ac:dyDescent="0.2">
      <c r="A51"/>
      <c r="B51" s="877" t="s">
        <v>160</v>
      </c>
      <c r="C51" s="877" t="s">
        <v>98</v>
      </c>
      <c r="D51"/>
      <c r="AA51" s="2" t="s">
        <v>1096</v>
      </c>
      <c r="AB51" s="2" t="s">
        <v>2305</v>
      </c>
    </row>
    <row r="52" spans="1:28" ht="12.75" x14ac:dyDescent="0.2">
      <c r="A52"/>
      <c r="B52" s="877" t="s">
        <v>2258</v>
      </c>
      <c r="C52" s="877" t="s">
        <v>98</v>
      </c>
      <c r="D52"/>
      <c r="AA52" s="2" t="s">
        <v>1097</v>
      </c>
      <c r="AB52" s="2" t="s">
        <v>2306</v>
      </c>
    </row>
    <row r="53" spans="1:28" ht="12.75" x14ac:dyDescent="0.2">
      <c r="A53"/>
      <c r="B53" s="877" t="s">
        <v>1538</v>
      </c>
      <c r="C53" s="877" t="s">
        <v>98</v>
      </c>
      <c r="D53"/>
      <c r="AA53" s="2" t="s">
        <v>1355</v>
      </c>
      <c r="AB53" s="2" t="s">
        <v>2307</v>
      </c>
    </row>
    <row r="54" spans="1:28" ht="12.75" x14ac:dyDescent="0.2">
      <c r="A54"/>
      <c r="B54" s="877" t="s">
        <v>161</v>
      </c>
      <c r="C54" s="877" t="s">
        <v>98</v>
      </c>
      <c r="D54"/>
      <c r="AA54" s="2" t="s">
        <v>274</v>
      </c>
      <c r="AB54" s="2" t="s">
        <v>2275</v>
      </c>
    </row>
    <row r="55" spans="1:28" ht="12.75" x14ac:dyDescent="0.2">
      <c r="A55"/>
      <c r="B55" s="877" t="s">
        <v>162</v>
      </c>
      <c r="C55" s="877" t="s">
        <v>98</v>
      </c>
      <c r="D55"/>
      <c r="AA55" s="2" t="s">
        <v>273</v>
      </c>
      <c r="AB55" s="2" t="s">
        <v>2318</v>
      </c>
    </row>
    <row r="56" spans="1:28" ht="12.75" x14ac:dyDescent="0.2">
      <c r="A56"/>
      <c r="B56" s="877" t="s">
        <v>2259</v>
      </c>
      <c r="C56" s="877" t="s">
        <v>98</v>
      </c>
      <c r="D56"/>
      <c r="AA56" s="2" t="s">
        <v>543</v>
      </c>
      <c r="AB56" s="2" t="s">
        <v>2319</v>
      </c>
    </row>
    <row r="57" spans="1:28" ht="12.75" x14ac:dyDescent="0.2">
      <c r="A57"/>
      <c r="B57" s="877" t="s">
        <v>1670</v>
      </c>
      <c r="C57" s="877" t="s">
        <v>98</v>
      </c>
      <c r="D57"/>
      <c r="AA57" s="2" t="s">
        <v>849</v>
      </c>
      <c r="AB57" s="2" t="s">
        <v>2320</v>
      </c>
    </row>
    <row r="58" spans="1:28" ht="12.75" x14ac:dyDescent="0.2">
      <c r="A58"/>
      <c r="B58" s="877" t="s">
        <v>1554</v>
      </c>
      <c r="C58" t="s">
        <v>98</v>
      </c>
      <c r="D58"/>
      <c r="AA58" s="2" t="s">
        <v>246</v>
      </c>
      <c r="AB58" s="2" t="s">
        <v>2277</v>
      </c>
    </row>
    <row r="59" spans="1:28" ht="12.75" x14ac:dyDescent="0.2">
      <c r="A59"/>
      <c r="B59" s="877" t="s">
        <v>742</v>
      </c>
      <c r="C59" t="s">
        <v>98</v>
      </c>
      <c r="D59"/>
      <c r="AB59" s="2" t="s">
        <v>2278</v>
      </c>
    </row>
    <row r="60" spans="1:28" ht="12.75" x14ac:dyDescent="0.2">
      <c r="A60"/>
      <c r="B60" s="877" t="s">
        <v>743</v>
      </c>
      <c r="C60" s="877" t="s">
        <v>98</v>
      </c>
      <c r="D60"/>
      <c r="Z60" s="703" t="s">
        <v>2005</v>
      </c>
      <c r="AA60" s="703"/>
      <c r="AB60" s="2" t="s">
        <v>2279</v>
      </c>
    </row>
    <row r="61" spans="1:28" ht="12.75" x14ac:dyDescent="0.2">
      <c r="A61"/>
      <c r="B61" s="877" t="s">
        <v>744</v>
      </c>
      <c r="C61" s="877" t="s">
        <v>98</v>
      </c>
      <c r="D61"/>
      <c r="Z61" s="1115" t="s">
        <v>1832</v>
      </c>
      <c r="AA61" s="1115" t="s">
        <v>1833</v>
      </c>
      <c r="AB61" s="2" t="s">
        <v>2284</v>
      </c>
    </row>
    <row r="62" spans="1:28" ht="12.75" x14ac:dyDescent="0.2">
      <c r="A62"/>
      <c r="B62" s="877" t="s">
        <v>745</v>
      </c>
      <c r="C62" s="877" t="s">
        <v>98</v>
      </c>
      <c r="D62"/>
      <c r="Z62" s="1116" t="s">
        <v>365</v>
      </c>
      <c r="AA62" s="1116" t="s">
        <v>1831</v>
      </c>
      <c r="AB62" s="2" t="s">
        <v>2287</v>
      </c>
    </row>
    <row r="63" spans="1:28" ht="12.75" x14ac:dyDescent="0.2">
      <c r="A63"/>
      <c r="B63" s="877" t="s">
        <v>1540</v>
      </c>
      <c r="C63" s="877" t="s">
        <v>98</v>
      </c>
      <c r="D63"/>
      <c r="Z63" s="1116" t="s">
        <v>717</v>
      </c>
      <c r="AA63" s="1116" t="s">
        <v>1487</v>
      </c>
      <c r="AB63" s="2" t="s">
        <v>2275</v>
      </c>
    </row>
    <row r="64" spans="1:28" ht="12.75" x14ac:dyDescent="0.2">
      <c r="A64"/>
      <c r="B64" s="877" t="s">
        <v>1555</v>
      </c>
      <c r="C64" t="s">
        <v>98</v>
      </c>
      <c r="D64"/>
      <c r="AB64" s="2" t="s">
        <v>2313</v>
      </c>
    </row>
    <row r="65" spans="1:28" ht="12.75" x14ac:dyDescent="0.2">
      <c r="A65"/>
      <c r="B65" s="877" t="s">
        <v>1556</v>
      </c>
      <c r="C65" s="877" t="s">
        <v>98</v>
      </c>
      <c r="D65"/>
      <c r="AB65" s="2" t="s">
        <v>2314</v>
      </c>
    </row>
    <row r="66" spans="1:28" ht="12.75" x14ac:dyDescent="0.2">
      <c r="A66"/>
      <c r="B66" s="877" t="s">
        <v>1735</v>
      </c>
      <c r="C66" s="877" t="s">
        <v>98</v>
      </c>
      <c r="D66"/>
      <c r="Z66" s="703" t="s">
        <v>2006</v>
      </c>
      <c r="AB66" s="2" t="s">
        <v>2315</v>
      </c>
    </row>
    <row r="67" spans="1:28" ht="12.75" x14ac:dyDescent="0.2">
      <c r="A67"/>
      <c r="B67" s="877" t="s">
        <v>1736</v>
      </c>
      <c r="C67" s="877" t="s">
        <v>98</v>
      </c>
      <c r="D67"/>
      <c r="Z67" s="2" t="s">
        <v>365</v>
      </c>
      <c r="AB67" s="2" t="s">
        <v>2316</v>
      </c>
    </row>
    <row r="68" spans="1:28" ht="12.75" x14ac:dyDescent="0.2">
      <c r="A68"/>
      <c r="B68" s="877" t="s">
        <v>422</v>
      </c>
      <c r="C68" s="877" t="s">
        <v>98</v>
      </c>
      <c r="D68"/>
      <c r="Z68" s="2" t="s">
        <v>717</v>
      </c>
      <c r="AB68" s="2" t="s">
        <v>2275</v>
      </c>
    </row>
    <row r="69" spans="1:28" ht="12.75" x14ac:dyDescent="0.2">
      <c r="A69"/>
      <c r="B69" s="877" t="s">
        <v>2009</v>
      </c>
      <c r="C69" s="877" t="s">
        <v>1542</v>
      </c>
      <c r="D69"/>
      <c r="AB69" s="2" t="s">
        <v>2309</v>
      </c>
    </row>
    <row r="70" spans="1:28" ht="12.75" x14ac:dyDescent="0.2">
      <c r="A70"/>
      <c r="B70" s="877" t="s">
        <v>746</v>
      </c>
      <c r="C70" s="877" t="s">
        <v>1542</v>
      </c>
      <c r="D70"/>
      <c r="AB70" s="2" t="s">
        <v>2310</v>
      </c>
    </row>
    <row r="71" spans="1:28" ht="12.75" x14ac:dyDescent="0.2">
      <c r="A71"/>
      <c r="B71" s="877" t="s">
        <v>747</v>
      </c>
      <c r="C71" s="877" t="s">
        <v>1542</v>
      </c>
      <c r="D71"/>
      <c r="AB71" s="2" t="s">
        <v>2311</v>
      </c>
    </row>
    <row r="72" spans="1:28" ht="12.75" x14ac:dyDescent="0.2">
      <c r="A72"/>
      <c r="B72" s="877" t="s">
        <v>748</v>
      </c>
      <c r="C72" s="877" t="s">
        <v>1542</v>
      </c>
      <c r="D72"/>
      <c r="AB72" s="2" t="s">
        <v>2275</v>
      </c>
    </row>
    <row r="73" spans="1:28" ht="12.75" x14ac:dyDescent="0.2">
      <c r="A73"/>
      <c r="B73" s="877" t="s">
        <v>1541</v>
      </c>
      <c r="C73" s="877" t="s">
        <v>1542</v>
      </c>
      <c r="D73"/>
      <c r="AB73" s="2" t="s">
        <v>2326</v>
      </c>
    </row>
    <row r="74" spans="1:28" ht="12.75" x14ac:dyDescent="0.2">
      <c r="A74"/>
      <c r="B74" s="877" t="s">
        <v>749</v>
      </c>
      <c r="C74" s="877" t="s">
        <v>1542</v>
      </c>
      <c r="D74"/>
      <c r="AB74" s="2" t="s">
        <v>2327</v>
      </c>
    </row>
    <row r="75" spans="1:28" ht="12.75" x14ac:dyDescent="0.2">
      <c r="A75"/>
      <c r="B75" s="877" t="s">
        <v>750</v>
      </c>
      <c r="C75" s="877" t="s">
        <v>1542</v>
      </c>
      <c r="D75"/>
      <c r="AB75" s="2" t="s">
        <v>2328</v>
      </c>
    </row>
    <row r="76" spans="1:28" ht="12.75" x14ac:dyDescent="0.2">
      <c r="A76"/>
      <c r="B76" s="877" t="s">
        <v>751</v>
      </c>
      <c r="C76" s="877" t="s">
        <v>1542</v>
      </c>
      <c r="D76"/>
      <c r="AB76" s="2" t="s">
        <v>2329</v>
      </c>
    </row>
    <row r="77" spans="1:28" ht="12.75" x14ac:dyDescent="0.2">
      <c r="A77"/>
      <c r="B77" s="877" t="s">
        <v>752</v>
      </c>
      <c r="C77" s="877" t="s">
        <v>1542</v>
      </c>
      <c r="D77"/>
      <c r="AB77" s="2" t="s">
        <v>2330</v>
      </c>
    </row>
    <row r="78" spans="1:28" ht="12.75" x14ac:dyDescent="0.2">
      <c r="A78"/>
      <c r="B78" s="877" t="s">
        <v>753</v>
      </c>
      <c r="C78" s="877" t="s">
        <v>1542</v>
      </c>
      <c r="D78"/>
      <c r="AB78" s="2" t="s">
        <v>2331</v>
      </c>
    </row>
    <row r="79" spans="1:28" ht="12.75" x14ac:dyDescent="0.2">
      <c r="A79"/>
      <c r="B79" s="877" t="s">
        <v>1545</v>
      </c>
      <c r="C79" s="877" t="s">
        <v>1542</v>
      </c>
      <c r="D79"/>
      <c r="AB79" s="2" t="s">
        <v>2332</v>
      </c>
    </row>
    <row r="80" spans="1:28" ht="12.75" x14ac:dyDescent="0.2">
      <c r="A80"/>
      <c r="B80" s="877" t="s">
        <v>754</v>
      </c>
      <c r="C80" s="877" t="s">
        <v>1542</v>
      </c>
      <c r="D80"/>
      <c r="AB80" s="2" t="s">
        <v>2333</v>
      </c>
    </row>
    <row r="81" spans="1:28" ht="12.75" x14ac:dyDescent="0.2">
      <c r="A81"/>
      <c r="B81" s="877" t="s">
        <v>755</v>
      </c>
      <c r="C81" s="877" t="s">
        <v>1542</v>
      </c>
      <c r="D81"/>
      <c r="AB81" s="2" t="s">
        <v>2334</v>
      </c>
    </row>
    <row r="82" spans="1:28" ht="12.75" x14ac:dyDescent="0.2">
      <c r="A82"/>
      <c r="B82" s="877" t="s">
        <v>756</v>
      </c>
      <c r="C82" s="877" t="s">
        <v>1542</v>
      </c>
      <c r="D82"/>
      <c r="AB82" s="2" t="s">
        <v>289</v>
      </c>
    </row>
    <row r="83" spans="1:28" ht="12.75" x14ac:dyDescent="0.2">
      <c r="A83"/>
      <c r="B83" s="877" t="s">
        <v>1557</v>
      </c>
      <c r="C83" s="877" t="s">
        <v>1542</v>
      </c>
      <c r="D83"/>
      <c r="AB83" s="2" t="s">
        <v>2335</v>
      </c>
    </row>
    <row r="84" spans="1:28" ht="12.75" x14ac:dyDescent="0.2">
      <c r="A84"/>
      <c r="B84" s="877" t="s">
        <v>757</v>
      </c>
      <c r="C84" s="877" t="s">
        <v>1542</v>
      </c>
      <c r="D84"/>
      <c r="AB84" s="2" t="s">
        <v>1470</v>
      </c>
    </row>
    <row r="85" spans="1:28" ht="12.75" x14ac:dyDescent="0.2">
      <c r="A85"/>
      <c r="B85" s="877" t="s">
        <v>1737</v>
      </c>
      <c r="C85" s="877" t="s">
        <v>1542</v>
      </c>
      <c r="D85"/>
      <c r="AB85" s="2" t="s">
        <v>2336</v>
      </c>
    </row>
    <row r="86" spans="1:28" ht="12.75" x14ac:dyDescent="0.2">
      <c r="A86"/>
      <c r="B86" s="877" t="s">
        <v>1547</v>
      </c>
      <c r="C86" s="877" t="s">
        <v>1542</v>
      </c>
      <c r="D86"/>
      <c r="AB86" s="2" t="s">
        <v>2337</v>
      </c>
    </row>
    <row r="87" spans="1:28" ht="12.75" x14ac:dyDescent="0.2">
      <c r="A87"/>
      <c r="B87" s="877" t="s">
        <v>758</v>
      </c>
      <c r="C87" s="877" t="s">
        <v>1542</v>
      </c>
      <c r="D87"/>
      <c r="AB87" s="2" t="s">
        <v>2338</v>
      </c>
    </row>
    <row r="88" spans="1:28" ht="12.75" x14ac:dyDescent="0.2">
      <c r="A88"/>
      <c r="B88" s="877" t="s">
        <v>759</v>
      </c>
      <c r="C88" s="877" t="s">
        <v>1542</v>
      </c>
      <c r="D88"/>
      <c r="AB88" s="2" t="s">
        <v>2339</v>
      </c>
    </row>
    <row r="89" spans="1:28" ht="12.75" x14ac:dyDescent="0.2">
      <c r="A89"/>
      <c r="B89" s="877" t="s">
        <v>783</v>
      </c>
      <c r="C89" s="877" t="s">
        <v>1542</v>
      </c>
      <c r="D89"/>
      <c r="AB89" s="2" t="s">
        <v>1097</v>
      </c>
    </row>
    <row r="90" spans="1:28" ht="12.75" x14ac:dyDescent="0.2">
      <c r="A90"/>
      <c r="B90" s="877" t="s">
        <v>784</v>
      </c>
      <c r="C90" s="877" t="s">
        <v>1542</v>
      </c>
      <c r="D90"/>
      <c r="AB90" s="2" t="s">
        <v>2340</v>
      </c>
    </row>
    <row r="91" spans="1:28" ht="12.75" x14ac:dyDescent="0.2">
      <c r="A91"/>
      <c r="B91" s="877" t="s">
        <v>1550</v>
      </c>
      <c r="C91" s="877" t="s">
        <v>1542</v>
      </c>
      <c r="D91"/>
      <c r="AB91" s="2" t="s">
        <v>1096</v>
      </c>
    </row>
    <row r="92" spans="1:28" ht="12.75" x14ac:dyDescent="0.2">
      <c r="A92"/>
      <c r="B92" s="877" t="s">
        <v>2559</v>
      </c>
      <c r="C92" s="877" t="s">
        <v>1046</v>
      </c>
      <c r="D92"/>
      <c r="AB92" s="2" t="s">
        <v>2341</v>
      </c>
    </row>
    <row r="93" spans="1:28" ht="12.75" x14ac:dyDescent="0.2">
      <c r="A93"/>
      <c r="B93" s="877" t="s">
        <v>2010</v>
      </c>
      <c r="C93" s="877" t="s">
        <v>1046</v>
      </c>
      <c r="D93"/>
      <c r="AB93" s="2" t="s">
        <v>2342</v>
      </c>
    </row>
    <row r="94" spans="1:28" ht="12.75" x14ac:dyDescent="0.2">
      <c r="A94"/>
      <c r="B94" s="877" t="s">
        <v>2011</v>
      </c>
      <c r="C94" s="877" t="s">
        <v>1046</v>
      </c>
      <c r="D94"/>
      <c r="AB94" s="2" t="s">
        <v>2275</v>
      </c>
    </row>
    <row r="95" spans="1:28" ht="12.75" x14ac:dyDescent="0.2">
      <c r="A95"/>
      <c r="B95" s="877" t="s">
        <v>785</v>
      </c>
      <c r="C95" s="877" t="s">
        <v>1046</v>
      </c>
      <c r="D95"/>
      <c r="AB95" s="2" t="s">
        <v>2344</v>
      </c>
    </row>
    <row r="96" spans="1:28" ht="12.75" x14ac:dyDescent="0.2">
      <c r="A96"/>
      <c r="B96" s="877" t="s">
        <v>786</v>
      </c>
      <c r="C96" s="877" t="s">
        <v>1046</v>
      </c>
      <c r="D96"/>
      <c r="AB96" s="2" t="s">
        <v>2345</v>
      </c>
    </row>
    <row r="97" spans="1:28" ht="12.75" x14ac:dyDescent="0.2">
      <c r="A97"/>
      <c r="B97" s="877" t="s">
        <v>215</v>
      </c>
      <c r="C97" s="877" t="s">
        <v>1046</v>
      </c>
      <c r="D97"/>
      <c r="AB97" s="2" t="s">
        <v>2275</v>
      </c>
    </row>
    <row r="98" spans="1:28" ht="12.75" x14ac:dyDescent="0.2">
      <c r="A98"/>
      <c r="B98" s="877" t="s">
        <v>1045</v>
      </c>
      <c r="C98" s="877" t="s">
        <v>1046</v>
      </c>
      <c r="D98"/>
      <c r="AB98" s="2" t="s">
        <v>2346</v>
      </c>
    </row>
    <row r="99" spans="1:28" ht="12.75" x14ac:dyDescent="0.2">
      <c r="A99"/>
      <c r="B99" s="877" t="s">
        <v>724</v>
      </c>
      <c r="C99" s="877" t="s">
        <v>1046</v>
      </c>
      <c r="D99"/>
      <c r="AB99" s="2" t="s">
        <v>2347</v>
      </c>
    </row>
    <row r="100" spans="1:28" ht="12.75" x14ac:dyDescent="0.2">
      <c r="A100"/>
      <c r="B100" s="877" t="s">
        <v>1674</v>
      </c>
      <c r="C100" s="877" t="s">
        <v>1046</v>
      </c>
      <c r="D100"/>
      <c r="AB100" s="2" t="s">
        <v>2348</v>
      </c>
    </row>
    <row r="101" spans="1:28" ht="12.75" x14ac:dyDescent="0.2">
      <c r="A101"/>
      <c r="B101" s="877" t="s">
        <v>2260</v>
      </c>
      <c r="C101" s="877" t="s">
        <v>1046</v>
      </c>
      <c r="D101"/>
      <c r="AB101" s="2" t="s">
        <v>2349</v>
      </c>
    </row>
    <row r="102" spans="1:28" ht="12.75" x14ac:dyDescent="0.2">
      <c r="A102"/>
      <c r="B102" s="877" t="s">
        <v>1047</v>
      </c>
      <c r="C102" s="877" t="s">
        <v>1046</v>
      </c>
      <c r="D102"/>
      <c r="AB102" s="2" t="s">
        <v>2350</v>
      </c>
    </row>
    <row r="103" spans="1:28" ht="12.75" x14ac:dyDescent="0.2">
      <c r="A103"/>
      <c r="B103" s="877" t="s">
        <v>2012</v>
      </c>
      <c r="C103" s="877" t="s">
        <v>1671</v>
      </c>
      <c r="D103"/>
      <c r="AB103" s="2" t="s">
        <v>2381</v>
      </c>
    </row>
    <row r="104" spans="1:28" ht="12.75" x14ac:dyDescent="0.2">
      <c r="A104"/>
      <c r="B104" s="877" t="s">
        <v>1558</v>
      </c>
      <c r="C104" s="877" t="s">
        <v>1671</v>
      </c>
      <c r="D104"/>
      <c r="AB104" s="2" t="s">
        <v>2382</v>
      </c>
    </row>
    <row r="105" spans="1:28" ht="12.75" x14ac:dyDescent="0.2">
      <c r="A105"/>
      <c r="B105" s="877" t="s">
        <v>1559</v>
      </c>
      <c r="C105" s="877" t="s">
        <v>1671</v>
      </c>
      <c r="D105"/>
      <c r="AB105" s="2" t="s">
        <v>2352</v>
      </c>
    </row>
    <row r="106" spans="1:28" ht="12.75" x14ac:dyDescent="0.2">
      <c r="A106"/>
      <c r="B106" s="877" t="s">
        <v>1560</v>
      </c>
      <c r="C106" s="877" t="s">
        <v>1671</v>
      </c>
      <c r="D106"/>
      <c r="AB106" s="2" t="s">
        <v>2353</v>
      </c>
    </row>
    <row r="107" spans="1:28" ht="12.75" x14ac:dyDescent="0.2">
      <c r="A107"/>
      <c r="B107" s="877" t="s">
        <v>2261</v>
      </c>
      <c r="C107" s="877" t="s">
        <v>1671</v>
      </c>
      <c r="D107"/>
      <c r="AB107" s="2" t="s">
        <v>2354</v>
      </c>
    </row>
    <row r="108" spans="1:28" ht="12.75" x14ac:dyDescent="0.2">
      <c r="A108"/>
      <c r="B108" s="877" t="s">
        <v>1004</v>
      </c>
      <c r="C108" s="877" t="s">
        <v>1671</v>
      </c>
      <c r="D108"/>
      <c r="AB108" s="2" t="s">
        <v>2355</v>
      </c>
    </row>
    <row r="109" spans="1:28" ht="12.75" x14ac:dyDescent="0.2">
      <c r="A109"/>
      <c r="B109" s="877" t="s">
        <v>1561</v>
      </c>
      <c r="C109" s="877" t="s">
        <v>1671</v>
      </c>
      <c r="D109"/>
      <c r="AB109" s="2" t="s">
        <v>2356</v>
      </c>
    </row>
    <row r="110" spans="1:28" ht="12.75" x14ac:dyDescent="0.2">
      <c r="A110"/>
      <c r="B110" s="877" t="s">
        <v>1562</v>
      </c>
      <c r="C110" s="877" t="s">
        <v>1671</v>
      </c>
      <c r="D110"/>
      <c r="AB110" s="2" t="s">
        <v>2357</v>
      </c>
    </row>
    <row r="111" spans="1:28" ht="12.75" x14ac:dyDescent="0.2">
      <c r="A111"/>
      <c r="B111" s="877" t="s">
        <v>1563</v>
      </c>
      <c r="C111" s="877" t="s">
        <v>1671</v>
      </c>
      <c r="D111"/>
      <c r="AB111" s="2" t="s">
        <v>2358</v>
      </c>
    </row>
    <row r="112" spans="1:28" ht="12.75" x14ac:dyDescent="0.2">
      <c r="A112"/>
      <c r="B112" s="877" t="s">
        <v>1564</v>
      </c>
      <c r="C112" s="877" t="s">
        <v>1671</v>
      </c>
      <c r="D112"/>
      <c r="AB112" s="2" t="s">
        <v>2359</v>
      </c>
    </row>
    <row r="113" spans="1:28" ht="12.75" x14ac:dyDescent="0.2">
      <c r="A113"/>
      <c r="B113" s="877" t="s">
        <v>1565</v>
      </c>
      <c r="C113" s="877" t="s">
        <v>1671</v>
      </c>
      <c r="D113"/>
      <c r="AB113" s="2" t="s">
        <v>2360</v>
      </c>
    </row>
    <row r="114" spans="1:28" ht="12.75" x14ac:dyDescent="0.2">
      <c r="A114"/>
      <c r="B114" s="877" t="s">
        <v>1566</v>
      </c>
      <c r="C114" s="877" t="s">
        <v>1671</v>
      </c>
      <c r="D114"/>
      <c r="AB114" s="2" t="s">
        <v>2361</v>
      </c>
    </row>
    <row r="115" spans="1:28" ht="12.75" x14ac:dyDescent="0.2">
      <c r="A115"/>
      <c r="B115" s="877" t="s">
        <v>1567</v>
      </c>
      <c r="C115" s="877" t="s">
        <v>1671</v>
      </c>
      <c r="D115"/>
      <c r="AB115" s="2" t="s">
        <v>2275</v>
      </c>
    </row>
    <row r="116" spans="1:28" ht="12.75" x14ac:dyDescent="0.2">
      <c r="A116"/>
      <c r="B116" s="877" t="s">
        <v>1006</v>
      </c>
      <c r="C116" s="877" t="s">
        <v>1671</v>
      </c>
      <c r="D116"/>
      <c r="AB116" s="2" t="s">
        <v>2362</v>
      </c>
    </row>
    <row r="117" spans="1:28" ht="12.75" x14ac:dyDescent="0.2">
      <c r="A117"/>
      <c r="B117" s="877" t="s">
        <v>1568</v>
      </c>
      <c r="C117" s="877" t="s">
        <v>1671</v>
      </c>
      <c r="D117"/>
      <c r="AB117" s="2" t="s">
        <v>2363</v>
      </c>
    </row>
    <row r="118" spans="1:28" ht="12.75" x14ac:dyDescent="0.2">
      <c r="A118"/>
      <c r="B118" s="877" t="s">
        <v>2262</v>
      </c>
      <c r="C118" s="877" t="s">
        <v>1671</v>
      </c>
      <c r="D118"/>
      <c r="AB118" s="2" t="s">
        <v>2275</v>
      </c>
    </row>
    <row r="119" spans="1:28" ht="12.75" x14ac:dyDescent="0.2">
      <c r="A119"/>
      <c r="B119" s="877" t="s">
        <v>2263</v>
      </c>
      <c r="C119" s="877" t="s">
        <v>1671</v>
      </c>
      <c r="D119"/>
      <c r="AB119" s="2" t="s">
        <v>2368</v>
      </c>
    </row>
    <row r="120" spans="1:28" ht="12.75" x14ac:dyDescent="0.2">
      <c r="A120"/>
      <c r="B120" s="877" t="s">
        <v>1008</v>
      </c>
      <c r="C120" s="877" t="s">
        <v>1671</v>
      </c>
      <c r="D120"/>
      <c r="AB120" s="2" t="s">
        <v>2369</v>
      </c>
    </row>
    <row r="121" spans="1:28" ht="12.75" x14ac:dyDescent="0.2">
      <c r="A121"/>
      <c r="B121" s="877" t="s">
        <v>1569</v>
      </c>
      <c r="C121" s="877" t="s">
        <v>1671</v>
      </c>
      <c r="D121"/>
      <c r="AB121" s="2" t="s">
        <v>2370</v>
      </c>
    </row>
    <row r="122" spans="1:28" ht="12.75" x14ac:dyDescent="0.2">
      <c r="A122"/>
      <c r="B122" s="877" t="s">
        <v>1570</v>
      </c>
      <c r="C122" s="877" t="s">
        <v>1671</v>
      </c>
      <c r="D122"/>
      <c r="AB122" s="2" t="s">
        <v>2371</v>
      </c>
    </row>
    <row r="123" spans="1:28" ht="12.75" x14ac:dyDescent="0.2">
      <c r="A123"/>
      <c r="B123" s="877" t="s">
        <v>1571</v>
      </c>
      <c r="C123" s="877" t="s">
        <v>1671</v>
      </c>
      <c r="D123"/>
      <c r="AB123" s="2" t="s">
        <v>2372</v>
      </c>
    </row>
    <row r="124" spans="1:28" ht="12.75" x14ac:dyDescent="0.2">
      <c r="A124"/>
      <c r="B124" s="877" t="s">
        <v>1572</v>
      </c>
      <c r="C124" s="877" t="s">
        <v>1671</v>
      </c>
      <c r="D124"/>
      <c r="AB124" s="2" t="s">
        <v>2373</v>
      </c>
    </row>
    <row r="125" spans="1:28" ht="12.75" x14ac:dyDescent="0.2">
      <c r="A125"/>
      <c r="B125" s="877" t="s">
        <v>1009</v>
      </c>
      <c r="C125" s="877" t="s">
        <v>1671</v>
      </c>
      <c r="D125"/>
    </row>
    <row r="126" spans="1:28" ht="12.75" x14ac:dyDescent="0.2">
      <c r="A126"/>
      <c r="B126" s="877" t="s">
        <v>1573</v>
      </c>
      <c r="C126" s="877" t="s">
        <v>1671</v>
      </c>
      <c r="D126"/>
    </row>
    <row r="127" spans="1:28" ht="12.75" x14ac:dyDescent="0.2">
      <c r="A127"/>
      <c r="B127" s="877" t="s">
        <v>2560</v>
      </c>
      <c r="C127" s="877" t="s">
        <v>1671</v>
      </c>
      <c r="D127"/>
    </row>
    <row r="128" spans="1:28" ht="12.75" x14ac:dyDescent="0.2">
      <c r="A128"/>
      <c r="B128" s="877" t="s">
        <v>1574</v>
      </c>
      <c r="C128" s="877" t="s">
        <v>1671</v>
      </c>
      <c r="D128"/>
    </row>
    <row r="129" spans="1:4" ht="12.75" x14ac:dyDescent="0.2">
      <c r="A129"/>
      <c r="B129" s="877" t="s">
        <v>1010</v>
      </c>
      <c r="C129" s="877" t="s">
        <v>1671</v>
      </c>
      <c r="D129"/>
    </row>
    <row r="130" spans="1:4" ht="12.75" x14ac:dyDescent="0.2">
      <c r="A130"/>
      <c r="B130" s="877" t="s">
        <v>1575</v>
      </c>
      <c r="C130" s="877" t="s">
        <v>1671</v>
      </c>
      <c r="D130"/>
    </row>
    <row r="131" spans="1:4" ht="12.75" x14ac:dyDescent="0.2">
      <c r="A131"/>
      <c r="B131" s="877" t="s">
        <v>1576</v>
      </c>
      <c r="C131" s="877" t="s">
        <v>1671</v>
      </c>
      <c r="D131"/>
    </row>
    <row r="132" spans="1:4" ht="12.75" x14ac:dyDescent="0.2">
      <c r="A132"/>
      <c r="B132" s="877" t="s">
        <v>40</v>
      </c>
      <c r="C132" s="877" t="s">
        <v>1671</v>
      </c>
      <c r="D132"/>
    </row>
    <row r="133" spans="1:4" ht="12.75" x14ac:dyDescent="0.2">
      <c r="A133"/>
      <c r="B133" s="877" t="s">
        <v>41</v>
      </c>
      <c r="C133" s="877" t="s">
        <v>1671</v>
      </c>
      <c r="D133"/>
    </row>
    <row r="134" spans="1:4" ht="12.75" x14ac:dyDescent="0.2">
      <c r="A134"/>
      <c r="B134" s="877" t="s">
        <v>42</v>
      </c>
      <c r="C134" s="877" t="s">
        <v>1671</v>
      </c>
      <c r="D134"/>
    </row>
    <row r="135" spans="1:4" ht="12.75" x14ac:dyDescent="0.2">
      <c r="A135"/>
      <c r="B135" s="877" t="s">
        <v>1012</v>
      </c>
      <c r="C135" t="s">
        <v>1671</v>
      </c>
      <c r="D135"/>
    </row>
    <row r="136" spans="1:4" ht="12.75" x14ac:dyDescent="0.2">
      <c r="A136"/>
      <c r="B136" s="877" t="s">
        <v>43</v>
      </c>
      <c r="C136" t="s">
        <v>1671</v>
      </c>
      <c r="D136"/>
    </row>
    <row r="137" spans="1:4" ht="12.75" x14ac:dyDescent="0.2">
      <c r="A137"/>
      <c r="B137" s="877" t="s">
        <v>44</v>
      </c>
      <c r="C137" t="s">
        <v>1671</v>
      </c>
      <c r="D137"/>
    </row>
    <row r="138" spans="1:4" ht="12.75" x14ac:dyDescent="0.2">
      <c r="A138"/>
      <c r="B138" s="877" t="s">
        <v>45</v>
      </c>
      <c r="C138" t="s">
        <v>1671</v>
      </c>
      <c r="D138"/>
    </row>
    <row r="139" spans="1:4" ht="12.75" x14ac:dyDescent="0.2">
      <c r="A139"/>
      <c r="B139" s="877" t="s">
        <v>2561</v>
      </c>
      <c r="C139" t="s">
        <v>1671</v>
      </c>
      <c r="D139"/>
    </row>
    <row r="140" spans="1:4" ht="12.75" x14ac:dyDescent="0.2">
      <c r="A140"/>
      <c r="B140" s="877" t="s">
        <v>1014</v>
      </c>
      <c r="C140" t="s">
        <v>1671</v>
      </c>
      <c r="D140"/>
    </row>
    <row r="141" spans="1:4" ht="12.75" x14ac:dyDescent="0.2">
      <c r="A141"/>
      <c r="B141" s="877" t="s">
        <v>1675</v>
      </c>
      <c r="C141" t="s">
        <v>1671</v>
      </c>
      <c r="D141"/>
    </row>
    <row r="142" spans="1:4" ht="12.75" x14ac:dyDescent="0.2">
      <c r="A142"/>
      <c r="B142" s="877" t="s">
        <v>46</v>
      </c>
      <c r="C142" t="s">
        <v>1671</v>
      </c>
      <c r="D142"/>
    </row>
    <row r="143" spans="1:4" ht="12.75" x14ac:dyDescent="0.2">
      <c r="A143"/>
      <c r="B143" s="877" t="s">
        <v>1676</v>
      </c>
      <c r="C143" t="s">
        <v>1671</v>
      </c>
      <c r="D143"/>
    </row>
    <row r="144" spans="1:4" ht="12.75" x14ac:dyDescent="0.2">
      <c r="A144"/>
      <c r="B144" s="877" t="s">
        <v>47</v>
      </c>
      <c r="C144" t="s">
        <v>1671</v>
      </c>
      <c r="D144"/>
    </row>
    <row r="145" spans="1:4" ht="12.75" x14ac:dyDescent="0.2">
      <c r="A145"/>
      <c r="B145" s="877" t="s">
        <v>48</v>
      </c>
      <c r="C145" t="s">
        <v>1671</v>
      </c>
      <c r="D145"/>
    </row>
    <row r="146" spans="1:4" ht="12.75" x14ac:dyDescent="0.2">
      <c r="A146"/>
      <c r="B146" s="877" t="s">
        <v>2264</v>
      </c>
      <c r="C146" t="s">
        <v>1671</v>
      </c>
      <c r="D146"/>
    </row>
    <row r="147" spans="1:4" ht="12.75" x14ac:dyDescent="0.2">
      <c r="A147"/>
      <c r="B147" s="877" t="s">
        <v>49</v>
      </c>
      <c r="C147" t="s">
        <v>1671</v>
      </c>
      <c r="D147"/>
    </row>
    <row r="148" spans="1:4" ht="12.75" x14ac:dyDescent="0.2">
      <c r="A148"/>
      <c r="B148" s="877" t="s">
        <v>50</v>
      </c>
      <c r="C148" t="s">
        <v>1671</v>
      </c>
      <c r="D148"/>
    </row>
    <row r="149" spans="1:4" ht="12.75" x14ac:dyDescent="0.2">
      <c r="A149"/>
      <c r="B149" s="877" t="s">
        <v>51</v>
      </c>
      <c r="C149" t="s">
        <v>1671</v>
      </c>
      <c r="D149"/>
    </row>
    <row r="150" spans="1:4" ht="12.75" x14ac:dyDescent="0.2">
      <c r="A150"/>
      <c r="B150" s="877" t="s">
        <v>52</v>
      </c>
      <c r="C150" t="s">
        <v>1671</v>
      </c>
      <c r="D150"/>
    </row>
    <row r="151" spans="1:4" ht="12.75" x14ac:dyDescent="0.2">
      <c r="A151"/>
      <c r="B151" s="877" t="s">
        <v>1019</v>
      </c>
      <c r="C151" t="s">
        <v>1671</v>
      </c>
      <c r="D151"/>
    </row>
    <row r="152" spans="1:4" ht="12.75" x14ac:dyDescent="0.2">
      <c r="A152"/>
      <c r="B152" s="877" t="s">
        <v>53</v>
      </c>
      <c r="C152" t="s">
        <v>1671</v>
      </c>
      <c r="D152"/>
    </row>
    <row r="153" spans="1:4" ht="12.75" x14ac:dyDescent="0.2">
      <c r="A153"/>
      <c r="B153" s="877" t="s">
        <v>54</v>
      </c>
      <c r="C153" t="s">
        <v>1671</v>
      </c>
      <c r="D153"/>
    </row>
    <row r="154" spans="1:4" ht="12.75" x14ac:dyDescent="0.2">
      <c r="A154"/>
      <c r="B154" s="877" t="s">
        <v>55</v>
      </c>
      <c r="C154" t="s">
        <v>1671</v>
      </c>
      <c r="D154"/>
    </row>
    <row r="155" spans="1:4" ht="12.75" x14ac:dyDescent="0.2">
      <c r="A155"/>
      <c r="B155" s="877" t="s">
        <v>2265</v>
      </c>
      <c r="C155" t="s">
        <v>1671</v>
      </c>
      <c r="D155"/>
    </row>
    <row r="156" spans="1:4" ht="12.75" x14ac:dyDescent="0.2">
      <c r="A156"/>
      <c r="B156" s="877" t="s">
        <v>2040</v>
      </c>
      <c r="C156" t="s">
        <v>1671</v>
      </c>
      <c r="D156"/>
    </row>
    <row r="157" spans="1:4" ht="12.75" x14ac:dyDescent="0.2">
      <c r="A157"/>
      <c r="B157" s="877" t="s">
        <v>56</v>
      </c>
      <c r="C157" t="s">
        <v>2013</v>
      </c>
      <c r="D157"/>
    </row>
    <row r="158" spans="1:4" ht="12.75" x14ac:dyDescent="0.2">
      <c r="A158"/>
      <c r="B158" s="877" t="s">
        <v>57</v>
      </c>
      <c r="C158" t="s">
        <v>2013</v>
      </c>
      <c r="D158"/>
    </row>
    <row r="159" spans="1:4" ht="12.75" x14ac:dyDescent="0.2">
      <c r="A159"/>
      <c r="B159" s="877" t="s">
        <v>58</v>
      </c>
      <c r="C159" t="s">
        <v>2013</v>
      </c>
      <c r="D159"/>
    </row>
    <row r="160" spans="1:4" ht="12.75" x14ac:dyDescent="0.2">
      <c r="A160"/>
      <c r="B160" s="877" t="s">
        <v>59</v>
      </c>
      <c r="C160" t="s">
        <v>2013</v>
      </c>
      <c r="D160"/>
    </row>
    <row r="161" spans="1:4" ht="12.75" x14ac:dyDescent="0.2">
      <c r="A161"/>
      <c r="B161" s="877" t="s">
        <v>60</v>
      </c>
      <c r="C161" t="s">
        <v>2013</v>
      </c>
      <c r="D161"/>
    </row>
    <row r="162" spans="1:4" ht="12.75" x14ac:dyDescent="0.2">
      <c r="A162"/>
      <c r="B162" s="877" t="s">
        <v>1028</v>
      </c>
      <c r="C162" t="s">
        <v>2013</v>
      </c>
      <c r="D162"/>
    </row>
    <row r="163" spans="1:4" ht="12.75" x14ac:dyDescent="0.2">
      <c r="A163"/>
      <c r="B163" s="877" t="s">
        <v>61</v>
      </c>
      <c r="C163" t="s">
        <v>2013</v>
      </c>
      <c r="D163"/>
    </row>
    <row r="164" spans="1:4" ht="12.75" x14ac:dyDescent="0.2">
      <c r="A164"/>
      <c r="B164" s="877" t="s">
        <v>62</v>
      </c>
      <c r="C164" t="s">
        <v>2013</v>
      </c>
      <c r="D164"/>
    </row>
    <row r="165" spans="1:4" ht="12.75" x14ac:dyDescent="0.2">
      <c r="A165"/>
      <c r="B165" s="877" t="s">
        <v>63</v>
      </c>
      <c r="C165" t="s">
        <v>2013</v>
      </c>
      <c r="D165"/>
    </row>
    <row r="166" spans="1:4" ht="12.75" x14ac:dyDescent="0.2">
      <c r="A166"/>
      <c r="B166" s="877" t="s">
        <v>2562</v>
      </c>
      <c r="C166" t="s">
        <v>2013</v>
      </c>
      <c r="D166"/>
    </row>
    <row r="167" spans="1:4" ht="12.75" x14ac:dyDescent="0.2">
      <c r="A167"/>
      <c r="B167" s="877" t="s">
        <v>1031</v>
      </c>
      <c r="C167" t="s">
        <v>2013</v>
      </c>
      <c r="D167"/>
    </row>
    <row r="168" spans="1:4" ht="12.75" x14ac:dyDescent="0.2">
      <c r="A168"/>
      <c r="B168" s="877" t="s">
        <v>64</v>
      </c>
      <c r="C168" t="s">
        <v>2013</v>
      </c>
      <c r="D168"/>
    </row>
    <row r="169" spans="1:4" ht="12.75" x14ac:dyDescent="0.2">
      <c r="A169"/>
      <c r="B169" s="877" t="s">
        <v>65</v>
      </c>
      <c r="C169" t="s">
        <v>2013</v>
      </c>
      <c r="D169"/>
    </row>
    <row r="170" spans="1:4" ht="12.75" x14ac:dyDescent="0.2">
      <c r="A170"/>
      <c r="B170" s="877" t="s">
        <v>66</v>
      </c>
      <c r="C170" t="s">
        <v>2013</v>
      </c>
      <c r="D170"/>
    </row>
    <row r="171" spans="1:4" ht="12.75" x14ac:dyDescent="0.2">
      <c r="A171"/>
      <c r="B171" s="877" t="s">
        <v>67</v>
      </c>
      <c r="C171" t="s">
        <v>2013</v>
      </c>
      <c r="D171"/>
    </row>
    <row r="172" spans="1:4" ht="12.75" x14ac:dyDescent="0.2">
      <c r="A172"/>
      <c r="B172" s="877" t="s">
        <v>1032</v>
      </c>
      <c r="C172" t="s">
        <v>2013</v>
      </c>
      <c r="D172"/>
    </row>
    <row r="173" spans="1:4" ht="12.75" x14ac:dyDescent="0.2">
      <c r="A173"/>
      <c r="B173" s="877" t="s">
        <v>68</v>
      </c>
      <c r="C173" t="s">
        <v>2013</v>
      </c>
      <c r="D173"/>
    </row>
    <row r="174" spans="1:4" ht="12.75" x14ac:dyDescent="0.2">
      <c r="A174"/>
      <c r="B174" s="877" t="s">
        <v>69</v>
      </c>
      <c r="C174" t="s">
        <v>2013</v>
      </c>
      <c r="D174"/>
    </row>
    <row r="175" spans="1:4" ht="12.75" x14ac:dyDescent="0.2">
      <c r="A175"/>
      <c r="B175" s="877" t="s">
        <v>70</v>
      </c>
      <c r="C175" t="s">
        <v>2013</v>
      </c>
      <c r="D175"/>
    </row>
    <row r="176" spans="1:4" ht="12.75" x14ac:dyDescent="0.2">
      <c r="A176"/>
      <c r="B176" s="877" t="s">
        <v>71</v>
      </c>
      <c r="C176" t="s">
        <v>2013</v>
      </c>
      <c r="D176"/>
    </row>
    <row r="177" spans="1:4" ht="12.75" x14ac:dyDescent="0.2">
      <c r="A177"/>
      <c r="B177" s="877" t="s">
        <v>2266</v>
      </c>
      <c r="C177" t="s">
        <v>2013</v>
      </c>
      <c r="D177"/>
    </row>
    <row r="178" spans="1:4" ht="12.75" x14ac:dyDescent="0.2">
      <c r="A178"/>
      <c r="B178" s="877" t="s">
        <v>1033</v>
      </c>
      <c r="C178" t="s">
        <v>2013</v>
      </c>
      <c r="D178"/>
    </row>
    <row r="179" spans="1:4" ht="12.75" x14ac:dyDescent="0.2">
      <c r="A179"/>
      <c r="B179" s="877" t="s">
        <v>1677</v>
      </c>
      <c r="C179" s="877" t="s">
        <v>2013</v>
      </c>
      <c r="D179"/>
    </row>
    <row r="180" spans="1:4" ht="12.75" x14ac:dyDescent="0.2">
      <c r="A180"/>
      <c r="B180" s="877" t="s">
        <v>72</v>
      </c>
      <c r="C180" s="877" t="s">
        <v>2013</v>
      </c>
      <c r="D180"/>
    </row>
    <row r="181" spans="1:4" ht="12.75" x14ac:dyDescent="0.2">
      <c r="A181"/>
      <c r="B181" s="877" t="s">
        <v>1678</v>
      </c>
      <c r="C181" s="877" t="s">
        <v>2013</v>
      </c>
      <c r="D181"/>
    </row>
    <row r="182" spans="1:4" ht="12.75" x14ac:dyDescent="0.2">
      <c r="A182"/>
      <c r="B182" s="877" t="s">
        <v>2563</v>
      </c>
      <c r="C182" s="877" t="s">
        <v>2013</v>
      </c>
      <c r="D182"/>
    </row>
    <row r="183" spans="1:4" ht="12.75" x14ac:dyDescent="0.2">
      <c r="A183"/>
      <c r="B183" s="877" t="s">
        <v>1733</v>
      </c>
      <c r="C183" s="877" t="s">
        <v>2013</v>
      </c>
      <c r="D183"/>
    </row>
    <row r="184" spans="1:4" ht="12.75" x14ac:dyDescent="0.2">
      <c r="A184"/>
      <c r="B184" s="877" t="s">
        <v>725</v>
      </c>
      <c r="C184" s="877" t="s">
        <v>1023</v>
      </c>
      <c r="D184"/>
    </row>
    <row r="185" spans="1:4" ht="12.75" x14ac:dyDescent="0.2">
      <c r="A185"/>
      <c r="B185" s="877" t="s">
        <v>726</v>
      </c>
      <c r="C185" s="877" t="s">
        <v>1023</v>
      </c>
      <c r="D185"/>
    </row>
    <row r="186" spans="1:4" ht="12.75" x14ac:dyDescent="0.2">
      <c r="A186"/>
      <c r="B186" s="877" t="s">
        <v>727</v>
      </c>
      <c r="C186" s="877" t="s">
        <v>1023</v>
      </c>
      <c r="D186"/>
    </row>
    <row r="187" spans="1:4" ht="12.75" x14ac:dyDescent="0.2">
      <c r="A187"/>
      <c r="B187" s="877" t="s">
        <v>1679</v>
      </c>
      <c r="C187" s="877" t="s">
        <v>1023</v>
      </c>
      <c r="D187"/>
    </row>
    <row r="188" spans="1:4" ht="12.75" x14ac:dyDescent="0.2">
      <c r="A188"/>
      <c r="B188" s="877" t="s">
        <v>728</v>
      </c>
      <c r="C188" s="877" t="s">
        <v>1023</v>
      </c>
      <c r="D188"/>
    </row>
    <row r="189" spans="1:4" ht="12.75" x14ac:dyDescent="0.2">
      <c r="A189"/>
      <c r="B189" s="877" t="s">
        <v>729</v>
      </c>
      <c r="C189" s="877" t="s">
        <v>1023</v>
      </c>
      <c r="D189"/>
    </row>
    <row r="190" spans="1:4" ht="12.75" x14ac:dyDescent="0.2">
      <c r="A190"/>
      <c r="B190" s="877" t="s">
        <v>730</v>
      </c>
      <c r="C190" s="877" t="s">
        <v>1023</v>
      </c>
      <c r="D190"/>
    </row>
    <row r="191" spans="1:4" ht="12.75" x14ac:dyDescent="0.2">
      <c r="A191"/>
      <c r="B191" s="877" t="s">
        <v>1022</v>
      </c>
      <c r="C191" s="877" t="s">
        <v>1023</v>
      </c>
      <c r="D191"/>
    </row>
    <row r="192" spans="1:4" ht="12.75" x14ac:dyDescent="0.2">
      <c r="A192"/>
      <c r="B192" s="877" t="s">
        <v>1680</v>
      </c>
      <c r="C192" s="877" t="s">
        <v>1023</v>
      </c>
      <c r="D192"/>
    </row>
    <row r="193" spans="1:4" ht="12.75" x14ac:dyDescent="0.2">
      <c r="A193"/>
      <c r="B193" s="877" t="s">
        <v>1738</v>
      </c>
      <c r="C193" s="877" t="s">
        <v>1023</v>
      </c>
      <c r="D193"/>
    </row>
    <row r="194" spans="1:4" ht="12.75" x14ac:dyDescent="0.2">
      <c r="A194"/>
      <c r="B194" s="877" t="s">
        <v>731</v>
      </c>
      <c r="C194" s="877" t="s">
        <v>1023</v>
      </c>
      <c r="D194"/>
    </row>
    <row r="195" spans="1:4" ht="12.75" x14ac:dyDescent="0.2">
      <c r="A195"/>
      <c r="B195" s="877" t="s">
        <v>732</v>
      </c>
      <c r="C195" s="877" t="s">
        <v>1023</v>
      </c>
      <c r="D195"/>
    </row>
    <row r="196" spans="1:4" ht="12.75" x14ac:dyDescent="0.2">
      <c r="A196"/>
      <c r="B196" s="877" t="s">
        <v>1739</v>
      </c>
      <c r="C196" s="877" t="s">
        <v>1023</v>
      </c>
      <c r="D196"/>
    </row>
    <row r="197" spans="1:4" ht="12.75" x14ac:dyDescent="0.2">
      <c r="A197"/>
      <c r="B197" s="877" t="s">
        <v>73</v>
      </c>
      <c r="C197" s="877" t="s">
        <v>1023</v>
      </c>
      <c r="D197"/>
    </row>
    <row r="198" spans="1:4" ht="12.75" x14ac:dyDescent="0.2">
      <c r="A198"/>
      <c r="B198" s="877" t="s">
        <v>1025</v>
      </c>
      <c r="C198" s="877" t="s">
        <v>1023</v>
      </c>
      <c r="D198"/>
    </row>
    <row r="199" spans="1:4" ht="12.75" x14ac:dyDescent="0.2">
      <c r="A199"/>
      <c r="B199" s="877" t="s">
        <v>733</v>
      </c>
      <c r="C199" s="877" t="s">
        <v>1023</v>
      </c>
      <c r="D199"/>
    </row>
    <row r="200" spans="1:4" ht="12.75" x14ac:dyDescent="0.2">
      <c r="A200"/>
      <c r="B200" s="877" t="s">
        <v>734</v>
      </c>
      <c r="C200" s="877" t="s">
        <v>1023</v>
      </c>
      <c r="D200"/>
    </row>
    <row r="201" spans="1:4" ht="12.75" x14ac:dyDescent="0.2">
      <c r="A201"/>
      <c r="B201" s="877" t="s">
        <v>735</v>
      </c>
      <c r="C201" s="877" t="s">
        <v>1023</v>
      </c>
      <c r="D201"/>
    </row>
    <row r="202" spans="1:4" ht="12.75" x14ac:dyDescent="0.2">
      <c r="A202"/>
      <c r="B202" s="877" t="s">
        <v>2267</v>
      </c>
      <c r="C202" s="877" t="s">
        <v>1023</v>
      </c>
      <c r="D202"/>
    </row>
    <row r="203" spans="1:4" ht="12.75" x14ac:dyDescent="0.2">
      <c r="A203"/>
      <c r="B203" s="877" t="s">
        <v>1026</v>
      </c>
      <c r="C203" s="877" t="s">
        <v>1023</v>
      </c>
      <c r="D203"/>
    </row>
    <row r="204" spans="1:4" ht="12.75" x14ac:dyDescent="0.2">
      <c r="A204"/>
      <c r="B204" s="877" t="s">
        <v>1681</v>
      </c>
      <c r="C204" s="877" t="s">
        <v>1050</v>
      </c>
      <c r="D204"/>
    </row>
    <row r="205" spans="1:4" ht="12.75" x14ac:dyDescent="0.2">
      <c r="A205"/>
      <c r="B205" s="877" t="s">
        <v>226</v>
      </c>
      <c r="C205" s="877" t="s">
        <v>1050</v>
      </c>
      <c r="D205"/>
    </row>
    <row r="206" spans="1:4" ht="12.75" x14ac:dyDescent="0.2">
      <c r="A206"/>
      <c r="B206" s="877" t="s">
        <v>227</v>
      </c>
      <c r="C206" s="877" t="s">
        <v>1050</v>
      </c>
      <c r="D206"/>
    </row>
    <row r="207" spans="1:4" ht="12.75" x14ac:dyDescent="0.2">
      <c r="A207"/>
      <c r="B207" s="877" t="s">
        <v>1672</v>
      </c>
      <c r="C207" s="877" t="s">
        <v>1050</v>
      </c>
      <c r="D207"/>
    </row>
    <row r="208" spans="1:4" ht="12.75" x14ac:dyDescent="0.2">
      <c r="A208"/>
      <c r="B208" s="877" t="s">
        <v>736</v>
      </c>
      <c r="C208" s="877" t="s">
        <v>1050</v>
      </c>
      <c r="D208"/>
    </row>
    <row r="209" spans="1:4" ht="12.75" x14ac:dyDescent="0.2">
      <c r="A209"/>
      <c r="B209" s="877" t="s">
        <v>737</v>
      </c>
      <c r="C209" s="877" t="s">
        <v>1050</v>
      </c>
      <c r="D209"/>
    </row>
    <row r="210" spans="1:4" ht="12.75" x14ac:dyDescent="0.2">
      <c r="A210"/>
      <c r="B210" s="877" t="s">
        <v>738</v>
      </c>
      <c r="C210" s="877" t="s">
        <v>1050</v>
      </c>
      <c r="D210"/>
    </row>
    <row r="211" spans="1:4" ht="12.75" x14ac:dyDescent="0.2">
      <c r="A211"/>
      <c r="B211" s="877" t="s">
        <v>739</v>
      </c>
      <c r="C211" s="877" t="s">
        <v>1050</v>
      </c>
      <c r="D211"/>
    </row>
    <row r="212" spans="1:4" ht="12.75" x14ac:dyDescent="0.2">
      <c r="A212"/>
      <c r="B212" s="877" t="s">
        <v>740</v>
      </c>
      <c r="C212" s="877" t="s">
        <v>1050</v>
      </c>
      <c r="D212"/>
    </row>
    <row r="213" spans="1:4" ht="12.75" x14ac:dyDescent="0.2">
      <c r="A213"/>
      <c r="B213" s="877" t="s">
        <v>741</v>
      </c>
      <c r="C213" s="877" t="s">
        <v>1050</v>
      </c>
      <c r="D213"/>
    </row>
    <row r="214" spans="1:4" ht="12.75" x14ac:dyDescent="0.2">
      <c r="A214"/>
      <c r="B214" s="877" t="s">
        <v>1049</v>
      </c>
      <c r="C214" s="877" t="s">
        <v>1050</v>
      </c>
      <c r="D214"/>
    </row>
    <row r="215" spans="1:4" ht="12.75" x14ac:dyDescent="0.2">
      <c r="A215"/>
      <c r="B215" s="877" t="s">
        <v>1121</v>
      </c>
      <c r="C215" s="877" t="s">
        <v>1050</v>
      </c>
      <c r="D215"/>
    </row>
    <row r="216" spans="1:4" ht="12.75" x14ac:dyDescent="0.2">
      <c r="A216"/>
      <c r="B216" s="877" t="s">
        <v>1122</v>
      </c>
      <c r="C216" s="877" t="s">
        <v>1050</v>
      </c>
      <c r="D216"/>
    </row>
    <row r="217" spans="1:4" ht="12.75" x14ac:dyDescent="0.2">
      <c r="A217"/>
      <c r="B217" s="877" t="s">
        <v>1123</v>
      </c>
      <c r="C217" s="877" t="s">
        <v>1050</v>
      </c>
      <c r="D217"/>
    </row>
    <row r="218" spans="1:4" ht="12.75" x14ac:dyDescent="0.2">
      <c r="A218"/>
      <c r="B218" s="877" t="s">
        <v>1124</v>
      </c>
      <c r="C218" s="877" t="s">
        <v>1050</v>
      </c>
      <c r="D218"/>
    </row>
    <row r="219" spans="1:4" ht="12.75" x14ac:dyDescent="0.2">
      <c r="A219"/>
      <c r="B219" s="877" t="s">
        <v>1125</v>
      </c>
      <c r="C219" s="877" t="s">
        <v>1050</v>
      </c>
      <c r="D219"/>
    </row>
    <row r="220" spans="1:4" ht="12.75" x14ac:dyDescent="0.2">
      <c r="A220"/>
      <c r="B220" s="877" t="s">
        <v>1126</v>
      </c>
      <c r="C220" s="877" t="s">
        <v>1050</v>
      </c>
      <c r="D220"/>
    </row>
    <row r="221" spans="1:4" ht="12.75" x14ac:dyDescent="0.2">
      <c r="A221"/>
      <c r="B221" s="877" t="s">
        <v>216</v>
      </c>
      <c r="C221" s="877" t="s">
        <v>1050</v>
      </c>
      <c r="D221"/>
    </row>
    <row r="222" spans="1:4" ht="12.75" x14ac:dyDescent="0.2">
      <c r="A222"/>
      <c r="B222" s="877" t="s">
        <v>217</v>
      </c>
      <c r="C222" s="877" t="s">
        <v>1050</v>
      </c>
      <c r="D222"/>
    </row>
    <row r="223" spans="1:4" ht="12.75" x14ac:dyDescent="0.2">
      <c r="A223"/>
      <c r="B223" s="877" t="s">
        <v>1734</v>
      </c>
      <c r="C223" s="877" t="s">
        <v>1050</v>
      </c>
      <c r="D223"/>
    </row>
    <row r="224" spans="1:4" ht="12.75" x14ac:dyDescent="0.2">
      <c r="A224"/>
      <c r="B224" s="877" t="s">
        <v>218</v>
      </c>
      <c r="C224" s="877" t="s">
        <v>1050</v>
      </c>
      <c r="D224"/>
    </row>
    <row r="225" spans="1:4" ht="12.75" x14ac:dyDescent="0.2">
      <c r="A225"/>
      <c r="B225" s="877" t="s">
        <v>219</v>
      </c>
      <c r="C225" s="877" t="s">
        <v>1050</v>
      </c>
      <c r="D225"/>
    </row>
    <row r="226" spans="1:4" ht="12.75" x14ac:dyDescent="0.2">
      <c r="A226"/>
      <c r="B226" s="877" t="s">
        <v>220</v>
      </c>
      <c r="C226" s="877" t="s">
        <v>1050</v>
      </c>
      <c r="D226"/>
    </row>
    <row r="227" spans="1:4" ht="12.75" x14ac:dyDescent="0.2">
      <c r="A227"/>
      <c r="B227" s="877" t="s">
        <v>221</v>
      </c>
      <c r="C227" s="877" t="s">
        <v>1050</v>
      </c>
      <c r="D227"/>
    </row>
    <row r="228" spans="1:4" ht="12.75" x14ac:dyDescent="0.2">
      <c r="A228"/>
      <c r="B228" s="877" t="s">
        <v>2268</v>
      </c>
      <c r="C228" s="877" t="s">
        <v>1050</v>
      </c>
      <c r="D228"/>
    </row>
    <row r="229" spans="1:4" ht="12.75" x14ac:dyDescent="0.2">
      <c r="A229"/>
      <c r="B229" s="877" t="s">
        <v>2269</v>
      </c>
      <c r="C229" s="877" t="s">
        <v>1050</v>
      </c>
      <c r="D229"/>
    </row>
    <row r="230" spans="1:4" ht="12.75" x14ac:dyDescent="0.2">
      <c r="A230"/>
      <c r="B230" s="877" t="s">
        <v>222</v>
      </c>
      <c r="C230" s="877" t="s">
        <v>1050</v>
      </c>
      <c r="D230"/>
    </row>
    <row r="231" spans="1:4" ht="12.75" x14ac:dyDescent="0.2">
      <c r="A231"/>
      <c r="B231" s="877" t="s">
        <v>223</v>
      </c>
      <c r="C231" s="877" t="s">
        <v>1050</v>
      </c>
      <c r="D231"/>
    </row>
    <row r="232" spans="1:4" ht="12.75" x14ac:dyDescent="0.2">
      <c r="A232"/>
      <c r="B232" s="877" t="s">
        <v>224</v>
      </c>
      <c r="C232" s="877" t="s">
        <v>1050</v>
      </c>
      <c r="D232"/>
    </row>
    <row r="233" spans="1:4" ht="12.75" x14ac:dyDescent="0.2">
      <c r="A233"/>
      <c r="B233" s="877" t="s">
        <v>225</v>
      </c>
      <c r="C233" s="877" t="s">
        <v>1050</v>
      </c>
      <c r="D233"/>
    </row>
    <row r="234" spans="1:4" ht="12.75" x14ac:dyDescent="0.2">
      <c r="A234"/>
      <c r="B234" s="877" t="s">
        <v>1051</v>
      </c>
      <c r="C234" s="877" t="s">
        <v>1050</v>
      </c>
      <c r="D234"/>
    </row>
    <row r="235" spans="1:4" ht="12.75" x14ac:dyDescent="0.2">
      <c r="A235"/>
      <c r="B235" s="877" t="s">
        <v>228</v>
      </c>
      <c r="C235" s="877" t="s">
        <v>1035</v>
      </c>
      <c r="D235"/>
    </row>
    <row r="236" spans="1:4" ht="12.75" x14ac:dyDescent="0.2">
      <c r="A236"/>
      <c r="B236" s="877" t="s">
        <v>229</v>
      </c>
      <c r="C236" s="877" t="s">
        <v>1035</v>
      </c>
      <c r="D236"/>
    </row>
    <row r="237" spans="1:4" ht="12.75" x14ac:dyDescent="0.2">
      <c r="A237"/>
      <c r="B237" s="877" t="s">
        <v>230</v>
      </c>
      <c r="C237" s="877" t="s">
        <v>1035</v>
      </c>
      <c r="D237"/>
    </row>
    <row r="238" spans="1:4" ht="12.75" x14ac:dyDescent="0.2">
      <c r="A238"/>
      <c r="B238" s="877" t="s">
        <v>231</v>
      </c>
      <c r="C238" s="877" t="s">
        <v>1035</v>
      </c>
      <c r="D238"/>
    </row>
    <row r="239" spans="1:4" ht="12.75" x14ac:dyDescent="0.2">
      <c r="A239"/>
      <c r="B239" s="877" t="s">
        <v>178</v>
      </c>
      <c r="C239" s="877" t="s">
        <v>1035</v>
      </c>
      <c r="D239"/>
    </row>
    <row r="240" spans="1:4" ht="12.75" x14ac:dyDescent="0.2">
      <c r="A240"/>
      <c r="B240" s="877" t="s">
        <v>1034</v>
      </c>
      <c r="C240" s="877" t="s">
        <v>1035</v>
      </c>
      <c r="D240"/>
    </row>
    <row r="241" spans="1:4" ht="12.75" x14ac:dyDescent="0.2">
      <c r="A241"/>
      <c r="B241" s="877" t="s">
        <v>179</v>
      </c>
      <c r="C241" s="877" t="s">
        <v>1035</v>
      </c>
      <c r="D241"/>
    </row>
    <row r="242" spans="1:4" ht="12.75" x14ac:dyDescent="0.2">
      <c r="A242"/>
      <c r="B242" s="877" t="s">
        <v>180</v>
      </c>
      <c r="C242" s="877" t="s">
        <v>1035</v>
      </c>
      <c r="D242"/>
    </row>
    <row r="243" spans="1:4" ht="12.75" x14ac:dyDescent="0.2">
      <c r="A243"/>
      <c r="B243" s="877" t="s">
        <v>181</v>
      </c>
      <c r="C243" s="877" t="s">
        <v>1035</v>
      </c>
      <c r="D243"/>
    </row>
    <row r="244" spans="1:4" ht="12.75" x14ac:dyDescent="0.2">
      <c r="A244"/>
      <c r="B244" s="877" t="s">
        <v>182</v>
      </c>
      <c r="C244" s="877" t="s">
        <v>1035</v>
      </c>
      <c r="D244"/>
    </row>
    <row r="245" spans="1:4" ht="12.75" x14ac:dyDescent="0.2">
      <c r="A245"/>
      <c r="B245" s="877" t="s">
        <v>183</v>
      </c>
      <c r="C245" s="877" t="s">
        <v>1035</v>
      </c>
      <c r="D245"/>
    </row>
    <row r="246" spans="1:4" ht="12.75" x14ac:dyDescent="0.2">
      <c r="A246"/>
      <c r="B246" s="877" t="s">
        <v>1036</v>
      </c>
      <c r="C246" s="877" t="s">
        <v>1035</v>
      </c>
      <c r="D246"/>
    </row>
    <row r="247" spans="1:4" ht="12.75" x14ac:dyDescent="0.2">
      <c r="A247"/>
      <c r="B247" s="877" t="s">
        <v>184</v>
      </c>
      <c r="C247" s="877" t="s">
        <v>1035</v>
      </c>
      <c r="D247"/>
    </row>
    <row r="248" spans="1:4" ht="12.75" x14ac:dyDescent="0.2">
      <c r="A248"/>
      <c r="B248" s="877" t="s">
        <v>185</v>
      </c>
      <c r="C248" s="877" t="s">
        <v>1035</v>
      </c>
      <c r="D248"/>
    </row>
    <row r="249" spans="1:4" ht="12.75" x14ac:dyDescent="0.2">
      <c r="A249"/>
      <c r="B249" s="877" t="s">
        <v>186</v>
      </c>
      <c r="C249" s="877" t="s">
        <v>1035</v>
      </c>
      <c r="D249"/>
    </row>
    <row r="250" spans="1:4" ht="12.75" x14ac:dyDescent="0.2">
      <c r="A250"/>
      <c r="B250" s="877" t="s">
        <v>187</v>
      </c>
      <c r="C250" s="877" t="s">
        <v>1035</v>
      </c>
      <c r="D250"/>
    </row>
    <row r="251" spans="1:4" ht="12.75" x14ac:dyDescent="0.2">
      <c r="A251"/>
      <c r="B251" s="877" t="s">
        <v>2270</v>
      </c>
      <c r="C251" s="877" t="s">
        <v>1035</v>
      </c>
      <c r="D251"/>
    </row>
    <row r="252" spans="1:4" ht="12.75" x14ac:dyDescent="0.2">
      <c r="A252"/>
      <c r="B252" s="877" t="s">
        <v>1552</v>
      </c>
      <c r="C252" s="877" t="s">
        <v>1035</v>
      </c>
      <c r="D252"/>
    </row>
    <row r="253" spans="1:4" ht="12.75" x14ac:dyDescent="0.2">
      <c r="A253"/>
      <c r="B253" s="877" t="s">
        <v>74</v>
      </c>
      <c r="C253" s="877" t="s">
        <v>1035</v>
      </c>
      <c r="D253"/>
    </row>
    <row r="254" spans="1:4" ht="12.75" x14ac:dyDescent="0.2">
      <c r="A254"/>
      <c r="B254" s="877" t="s">
        <v>188</v>
      </c>
      <c r="C254" s="877" t="s">
        <v>1035</v>
      </c>
      <c r="D254"/>
    </row>
    <row r="255" spans="1:4" ht="12.75" x14ac:dyDescent="0.2">
      <c r="A255"/>
      <c r="B255" s="877" t="s">
        <v>2564</v>
      </c>
      <c r="C255" s="877" t="s">
        <v>1035</v>
      </c>
      <c r="D255"/>
    </row>
    <row r="256" spans="1:4" ht="12.75" x14ac:dyDescent="0.2">
      <c r="A256"/>
      <c r="B256" s="877" t="s">
        <v>1553</v>
      </c>
      <c r="C256" s="877" t="s">
        <v>1035</v>
      </c>
      <c r="D256"/>
    </row>
    <row r="257" spans="1:4" ht="12.75" x14ac:dyDescent="0.2">
      <c r="A257"/>
      <c r="B257" s="877" t="s">
        <v>2014</v>
      </c>
      <c r="C257" s="877" t="s">
        <v>908</v>
      </c>
      <c r="D257"/>
    </row>
    <row r="258" spans="1:4" ht="12.75" x14ac:dyDescent="0.2">
      <c r="A258"/>
      <c r="B258" s="877" t="s">
        <v>189</v>
      </c>
      <c r="C258" s="877" t="s">
        <v>908</v>
      </c>
      <c r="D258"/>
    </row>
    <row r="259" spans="1:4" ht="12.75" x14ac:dyDescent="0.2">
      <c r="A259"/>
      <c r="B259" s="877" t="s">
        <v>190</v>
      </c>
      <c r="C259" s="877" t="s">
        <v>908</v>
      </c>
      <c r="D259"/>
    </row>
    <row r="260" spans="1:4" ht="12.75" x14ac:dyDescent="0.2">
      <c r="A260"/>
      <c r="B260" s="877" t="s">
        <v>191</v>
      </c>
      <c r="C260" s="877" t="s">
        <v>908</v>
      </c>
      <c r="D260"/>
    </row>
    <row r="261" spans="1:4" ht="12.75" x14ac:dyDescent="0.2">
      <c r="A261"/>
      <c r="B261" s="877" t="s">
        <v>192</v>
      </c>
      <c r="C261" s="877" t="s">
        <v>908</v>
      </c>
      <c r="D261"/>
    </row>
    <row r="262" spans="1:4" ht="12.75" x14ac:dyDescent="0.2">
      <c r="A262"/>
      <c r="B262" s="877" t="s">
        <v>193</v>
      </c>
      <c r="C262" s="877" t="s">
        <v>908</v>
      </c>
      <c r="D262"/>
    </row>
    <row r="263" spans="1:4" ht="12.75" x14ac:dyDescent="0.2">
      <c r="A263"/>
      <c r="B263" s="877" t="s">
        <v>907</v>
      </c>
      <c r="C263" s="877" t="s">
        <v>908</v>
      </c>
      <c r="D263"/>
    </row>
    <row r="264" spans="1:4" ht="12.75" x14ac:dyDescent="0.2">
      <c r="A264"/>
      <c r="B264" s="877" t="s">
        <v>194</v>
      </c>
      <c r="C264" s="877" t="s">
        <v>908</v>
      </c>
      <c r="D264"/>
    </row>
    <row r="265" spans="1:4" ht="12.75" x14ac:dyDescent="0.2">
      <c r="A265"/>
      <c r="B265" s="877" t="s">
        <v>195</v>
      </c>
      <c r="C265" s="877" t="s">
        <v>908</v>
      </c>
      <c r="D265"/>
    </row>
    <row r="266" spans="1:4" ht="12.75" x14ac:dyDescent="0.2">
      <c r="A266"/>
      <c r="B266" s="877" t="s">
        <v>196</v>
      </c>
      <c r="C266" s="877" t="s">
        <v>908</v>
      </c>
      <c r="D266"/>
    </row>
    <row r="267" spans="1:4" ht="12.75" x14ac:dyDescent="0.2">
      <c r="A267"/>
      <c r="B267" s="877" t="s">
        <v>197</v>
      </c>
      <c r="C267" s="877" t="s">
        <v>908</v>
      </c>
      <c r="D267"/>
    </row>
    <row r="268" spans="1:4" ht="12.75" x14ac:dyDescent="0.2">
      <c r="A268"/>
      <c r="B268" s="877" t="s">
        <v>1682</v>
      </c>
      <c r="C268" s="877" t="s">
        <v>908</v>
      </c>
      <c r="D268"/>
    </row>
    <row r="269" spans="1:4" ht="12.75" x14ac:dyDescent="0.2">
      <c r="A269"/>
      <c r="B269" s="877" t="s">
        <v>1732</v>
      </c>
      <c r="C269" s="877" t="s">
        <v>908</v>
      </c>
      <c r="D269"/>
    </row>
    <row r="270" spans="1:4" ht="12.75" x14ac:dyDescent="0.2">
      <c r="A270"/>
      <c r="B270" s="877" t="s">
        <v>198</v>
      </c>
      <c r="C270" s="877" t="s">
        <v>908</v>
      </c>
      <c r="D270"/>
    </row>
    <row r="271" spans="1:4" ht="12.75" x14ac:dyDescent="0.2">
      <c r="A271"/>
      <c r="B271" s="877" t="s">
        <v>199</v>
      </c>
      <c r="C271" s="877" t="s">
        <v>908</v>
      </c>
      <c r="D271"/>
    </row>
    <row r="272" spans="1:4" ht="12.75" x14ac:dyDescent="0.2">
      <c r="A272"/>
      <c r="B272" s="877" t="s">
        <v>200</v>
      </c>
      <c r="C272" s="877" t="s">
        <v>908</v>
      </c>
      <c r="D272"/>
    </row>
    <row r="273" spans="1:4" ht="12.75" x14ac:dyDescent="0.2">
      <c r="A273"/>
      <c r="B273" s="877" t="s">
        <v>201</v>
      </c>
      <c r="C273" s="877" t="s">
        <v>908</v>
      </c>
      <c r="D273"/>
    </row>
    <row r="274" spans="1:4" ht="12.75" x14ac:dyDescent="0.2">
      <c r="A274"/>
      <c r="B274" s="877" t="s">
        <v>1021</v>
      </c>
      <c r="C274" s="877" t="s">
        <v>908</v>
      </c>
      <c r="D274"/>
    </row>
    <row r="275" spans="1:4" ht="12.75" x14ac:dyDescent="0.2">
      <c r="A275"/>
      <c r="B275" s="877" t="s">
        <v>202</v>
      </c>
      <c r="C275" s="877" t="s">
        <v>908</v>
      </c>
      <c r="D275"/>
    </row>
    <row r="276" spans="1:4" ht="12.75" x14ac:dyDescent="0.2">
      <c r="A276"/>
      <c r="B276" s="877" t="s">
        <v>203</v>
      </c>
      <c r="C276" s="877" t="s">
        <v>908</v>
      </c>
      <c r="D276"/>
    </row>
    <row r="277" spans="1:4" ht="12.75" x14ac:dyDescent="0.2">
      <c r="A277"/>
      <c r="B277" s="877" t="s">
        <v>204</v>
      </c>
      <c r="C277" s="877" t="s">
        <v>908</v>
      </c>
      <c r="D277"/>
    </row>
    <row r="278" spans="1:4" ht="12.75" x14ac:dyDescent="0.2">
      <c r="A278"/>
      <c r="B278" s="877" t="s">
        <v>205</v>
      </c>
      <c r="C278" s="877" t="s">
        <v>908</v>
      </c>
      <c r="D278"/>
    </row>
    <row r="279" spans="1:4" ht="12.75" x14ac:dyDescent="0.2">
      <c r="A279"/>
      <c r="B279" s="877" t="s">
        <v>206</v>
      </c>
      <c r="C279" s="877" t="s">
        <v>908</v>
      </c>
      <c r="D279"/>
    </row>
    <row r="280" spans="1:4" ht="12.75" x14ac:dyDescent="0.2">
      <c r="A280"/>
      <c r="B280" s="877" t="s">
        <v>207</v>
      </c>
      <c r="C280" s="877" t="s">
        <v>908</v>
      </c>
      <c r="D280"/>
    </row>
    <row r="281" spans="1:4" ht="12.75" x14ac:dyDescent="0.2">
      <c r="A281"/>
      <c r="B281" s="877" t="s">
        <v>208</v>
      </c>
      <c r="C281" s="877" t="s">
        <v>908</v>
      </c>
      <c r="D281"/>
    </row>
    <row r="282" spans="1:4" ht="12.75" x14ac:dyDescent="0.2">
      <c r="A282"/>
      <c r="B282" s="832" t="s">
        <v>2569</v>
      </c>
      <c r="C282" s="877" t="s">
        <v>908</v>
      </c>
      <c r="D282"/>
    </row>
    <row r="283" spans="1:4" ht="12.75" x14ac:dyDescent="0.2">
      <c r="A283"/>
      <c r="B283" s="877" t="s">
        <v>209</v>
      </c>
      <c r="C283" s="877" t="s">
        <v>908</v>
      </c>
      <c r="D283"/>
    </row>
    <row r="284" spans="1:4" ht="12.75" x14ac:dyDescent="0.2">
      <c r="A284"/>
      <c r="B284" s="877" t="s">
        <v>210</v>
      </c>
      <c r="C284" s="877" t="s">
        <v>908</v>
      </c>
      <c r="D284"/>
    </row>
    <row r="285" spans="1:4" ht="12.75" x14ac:dyDescent="0.2">
      <c r="A285"/>
      <c r="B285" s="877" t="s">
        <v>211</v>
      </c>
      <c r="C285" s="877" t="s">
        <v>908</v>
      </c>
      <c r="D285"/>
    </row>
    <row r="286" spans="1:4" ht="12.75" x14ac:dyDescent="0.2">
      <c r="A286"/>
      <c r="B286" s="877" t="s">
        <v>1048</v>
      </c>
      <c r="C286" s="877" t="s">
        <v>908</v>
      </c>
      <c r="D286"/>
    </row>
    <row r="287" spans="1:4" ht="12.75" x14ac:dyDescent="0.2">
      <c r="A287"/>
      <c r="B287" s="877"/>
      <c r="C287" s="877"/>
      <c r="D287"/>
    </row>
    <row r="288" spans="1:4" ht="12.75" x14ac:dyDescent="0.2">
      <c r="A288"/>
      <c r="B288" s="877"/>
      <c r="D288"/>
    </row>
    <row r="289" spans="1:4" ht="12.75" x14ac:dyDescent="0.2">
      <c r="A289"/>
      <c r="B289" s="877"/>
      <c r="D289"/>
    </row>
    <row r="290" spans="1:4" ht="12.75" x14ac:dyDescent="0.2">
      <c r="A290"/>
      <c r="B290" s="877"/>
      <c r="D290"/>
    </row>
    <row r="291" spans="1:4" ht="12.75" x14ac:dyDescent="0.2">
      <c r="A291"/>
      <c r="B291" s="877"/>
      <c r="D291"/>
    </row>
    <row r="292" spans="1:4" ht="12.75" x14ac:dyDescent="0.2">
      <c r="A292"/>
      <c r="B292" s="877"/>
      <c r="D292"/>
    </row>
    <row r="293" spans="1:4" ht="12.75" x14ac:dyDescent="0.2">
      <c r="A293"/>
      <c r="B293" s="877"/>
      <c r="D293"/>
    </row>
    <row r="294" spans="1:4" ht="12.75" x14ac:dyDescent="0.2">
      <c r="A294"/>
      <c r="B294" s="877"/>
      <c r="D294"/>
    </row>
    <row r="295" spans="1:4" ht="12.75" x14ac:dyDescent="0.2">
      <c r="A295"/>
      <c r="B295" s="877"/>
      <c r="D295"/>
    </row>
    <row r="296" spans="1:4" ht="12.75" x14ac:dyDescent="0.2">
      <c r="A296"/>
      <c r="B296" s="877"/>
      <c r="D296"/>
    </row>
    <row r="297" spans="1:4" ht="12.75" x14ac:dyDescent="0.2">
      <c r="A297"/>
      <c r="B297" s="877"/>
      <c r="D297"/>
    </row>
    <row r="298" spans="1:4" ht="12.75" x14ac:dyDescent="0.2">
      <c r="A298"/>
      <c r="B298" s="877"/>
      <c r="D298"/>
    </row>
    <row r="299" spans="1:4" ht="12.75" x14ac:dyDescent="0.2">
      <c r="A299"/>
      <c r="B299" s="877"/>
      <c r="D299"/>
    </row>
    <row r="300" spans="1:4" ht="12.75" x14ac:dyDescent="0.2">
      <c r="A300"/>
      <c r="B300" s="877"/>
      <c r="D300"/>
    </row>
    <row r="301" spans="1:4" ht="12.75" x14ac:dyDescent="0.2">
      <c r="A301"/>
      <c r="B301" s="877"/>
      <c r="D301"/>
    </row>
    <row r="302" spans="1:4" ht="12.75" x14ac:dyDescent="0.2">
      <c r="A302"/>
      <c r="B302" s="877"/>
      <c r="D302"/>
    </row>
    <row r="303" spans="1:4" ht="12.75" x14ac:dyDescent="0.2">
      <c r="A303"/>
      <c r="B303" s="877"/>
      <c r="D303"/>
    </row>
    <row r="304" spans="1:4" ht="12.75" x14ac:dyDescent="0.2">
      <c r="A304"/>
      <c r="B304" s="877"/>
      <c r="D304"/>
    </row>
    <row r="305" spans="1:4" ht="12.75" x14ac:dyDescent="0.2">
      <c r="A305"/>
      <c r="B305" s="877"/>
      <c r="D305"/>
    </row>
    <row r="306" spans="1:4" ht="12.75" x14ac:dyDescent="0.2">
      <c r="A306"/>
      <c r="B306" s="877"/>
      <c r="D306"/>
    </row>
    <row r="307" spans="1:4" ht="12.75" x14ac:dyDescent="0.2">
      <c r="A307"/>
      <c r="B307" s="877"/>
      <c r="D307"/>
    </row>
    <row r="308" spans="1:4" x14ac:dyDescent="0.2">
      <c r="B308" s="2">
        <f>COUNTA(B30:B307)</f>
        <v>257</v>
      </c>
    </row>
  </sheetData>
  <phoneticPr fontId="3" type="noConversion"/>
  <pageMargins left="0.75" right="0.75" top="1" bottom="1" header="0.5" footer="0.5"/>
  <pageSetup paperSize="9" orientation="portrait"/>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pageSetUpPr fitToPage="1"/>
  </sheetPr>
  <dimension ref="A1:K80"/>
  <sheetViews>
    <sheetView showGridLines="0" zoomScaleNormal="100" workbookViewId="0">
      <pane xSplit="2" ySplit="3" topLeftCell="C4" activePane="bottomRight" state="frozen"/>
      <selection pane="topRight"/>
      <selection pane="bottomLeft"/>
      <selection pane="bottomRight"/>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customHeight="1" x14ac:dyDescent="0.25">
      <c r="A1" s="23" t="str">
        <f>muni&amp;" - "&amp; TableA19</f>
        <v>EC101 Dr Beyers Naude - Supporting Table SA19 Expenditure on transfers and grant programme</v>
      </c>
      <c r="B1" s="23"/>
      <c r="C1" s="23"/>
      <c r="D1" s="23"/>
      <c r="E1" s="23"/>
      <c r="F1" s="23"/>
      <c r="G1" s="23"/>
      <c r="H1" s="23"/>
      <c r="I1" s="23"/>
      <c r="J1" s="23"/>
      <c r="K1" s="23"/>
    </row>
    <row r="2" spans="1:11" ht="28.5" customHeight="1" x14ac:dyDescent="0.25">
      <c r="A2" s="614" t="str">
        <f>desc</f>
        <v>Description</v>
      </c>
      <c r="B2" s="220" t="str">
        <f>head27</f>
        <v>Ref</v>
      </c>
      <c r="C2" s="26" t="str">
        <f>head1b</f>
        <v>2015/16</v>
      </c>
      <c r="D2" s="475"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53" t="s">
        <v>573</v>
      </c>
      <c r="B3" s="619"/>
      <c r="C3" s="203" t="str">
        <f>Head5</f>
        <v>Audited Outcome</v>
      </c>
      <c r="D3" s="627"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1.25" customHeight="1" x14ac:dyDescent="0.25">
      <c r="A4" s="118" t="s">
        <v>260</v>
      </c>
      <c r="B4" s="136">
        <v>1</v>
      </c>
      <c r="C4" s="476"/>
      <c r="D4" s="476"/>
      <c r="E4" s="477"/>
      <c r="F4" s="478"/>
      <c r="G4" s="476"/>
      <c r="H4" s="479"/>
      <c r="I4" s="480"/>
      <c r="J4" s="476"/>
      <c r="K4" s="477"/>
    </row>
    <row r="5" spans="1:11" ht="4.9000000000000004" customHeight="1" x14ac:dyDescent="0.25">
      <c r="A5" s="54"/>
      <c r="B5" s="55"/>
      <c r="C5" s="86"/>
      <c r="D5" s="86"/>
      <c r="E5" s="87"/>
      <c r="F5" s="88"/>
      <c r="G5" s="86"/>
      <c r="H5" s="85"/>
      <c r="I5" s="89"/>
      <c r="J5" s="86"/>
      <c r="K5" s="87"/>
    </row>
    <row r="6" spans="1:11" ht="11.25" customHeight="1" x14ac:dyDescent="0.25">
      <c r="A6" s="54" t="s">
        <v>306</v>
      </c>
      <c r="B6" s="55"/>
      <c r="C6" s="86"/>
      <c r="D6" s="86"/>
      <c r="E6" s="87"/>
      <c r="F6" s="88"/>
      <c r="G6" s="86"/>
      <c r="H6" s="85"/>
      <c r="I6" s="89"/>
      <c r="J6" s="86"/>
      <c r="K6" s="87"/>
    </row>
    <row r="7" spans="1:11" ht="18" customHeight="1" x14ac:dyDescent="0.25">
      <c r="A7" s="189" t="str">
        <f>'SA18'!A7</f>
        <v>National Government:</v>
      </c>
      <c r="B7" s="55"/>
      <c r="C7" s="86">
        <f>SUM(C8:C14)</f>
        <v>0</v>
      </c>
      <c r="D7" s="86">
        <f t="shared" ref="D7:K7" si="0">SUM(D8:D14)</f>
        <v>0</v>
      </c>
      <c r="E7" s="87">
        <f t="shared" si="0"/>
        <v>0</v>
      </c>
      <c r="F7" s="88">
        <f t="shared" si="0"/>
        <v>0</v>
      </c>
      <c r="G7" s="86">
        <f t="shared" si="0"/>
        <v>0</v>
      </c>
      <c r="H7" s="85">
        <f t="shared" si="0"/>
        <v>0</v>
      </c>
      <c r="I7" s="89">
        <f t="shared" si="0"/>
        <v>0</v>
      </c>
      <c r="J7" s="86">
        <f t="shared" si="0"/>
        <v>0</v>
      </c>
      <c r="K7" s="87">
        <f t="shared" si="0"/>
        <v>0</v>
      </c>
    </row>
    <row r="8" spans="1:11" ht="11.25" customHeight="1" x14ac:dyDescent="0.25">
      <c r="A8" s="187" t="str">
        <f>IF('SA18'!A8="","",'SA18'!A8)</f>
        <v>Local Government Equitable Share</v>
      </c>
      <c r="B8" s="55"/>
      <c r="C8" s="1321"/>
      <c r="D8" s="1321"/>
      <c r="E8" s="1602"/>
      <c r="F8" s="1630"/>
      <c r="G8" s="1321"/>
      <c r="H8" s="1631"/>
      <c r="I8" s="1632"/>
      <c r="J8" s="1321"/>
      <c r="K8" s="1602"/>
    </row>
    <row r="9" spans="1:11" ht="11.25" customHeight="1" x14ac:dyDescent="0.25">
      <c r="A9" s="187" t="str">
        <f>IF('SA18'!A9="","",'SA18'!A9)</f>
        <v xml:space="preserve">Finance Management </v>
      </c>
      <c r="B9" s="55"/>
      <c r="C9" s="1316"/>
      <c r="D9" s="1316"/>
      <c r="E9" s="1325"/>
      <c r="F9" s="1326"/>
      <c r="G9" s="1316"/>
      <c r="H9" s="1327"/>
      <c r="I9" s="1318"/>
      <c r="J9" s="1316"/>
      <c r="K9" s="1325"/>
    </row>
    <row r="10" spans="1:11" ht="11.25" customHeight="1" x14ac:dyDescent="0.25">
      <c r="A10" s="187" t="str">
        <f>IF('SA18'!A10="","",'SA18'!A10)</f>
        <v>EPWP Incentive</v>
      </c>
      <c r="B10" s="55"/>
      <c r="C10" s="1316"/>
      <c r="D10" s="1316"/>
      <c r="E10" s="1325"/>
      <c r="F10" s="1326"/>
      <c r="G10" s="1316"/>
      <c r="H10" s="1327"/>
      <c r="I10" s="1318"/>
      <c r="J10" s="1316"/>
      <c r="K10" s="1325"/>
    </row>
    <row r="11" spans="1:11" ht="11.25" customHeight="1" x14ac:dyDescent="0.25">
      <c r="A11" s="187" t="str">
        <f>IF('SA18'!A11="","",'SA18'!A11)</f>
        <v>Municipal Systems Improvement</v>
      </c>
      <c r="B11" s="55"/>
      <c r="C11" s="1316"/>
      <c r="D11" s="1316"/>
      <c r="E11" s="1325"/>
      <c r="F11" s="1326"/>
      <c r="G11" s="1316"/>
      <c r="H11" s="1327"/>
      <c r="I11" s="1318"/>
      <c r="J11" s="1316"/>
      <c r="K11" s="1325"/>
    </row>
    <row r="12" spans="1:11" ht="11.25" customHeight="1" x14ac:dyDescent="0.25">
      <c r="A12" s="187" t="str">
        <f>IF('SA18'!A12="","",'SA18'!A12)</f>
        <v/>
      </c>
      <c r="B12" s="55"/>
      <c r="C12" s="1316"/>
      <c r="D12" s="1316"/>
      <c r="E12" s="1325"/>
      <c r="F12" s="1326"/>
      <c r="G12" s="1316"/>
      <c r="H12" s="1327"/>
      <c r="I12" s="1318"/>
      <c r="J12" s="1316"/>
      <c r="K12" s="1325"/>
    </row>
    <row r="13" spans="1:11" ht="11.25" customHeight="1" x14ac:dyDescent="0.25">
      <c r="A13" s="187" t="str">
        <f>IF('SA18'!A13="","",'SA18'!A13)</f>
        <v/>
      </c>
      <c r="B13" s="55"/>
      <c r="C13" s="1316"/>
      <c r="D13" s="1316"/>
      <c r="E13" s="1325"/>
      <c r="F13" s="1326"/>
      <c r="G13" s="1316"/>
      <c r="H13" s="1327"/>
      <c r="I13" s="1318"/>
      <c r="J13" s="1316"/>
      <c r="K13" s="1325"/>
    </row>
    <row r="14" spans="1:11" ht="11.25" customHeight="1" x14ac:dyDescent="0.25">
      <c r="A14" s="1770" t="str">
        <f>'SA18'!A14</f>
        <v xml:space="preserve">  Other transfers/grants [insert description]</v>
      </c>
      <c r="B14" s="55"/>
      <c r="C14" s="1346"/>
      <c r="D14" s="1346"/>
      <c r="E14" s="1349"/>
      <c r="F14" s="1633"/>
      <c r="G14" s="1346"/>
      <c r="H14" s="1634"/>
      <c r="I14" s="1348"/>
      <c r="J14" s="1346"/>
      <c r="K14" s="1349"/>
    </row>
    <row r="15" spans="1:11" ht="18" customHeight="1" x14ac:dyDescent="0.25">
      <c r="A15" s="189" t="str">
        <f>'SA18'!A15</f>
        <v>Provincial Government:</v>
      </c>
      <c r="B15" s="55"/>
      <c r="C15" s="86">
        <f>SUM(C16:C20)</f>
        <v>0</v>
      </c>
      <c r="D15" s="86">
        <f t="shared" ref="D15:K15" si="1">SUM(D16:D20)</f>
        <v>0</v>
      </c>
      <c r="E15" s="87">
        <f t="shared" si="1"/>
        <v>0</v>
      </c>
      <c r="F15" s="88">
        <f t="shared" si="1"/>
        <v>0</v>
      </c>
      <c r="G15" s="86">
        <f t="shared" si="1"/>
        <v>0</v>
      </c>
      <c r="H15" s="85">
        <f t="shared" si="1"/>
        <v>0</v>
      </c>
      <c r="I15" s="89">
        <f t="shared" si="1"/>
        <v>0</v>
      </c>
      <c r="J15" s="86">
        <f t="shared" si="1"/>
        <v>0</v>
      </c>
      <c r="K15" s="87">
        <f t="shared" si="1"/>
        <v>0</v>
      </c>
    </row>
    <row r="16" spans="1:11" ht="11.25" customHeight="1" x14ac:dyDescent="0.25">
      <c r="A16" s="187" t="str">
        <f>IF('SA18'!A16="","",'SA18'!A16)</f>
        <v>Library grant</v>
      </c>
      <c r="B16" s="55"/>
      <c r="C16" s="1321"/>
      <c r="D16" s="1321"/>
      <c r="E16" s="1602"/>
      <c r="F16" s="1630"/>
      <c r="G16" s="1321"/>
      <c r="H16" s="1631"/>
      <c r="I16" s="1632"/>
      <c r="J16" s="1321"/>
      <c r="K16" s="1602"/>
    </row>
    <row r="17" spans="1:11" ht="11.25" customHeight="1" x14ac:dyDescent="0.25">
      <c r="A17" s="187" t="str">
        <f>IF('SA18'!A17="","",'SA18'!A17)</f>
        <v>Housing</v>
      </c>
      <c r="B17" s="55"/>
      <c r="C17" s="1316"/>
      <c r="D17" s="1316"/>
      <c r="E17" s="1325"/>
      <c r="F17" s="1326"/>
      <c r="G17" s="1316"/>
      <c r="H17" s="1327"/>
      <c r="I17" s="1318"/>
      <c r="J17" s="1316"/>
      <c r="K17" s="1325"/>
    </row>
    <row r="18" spans="1:11" ht="11.25" customHeight="1" x14ac:dyDescent="0.25">
      <c r="A18" s="187" t="str">
        <f>IF('SA18'!A18="","",'SA18'!A18)</f>
        <v>Dept of Public Service &amp; Administration</v>
      </c>
      <c r="B18" s="55"/>
      <c r="C18" s="1316"/>
      <c r="D18" s="1316"/>
      <c r="E18" s="1325"/>
      <c r="F18" s="1326"/>
      <c r="G18" s="1316"/>
      <c r="H18" s="1327"/>
      <c r="I18" s="1318"/>
      <c r="J18" s="1316"/>
      <c r="K18" s="1325"/>
    </row>
    <row r="19" spans="1:11" ht="11.25" customHeight="1" x14ac:dyDescent="0.25">
      <c r="A19" s="187" t="str">
        <f>IF('SA18'!A19="","",'SA18'!A19)</f>
        <v>Water conservation &amp; demand management</v>
      </c>
      <c r="B19" s="55"/>
      <c r="C19" s="1316"/>
      <c r="D19" s="1316"/>
      <c r="E19" s="1325"/>
      <c r="F19" s="1326"/>
      <c r="G19" s="1316"/>
      <c r="H19" s="1327"/>
      <c r="I19" s="1318"/>
      <c r="J19" s="1316"/>
      <c r="K19" s="1325"/>
    </row>
    <row r="20" spans="1:11" ht="11.25" customHeight="1" x14ac:dyDescent="0.25">
      <c r="A20" s="1770" t="str">
        <f>'SA18'!A20</f>
        <v xml:space="preserve">  Other transfers/grants [insert description]</v>
      </c>
      <c r="B20" s="55"/>
      <c r="C20" s="1346"/>
      <c r="D20" s="1346"/>
      <c r="E20" s="1349"/>
      <c r="F20" s="1633"/>
      <c r="G20" s="1346"/>
      <c r="H20" s="1634"/>
      <c r="I20" s="1348"/>
      <c r="J20" s="1346"/>
      <c r="K20" s="1349"/>
    </row>
    <row r="21" spans="1:11" ht="18" customHeight="1" x14ac:dyDescent="0.25">
      <c r="A21" s="189" t="str">
        <f>'SA18'!A21</f>
        <v>District Municipality:</v>
      </c>
      <c r="B21" s="55"/>
      <c r="C21" s="86">
        <f>SUM(C22:C23)</f>
        <v>0</v>
      </c>
      <c r="D21" s="86">
        <f t="shared" ref="D21:K21" si="2">SUM(D22:D23)</f>
        <v>0</v>
      </c>
      <c r="E21" s="87">
        <f t="shared" si="2"/>
        <v>0</v>
      </c>
      <c r="F21" s="88">
        <f t="shared" si="2"/>
        <v>0</v>
      </c>
      <c r="G21" s="86">
        <f t="shared" si="2"/>
        <v>0</v>
      </c>
      <c r="H21" s="85">
        <f t="shared" si="2"/>
        <v>0</v>
      </c>
      <c r="I21" s="89">
        <f t="shared" si="2"/>
        <v>0</v>
      </c>
      <c r="J21" s="86">
        <f t="shared" si="2"/>
        <v>0</v>
      </c>
      <c r="K21" s="87">
        <f t="shared" si="2"/>
        <v>0</v>
      </c>
    </row>
    <row r="22" spans="1:11" ht="11.25" customHeight="1" x14ac:dyDescent="0.25">
      <c r="A22" s="1771" t="str">
        <f>'SA18'!A22</f>
        <v>Fire grant</v>
      </c>
      <c r="B22" s="55"/>
      <c r="C22" s="1321"/>
      <c r="D22" s="1321"/>
      <c r="E22" s="1602"/>
      <c r="F22" s="1630"/>
      <c r="G22" s="1321"/>
      <c r="H22" s="1631"/>
      <c r="I22" s="1632"/>
      <c r="J22" s="1321"/>
      <c r="K22" s="1602"/>
    </row>
    <row r="23" spans="1:11" ht="11.25" customHeight="1" x14ac:dyDescent="0.25">
      <c r="A23" s="1635"/>
      <c r="B23" s="55"/>
      <c r="C23" s="1346"/>
      <c r="D23" s="1346"/>
      <c r="E23" s="1349"/>
      <c r="F23" s="1633"/>
      <c r="G23" s="1346"/>
      <c r="H23" s="1634"/>
      <c r="I23" s="1348"/>
      <c r="J23" s="1346"/>
      <c r="K23" s="1349"/>
    </row>
    <row r="24" spans="1:11" ht="18" customHeight="1" x14ac:dyDescent="0.25">
      <c r="A24" s="189" t="str">
        <f>'SA18'!A24</f>
        <v>Other grant providers:</v>
      </c>
      <c r="B24" s="55"/>
      <c r="C24" s="86">
        <f>SUM(C25:C26)</f>
        <v>0</v>
      </c>
      <c r="D24" s="86">
        <f t="shared" ref="D24:K24" si="3">SUM(D25:D26)</f>
        <v>0</v>
      </c>
      <c r="E24" s="87">
        <f t="shared" si="3"/>
        <v>0</v>
      </c>
      <c r="F24" s="88">
        <f t="shared" si="3"/>
        <v>0</v>
      </c>
      <c r="G24" s="86">
        <f t="shared" si="3"/>
        <v>0</v>
      </c>
      <c r="H24" s="85">
        <f t="shared" si="3"/>
        <v>0</v>
      </c>
      <c r="I24" s="89">
        <f t="shared" si="3"/>
        <v>0</v>
      </c>
      <c r="J24" s="86">
        <f t="shared" si="3"/>
        <v>0</v>
      </c>
      <c r="K24" s="87">
        <f t="shared" si="3"/>
        <v>0</v>
      </c>
    </row>
    <row r="25" spans="1:11" ht="11.25" customHeight="1" x14ac:dyDescent="0.25">
      <c r="A25" s="1771" t="str">
        <f>'SA18'!A25</f>
        <v>SETA</v>
      </c>
      <c r="B25" s="55"/>
      <c r="C25" s="1321"/>
      <c r="D25" s="1321"/>
      <c r="E25" s="1602"/>
      <c r="F25" s="1630"/>
      <c r="G25" s="1321"/>
      <c r="H25" s="1631"/>
      <c r="I25" s="1632"/>
      <c r="J25" s="1321"/>
      <c r="K25" s="1602"/>
    </row>
    <row r="26" spans="1:11" ht="11.25" customHeight="1" x14ac:dyDescent="0.25">
      <c r="A26" s="1635"/>
      <c r="B26" s="55"/>
      <c r="C26" s="1346"/>
      <c r="D26" s="1346"/>
      <c r="E26" s="1349"/>
      <c r="F26" s="1633"/>
      <c r="G26" s="1346"/>
      <c r="H26" s="1634"/>
      <c r="I26" s="1348"/>
      <c r="J26" s="1346"/>
      <c r="K26" s="1349"/>
    </row>
    <row r="27" spans="1:11" s="488" customFormat="1" ht="15.75" customHeight="1" x14ac:dyDescent="0.2">
      <c r="A27" s="481" t="s">
        <v>307</v>
      </c>
      <c r="B27" s="482"/>
      <c r="C27" s="483">
        <f t="shared" ref="C27:K27" si="4">C7+C15+C21+C24</f>
        <v>0</v>
      </c>
      <c r="D27" s="483">
        <f t="shared" si="4"/>
        <v>0</v>
      </c>
      <c r="E27" s="484">
        <f t="shared" si="4"/>
        <v>0</v>
      </c>
      <c r="F27" s="485">
        <f t="shared" si="4"/>
        <v>0</v>
      </c>
      <c r="G27" s="483">
        <f t="shared" si="4"/>
        <v>0</v>
      </c>
      <c r="H27" s="486">
        <f t="shared" si="4"/>
        <v>0</v>
      </c>
      <c r="I27" s="487">
        <f t="shared" si="4"/>
        <v>0</v>
      </c>
      <c r="J27" s="483">
        <f t="shared" si="4"/>
        <v>0</v>
      </c>
      <c r="K27" s="484">
        <f t="shared" si="4"/>
        <v>0</v>
      </c>
    </row>
    <row r="28" spans="1:11" ht="4.9000000000000004" customHeight="1" x14ac:dyDescent="0.25">
      <c r="A28" s="74"/>
      <c r="B28" s="55"/>
      <c r="C28" s="76"/>
      <c r="D28" s="76"/>
      <c r="E28" s="77"/>
      <c r="F28" s="78"/>
      <c r="G28" s="76"/>
      <c r="H28" s="75"/>
      <c r="I28" s="79"/>
      <c r="J28" s="76"/>
      <c r="K28" s="77"/>
    </row>
    <row r="29" spans="1:11" ht="11.25" customHeight="1" x14ac:dyDescent="0.25">
      <c r="A29" s="54" t="s">
        <v>308</v>
      </c>
      <c r="B29" s="55"/>
      <c r="C29" s="76"/>
      <c r="D29" s="76"/>
      <c r="E29" s="77"/>
      <c r="F29" s="78"/>
      <c r="G29" s="76"/>
      <c r="H29" s="75"/>
      <c r="I29" s="79"/>
      <c r="J29" s="76"/>
      <c r="K29" s="77"/>
    </row>
    <row r="30" spans="1:11" ht="18" customHeight="1" x14ac:dyDescent="0.25">
      <c r="A30" s="189" t="str">
        <f>'SA18'!A30</f>
        <v>National Government:</v>
      </c>
      <c r="B30" s="55"/>
      <c r="C30" s="86">
        <f>SUM(C31:C36)</f>
        <v>0</v>
      </c>
      <c r="D30" s="86">
        <f t="shared" ref="D30:K30" si="5">SUM(D31:D36)</f>
        <v>0</v>
      </c>
      <c r="E30" s="87">
        <f t="shared" si="5"/>
        <v>0</v>
      </c>
      <c r="F30" s="88">
        <f t="shared" si="5"/>
        <v>0</v>
      </c>
      <c r="G30" s="86">
        <f t="shared" si="5"/>
        <v>0</v>
      </c>
      <c r="H30" s="85">
        <f t="shared" si="5"/>
        <v>0</v>
      </c>
      <c r="I30" s="89">
        <f t="shared" si="5"/>
        <v>0</v>
      </c>
      <c r="J30" s="86">
        <f t="shared" si="5"/>
        <v>0</v>
      </c>
      <c r="K30" s="87">
        <f t="shared" si="5"/>
        <v>0</v>
      </c>
    </row>
    <row r="31" spans="1:11" ht="11.25" customHeight="1" x14ac:dyDescent="0.25">
      <c r="A31" s="187" t="str">
        <f>IF('SA18'!A31="","",'SA18'!A31)</f>
        <v xml:space="preserve"> Municipal Infrastructure Grant (MIG)</v>
      </c>
      <c r="B31" s="55"/>
      <c r="C31" s="1321"/>
      <c r="D31" s="1321"/>
      <c r="E31" s="1602"/>
      <c r="F31" s="1630"/>
      <c r="G31" s="1321"/>
      <c r="H31" s="1631"/>
      <c r="I31" s="1632"/>
      <c r="J31" s="1321"/>
      <c r="K31" s="1602"/>
    </row>
    <row r="32" spans="1:11" ht="11.25" customHeight="1" x14ac:dyDescent="0.25">
      <c r="A32" s="187" t="str">
        <f>IF('SA18'!A32="","",'SA18'!A32)</f>
        <v>Regional Bulk Infrastructure</v>
      </c>
      <c r="B32" s="55"/>
      <c r="C32" s="1316"/>
      <c r="D32" s="1316"/>
      <c r="E32" s="1325"/>
      <c r="F32" s="1326"/>
      <c r="G32" s="1316"/>
      <c r="H32" s="1327"/>
      <c r="I32" s="1318"/>
      <c r="J32" s="1316"/>
      <c r="K32" s="1325"/>
    </row>
    <row r="33" spans="1:11" ht="11.25" customHeight="1" x14ac:dyDescent="0.25">
      <c r="A33" s="187" t="str">
        <f>IF('SA18'!A33="","",'SA18'!A33)</f>
        <v>INEP GRANT</v>
      </c>
      <c r="B33" s="55"/>
      <c r="C33" s="1316"/>
      <c r="D33" s="1316"/>
      <c r="E33" s="1325"/>
      <c r="F33" s="1326"/>
      <c r="G33" s="1316"/>
      <c r="H33" s="1327"/>
      <c r="I33" s="1318"/>
      <c r="J33" s="1316"/>
      <c r="K33" s="1325"/>
    </row>
    <row r="34" spans="1:11" ht="11.25" customHeight="1" x14ac:dyDescent="0.25">
      <c r="A34" s="187" t="str">
        <f>IF('SA18'!A34="","",'SA18'!A34)</f>
        <v/>
      </c>
      <c r="B34" s="55"/>
      <c r="C34" s="1316"/>
      <c r="D34" s="1316"/>
      <c r="E34" s="1325"/>
      <c r="F34" s="1326"/>
      <c r="G34" s="1316"/>
      <c r="H34" s="1327"/>
      <c r="I34" s="1318"/>
      <c r="J34" s="1316"/>
      <c r="K34" s="1325"/>
    </row>
    <row r="35" spans="1:11" ht="11.25" customHeight="1" x14ac:dyDescent="0.25">
      <c r="A35" s="187" t="str">
        <f>IF('SA18'!A35="","",'SA18'!A35)</f>
        <v/>
      </c>
      <c r="B35" s="55"/>
      <c r="C35" s="1316"/>
      <c r="D35" s="1316"/>
      <c r="E35" s="1325"/>
      <c r="F35" s="1326"/>
      <c r="G35" s="1316"/>
      <c r="H35" s="1327"/>
      <c r="I35" s="1318"/>
      <c r="J35" s="1316"/>
      <c r="K35" s="1325"/>
    </row>
    <row r="36" spans="1:11" ht="11.25" customHeight="1" x14ac:dyDescent="0.25">
      <c r="A36" s="1770" t="str">
        <f>'SA18'!A36</f>
        <v>WSIG</v>
      </c>
      <c r="B36" s="55"/>
      <c r="C36" s="1346"/>
      <c r="D36" s="1346"/>
      <c r="E36" s="1349"/>
      <c r="F36" s="1633"/>
      <c r="G36" s="1346"/>
      <c r="H36" s="1634"/>
      <c r="I36" s="1348"/>
      <c r="J36" s="1346"/>
      <c r="K36" s="1349"/>
    </row>
    <row r="37" spans="1:11" ht="18" customHeight="1" x14ac:dyDescent="0.25">
      <c r="A37" s="489" t="str">
        <f>'SA18'!A37</f>
        <v>Provincial Government:</v>
      </c>
      <c r="B37" s="55"/>
      <c r="C37" s="86">
        <f>SUM(C38)</f>
        <v>0</v>
      </c>
      <c r="D37" s="86">
        <f t="shared" ref="D37:K37" si="6">SUM(D38)</f>
        <v>0</v>
      </c>
      <c r="E37" s="87">
        <f t="shared" si="6"/>
        <v>0</v>
      </c>
      <c r="F37" s="88">
        <f t="shared" si="6"/>
        <v>0</v>
      </c>
      <c r="G37" s="86">
        <f t="shared" si="6"/>
        <v>0</v>
      </c>
      <c r="H37" s="85">
        <f t="shared" si="6"/>
        <v>0</v>
      </c>
      <c r="I37" s="89">
        <f t="shared" si="6"/>
        <v>0</v>
      </c>
      <c r="J37" s="86">
        <f t="shared" si="6"/>
        <v>0</v>
      </c>
      <c r="K37" s="87">
        <f t="shared" si="6"/>
        <v>0</v>
      </c>
    </row>
    <row r="38" spans="1:11" x14ac:dyDescent="0.25">
      <c r="A38" s="1772" t="str">
        <f>'SA18'!A38</f>
        <v>OTP</v>
      </c>
      <c r="B38" s="55"/>
      <c r="C38" s="1637"/>
      <c r="D38" s="1637"/>
      <c r="E38" s="1638"/>
      <c r="F38" s="1639"/>
      <c r="G38" s="1637"/>
      <c r="H38" s="1640"/>
      <c r="I38" s="1641"/>
      <c r="J38" s="1637"/>
      <c r="K38" s="1638"/>
    </row>
    <row r="39" spans="1:11" ht="18" customHeight="1" x14ac:dyDescent="0.25">
      <c r="A39" s="189" t="str">
        <f>'SA18'!A39</f>
        <v>District Municipality:</v>
      </c>
      <c r="B39" s="55"/>
      <c r="C39" s="86">
        <f>SUM(C40:C41)</f>
        <v>0</v>
      </c>
      <c r="D39" s="86">
        <f t="shared" ref="D39:K39" si="7">SUM(D40:D41)</f>
        <v>0</v>
      </c>
      <c r="E39" s="87">
        <f t="shared" si="7"/>
        <v>0</v>
      </c>
      <c r="F39" s="88">
        <f t="shared" si="7"/>
        <v>0</v>
      </c>
      <c r="G39" s="86">
        <f t="shared" si="7"/>
        <v>0</v>
      </c>
      <c r="H39" s="85">
        <f t="shared" si="7"/>
        <v>0</v>
      </c>
      <c r="I39" s="89">
        <f t="shared" si="7"/>
        <v>0</v>
      </c>
      <c r="J39" s="86">
        <f t="shared" si="7"/>
        <v>0</v>
      </c>
      <c r="K39" s="87">
        <f t="shared" si="7"/>
        <v>0</v>
      </c>
    </row>
    <row r="40" spans="1:11" ht="11.25" customHeight="1" x14ac:dyDescent="0.25">
      <c r="A40" s="1771" t="str">
        <f>'SA18'!A40</f>
        <v>EIA of Cemeteries - SBDM</v>
      </c>
      <c r="B40" s="55"/>
      <c r="C40" s="1321"/>
      <c r="D40" s="1321"/>
      <c r="E40" s="1602"/>
      <c r="F40" s="1630"/>
      <c r="G40" s="1321"/>
      <c r="H40" s="1631"/>
      <c r="I40" s="1632"/>
      <c r="J40" s="1321"/>
      <c r="K40" s="1602"/>
    </row>
    <row r="41" spans="1:11" ht="11.25" customHeight="1" x14ac:dyDescent="0.25">
      <c r="A41" s="1635"/>
      <c r="B41" s="55"/>
      <c r="C41" s="1346"/>
      <c r="D41" s="1346"/>
      <c r="E41" s="1349"/>
      <c r="F41" s="1633"/>
      <c r="G41" s="1346"/>
      <c r="H41" s="1634"/>
      <c r="I41" s="1348"/>
      <c r="J41" s="1346"/>
      <c r="K41" s="1349"/>
    </row>
    <row r="42" spans="1:11" ht="18" customHeight="1" x14ac:dyDescent="0.25">
      <c r="A42" s="189" t="str">
        <f>'SA18'!A42</f>
        <v>Other grant providers:</v>
      </c>
      <c r="B42" s="55"/>
      <c r="C42" s="86">
        <f>SUM(C43:C44)</f>
        <v>0</v>
      </c>
      <c r="D42" s="86">
        <f t="shared" ref="D42:K42" si="8">SUM(D43:D44)</f>
        <v>0</v>
      </c>
      <c r="E42" s="87">
        <f t="shared" si="8"/>
        <v>0</v>
      </c>
      <c r="F42" s="88">
        <f t="shared" si="8"/>
        <v>0</v>
      </c>
      <c r="G42" s="86">
        <f t="shared" si="8"/>
        <v>0</v>
      </c>
      <c r="H42" s="85">
        <f t="shared" si="8"/>
        <v>0</v>
      </c>
      <c r="I42" s="89">
        <f t="shared" si="8"/>
        <v>0</v>
      </c>
      <c r="J42" s="86">
        <f t="shared" si="8"/>
        <v>0</v>
      </c>
      <c r="K42" s="87">
        <f t="shared" si="8"/>
        <v>0</v>
      </c>
    </row>
    <row r="43" spans="1:11" ht="11.25" customHeight="1" x14ac:dyDescent="0.25">
      <c r="A43" s="1771" t="str">
        <f>'SA18'!A43</f>
        <v>DROUGHT RELIEF GRANT</v>
      </c>
      <c r="B43" s="55"/>
      <c r="C43" s="1321"/>
      <c r="D43" s="1321"/>
      <c r="E43" s="1602"/>
      <c r="F43" s="1630"/>
      <c r="G43" s="1321"/>
      <c r="H43" s="1631"/>
      <c r="I43" s="1632"/>
      <c r="J43" s="1321"/>
      <c r="K43" s="1602"/>
    </row>
    <row r="44" spans="1:11" ht="11.25" customHeight="1" x14ac:dyDescent="0.25">
      <c r="A44" s="1635"/>
      <c r="B44" s="55"/>
      <c r="C44" s="1346"/>
      <c r="D44" s="1346"/>
      <c r="E44" s="1349"/>
      <c r="F44" s="1633"/>
      <c r="G44" s="1346"/>
      <c r="H44" s="1634"/>
      <c r="I44" s="1348"/>
      <c r="J44" s="1346"/>
      <c r="K44" s="1349"/>
    </row>
    <row r="45" spans="1:11" ht="15.75" customHeight="1" x14ac:dyDescent="0.25">
      <c r="A45" s="490" t="s">
        <v>309</v>
      </c>
      <c r="B45" s="214"/>
      <c r="C45" s="86">
        <f>C30+C37+C39+C42</f>
        <v>0</v>
      </c>
      <c r="D45" s="86">
        <f t="shared" ref="D45:K45" si="9">D30+D37+D39+D42</f>
        <v>0</v>
      </c>
      <c r="E45" s="87">
        <f t="shared" si="9"/>
        <v>0</v>
      </c>
      <c r="F45" s="88">
        <f t="shared" si="9"/>
        <v>0</v>
      </c>
      <c r="G45" s="86">
        <f t="shared" si="9"/>
        <v>0</v>
      </c>
      <c r="H45" s="85">
        <f t="shared" si="9"/>
        <v>0</v>
      </c>
      <c r="I45" s="89">
        <f t="shared" si="9"/>
        <v>0</v>
      </c>
      <c r="J45" s="86">
        <f t="shared" si="9"/>
        <v>0</v>
      </c>
      <c r="K45" s="87">
        <f t="shared" si="9"/>
        <v>0</v>
      </c>
    </row>
    <row r="46" spans="1:11" ht="3.75" customHeight="1" x14ac:dyDescent="0.25">
      <c r="A46" s="74"/>
      <c r="B46" s="55"/>
      <c r="C46" s="76"/>
      <c r="D46" s="76"/>
      <c r="E46" s="77"/>
      <c r="F46" s="78"/>
      <c r="G46" s="76"/>
      <c r="H46" s="75"/>
      <c r="I46" s="79"/>
      <c r="J46" s="76"/>
      <c r="K46" s="77"/>
    </row>
    <row r="47" spans="1:11" s="488" customFormat="1" ht="16.5" customHeight="1" x14ac:dyDescent="0.25">
      <c r="A47" s="879" t="s">
        <v>493</v>
      </c>
      <c r="B47" s="777"/>
      <c r="C47" s="493">
        <f t="shared" ref="C47:K47" si="10">C27+C45</f>
        <v>0</v>
      </c>
      <c r="D47" s="493">
        <f t="shared" si="10"/>
        <v>0</v>
      </c>
      <c r="E47" s="494">
        <f t="shared" si="10"/>
        <v>0</v>
      </c>
      <c r="F47" s="495">
        <f t="shared" si="10"/>
        <v>0</v>
      </c>
      <c r="G47" s="493">
        <f t="shared" si="10"/>
        <v>0</v>
      </c>
      <c r="H47" s="496">
        <f t="shared" si="10"/>
        <v>0</v>
      </c>
      <c r="I47" s="497">
        <f t="shared" si="10"/>
        <v>0</v>
      </c>
      <c r="J47" s="493">
        <f t="shared" si="10"/>
        <v>0</v>
      </c>
      <c r="K47" s="494">
        <f t="shared" si="10"/>
        <v>0</v>
      </c>
    </row>
    <row r="48" spans="1:11" s="464" customFormat="1" ht="11.25" customHeight="1" x14ac:dyDescent="0.25">
      <c r="A48" s="101" t="str">
        <f>head27a</f>
        <v>References</v>
      </c>
      <c r="B48" s="645"/>
    </row>
    <row r="49" spans="1:2" s="464" customFormat="1" ht="11.25" customHeight="1" x14ac:dyDescent="0.25">
      <c r="A49" s="132" t="s">
        <v>1246</v>
      </c>
      <c r="B49" s="645"/>
    </row>
    <row r="50" spans="1:2" ht="11.25" customHeight="1" x14ac:dyDescent="0.25"/>
    <row r="51" spans="1:2" ht="11.25" customHeight="1" x14ac:dyDescent="0.25"/>
    <row r="52" spans="1:2" ht="11.25" customHeight="1" x14ac:dyDescent="0.25"/>
    <row r="53" spans="1:2" ht="11.25" customHeight="1" x14ac:dyDescent="0.25"/>
    <row r="54" spans="1:2" ht="11.25" customHeight="1" x14ac:dyDescent="0.25"/>
    <row r="55" spans="1:2" ht="11.25" customHeight="1" x14ac:dyDescent="0.25"/>
    <row r="56" spans="1:2" ht="11.25" customHeight="1" x14ac:dyDescent="0.25"/>
    <row r="57" spans="1:2" ht="11.25" customHeight="1" x14ac:dyDescent="0.25"/>
    <row r="58" spans="1:2" ht="11.25" customHeight="1" x14ac:dyDescent="0.25"/>
    <row r="59" spans="1:2" ht="11.25" customHeight="1" x14ac:dyDescent="0.25"/>
    <row r="60" spans="1:2" ht="11.25" customHeight="1" x14ac:dyDescent="0.25"/>
    <row r="61" spans="1:2" ht="11.25" customHeight="1" x14ac:dyDescent="0.25"/>
    <row r="62" spans="1:2" ht="11.25" customHeight="1" x14ac:dyDescent="0.25"/>
    <row r="63" spans="1:2" ht="11.25" customHeight="1" x14ac:dyDescent="0.25"/>
    <row r="64" spans="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mergeCells count="2">
    <mergeCell ref="F2:H2"/>
    <mergeCell ref="I2:K2"/>
  </mergeCells>
  <phoneticPr fontId="3" type="noConversion"/>
  <printOptions horizontalCentered="1"/>
  <pageMargins left="0" right="0" top="0.78740157480314965" bottom="0.59055118110236227" header="0.51181102362204722" footer="0.39370078740157483"/>
  <pageSetup paperSize="9" scale="87" orientation="portrait"/>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pageSetUpPr fitToPage="1"/>
  </sheetPr>
  <dimension ref="A1:K87"/>
  <sheetViews>
    <sheetView showGridLines="0" zoomScaleNormal="100" workbookViewId="0">
      <pane xSplit="2" ySplit="3" topLeftCell="C10" activePane="bottomRight" state="frozen"/>
      <selection pane="topRight"/>
      <selection pane="bottomLeft"/>
      <selection pane="bottomRight"/>
    </sheetView>
  </sheetViews>
  <sheetFormatPr defaultRowHeight="12.75" x14ac:dyDescent="0.25"/>
  <cols>
    <col min="1" max="1" width="32.2851562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customHeight="1" x14ac:dyDescent="0.25">
      <c r="A1" s="23" t="str">
        <f>muni&amp;" - "&amp; TableA20</f>
        <v>EC101 Dr Beyers Naude - Supporting Table SA20 Reconciliation of transfers, grant receipts and unspent funds</v>
      </c>
      <c r="B1" s="23"/>
      <c r="C1" s="23"/>
      <c r="D1" s="23"/>
      <c r="E1" s="23"/>
      <c r="F1" s="23"/>
      <c r="G1" s="23"/>
      <c r="H1" s="23"/>
      <c r="I1" s="23"/>
      <c r="J1" s="23"/>
      <c r="K1" s="23"/>
    </row>
    <row r="2" spans="1:11" ht="28.5" customHeight="1" x14ac:dyDescent="0.25">
      <c r="A2" s="614" t="str">
        <f>desc</f>
        <v>Description</v>
      </c>
      <c r="B2" s="220" t="str">
        <f>head27</f>
        <v>Ref</v>
      </c>
      <c r="C2" s="26" t="str">
        <f>head1b</f>
        <v>2015/16</v>
      </c>
      <c r="D2" s="475"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53" t="s">
        <v>573</v>
      </c>
      <c r="B3" s="619"/>
      <c r="C3" s="203" t="str">
        <f>Head5</f>
        <v>Audited Outcome</v>
      </c>
      <c r="D3" s="627"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1.25" customHeight="1" x14ac:dyDescent="0.25">
      <c r="A4" s="54" t="s">
        <v>262</v>
      </c>
      <c r="B4" s="55" t="s">
        <v>449</v>
      </c>
      <c r="C4" s="86"/>
      <c r="D4" s="86"/>
      <c r="E4" s="87"/>
      <c r="F4" s="88"/>
      <c r="G4" s="86"/>
      <c r="H4" s="85"/>
      <c r="I4" s="89"/>
      <c r="J4" s="86"/>
      <c r="K4" s="87"/>
    </row>
    <row r="5" spans="1:11" ht="11.25" customHeight="1" x14ac:dyDescent="0.25">
      <c r="A5" s="189" t="str">
        <f>'SA18'!A7</f>
        <v>National Government:</v>
      </c>
      <c r="B5" s="55"/>
      <c r="C5" s="86"/>
      <c r="D5" s="86"/>
      <c r="E5" s="87"/>
      <c r="F5" s="88"/>
      <c r="G5" s="86"/>
      <c r="H5" s="85"/>
      <c r="I5" s="89"/>
      <c r="J5" s="86"/>
      <c r="K5" s="87"/>
    </row>
    <row r="6" spans="1:11" ht="11.25" customHeight="1" x14ac:dyDescent="0.25">
      <c r="A6" s="187" t="s">
        <v>1079</v>
      </c>
      <c r="B6" s="55"/>
      <c r="C6" s="1329"/>
      <c r="D6" s="1329"/>
      <c r="E6" s="1334"/>
      <c r="F6" s="1333"/>
      <c r="G6" s="1329"/>
      <c r="H6" s="1334"/>
      <c r="I6" s="1335"/>
      <c r="J6" s="1329"/>
      <c r="K6" s="1332"/>
    </row>
    <row r="7" spans="1:11" ht="11.25" customHeight="1" x14ac:dyDescent="0.25">
      <c r="A7" s="187" t="s">
        <v>1080</v>
      </c>
      <c r="B7" s="55"/>
      <c r="C7" s="1329"/>
      <c r="D7" s="1329"/>
      <c r="E7" s="1334"/>
      <c r="F7" s="1333"/>
      <c r="G7" s="1329"/>
      <c r="H7" s="1334"/>
      <c r="I7" s="1335"/>
      <c r="J7" s="1329"/>
      <c r="K7" s="1332"/>
    </row>
    <row r="8" spans="1:11" ht="11.25" customHeight="1" x14ac:dyDescent="0.25">
      <c r="A8" s="498" t="s">
        <v>1078</v>
      </c>
      <c r="B8" s="55"/>
      <c r="C8" s="499">
        <f>C6+C7-C9</f>
        <v>0</v>
      </c>
      <c r="D8" s="499">
        <f t="shared" ref="D8:K8" si="0">D6+D7-D9</f>
        <v>0</v>
      </c>
      <c r="E8" s="500">
        <f t="shared" si="0"/>
        <v>0</v>
      </c>
      <c r="F8" s="501">
        <f t="shared" si="0"/>
        <v>0</v>
      </c>
      <c r="G8" s="499">
        <f t="shared" si="0"/>
        <v>0</v>
      </c>
      <c r="H8" s="502">
        <f t="shared" si="0"/>
        <v>0</v>
      </c>
      <c r="I8" s="503">
        <f t="shared" si="0"/>
        <v>0</v>
      </c>
      <c r="J8" s="499">
        <f t="shared" si="0"/>
        <v>0</v>
      </c>
      <c r="K8" s="500">
        <f t="shared" si="0"/>
        <v>0</v>
      </c>
    </row>
    <row r="9" spans="1:11" ht="11.25" customHeight="1" x14ac:dyDescent="0.25">
      <c r="A9" s="187" t="s">
        <v>400</v>
      </c>
      <c r="B9" s="55"/>
      <c r="C9" s="1329"/>
      <c r="D9" s="1329"/>
      <c r="E9" s="1334"/>
      <c r="F9" s="1333"/>
      <c r="G9" s="1329"/>
      <c r="H9" s="1334"/>
      <c r="I9" s="1335"/>
      <c r="J9" s="1329"/>
      <c r="K9" s="1332"/>
    </row>
    <row r="10" spans="1:11" ht="11.25" customHeight="1" x14ac:dyDescent="0.25">
      <c r="A10" s="489" t="s">
        <v>902</v>
      </c>
      <c r="B10" s="55"/>
      <c r="C10" s="86"/>
      <c r="D10" s="86"/>
      <c r="E10" s="85"/>
      <c r="F10" s="88"/>
      <c r="G10" s="86"/>
      <c r="H10" s="85"/>
      <c r="I10" s="89"/>
      <c r="J10" s="86"/>
      <c r="K10" s="87"/>
    </row>
    <row r="11" spans="1:11" ht="11.25" customHeight="1" x14ac:dyDescent="0.25">
      <c r="A11" s="187" t="s">
        <v>1079</v>
      </c>
      <c r="B11" s="55"/>
      <c r="C11" s="1329"/>
      <c r="D11" s="1329"/>
      <c r="E11" s="1334"/>
      <c r="F11" s="1333"/>
      <c r="G11" s="1329"/>
      <c r="H11" s="1334"/>
      <c r="I11" s="1335"/>
      <c r="J11" s="1329"/>
      <c r="K11" s="1332"/>
    </row>
    <row r="12" spans="1:11" ht="11.25" customHeight="1" x14ac:dyDescent="0.25">
      <c r="A12" s="504" t="str">
        <f>A7</f>
        <v>Current year receipts</v>
      </c>
      <c r="B12" s="55"/>
      <c r="C12" s="1329"/>
      <c r="D12" s="1329"/>
      <c r="E12" s="1334"/>
      <c r="F12" s="1333"/>
      <c r="G12" s="1329"/>
      <c r="H12" s="1334"/>
      <c r="I12" s="1335"/>
      <c r="J12" s="1329"/>
      <c r="K12" s="1332"/>
    </row>
    <row r="13" spans="1:11" ht="11.25" customHeight="1" x14ac:dyDescent="0.25">
      <c r="A13" s="505" t="str">
        <f>A8</f>
        <v>Conditions met - transferred to revenue</v>
      </c>
      <c r="B13" s="55"/>
      <c r="C13" s="499">
        <f t="shared" ref="C13:K13" si="1">C11+C12-C14</f>
        <v>0</v>
      </c>
      <c r="D13" s="499">
        <f t="shared" si="1"/>
        <v>0</v>
      </c>
      <c r="E13" s="500">
        <f t="shared" si="1"/>
        <v>0</v>
      </c>
      <c r="F13" s="501">
        <f t="shared" si="1"/>
        <v>0</v>
      </c>
      <c r="G13" s="499">
        <f t="shared" si="1"/>
        <v>0</v>
      </c>
      <c r="H13" s="502">
        <f t="shared" si="1"/>
        <v>0</v>
      </c>
      <c r="I13" s="503">
        <f t="shared" si="1"/>
        <v>0</v>
      </c>
      <c r="J13" s="499">
        <f t="shared" si="1"/>
        <v>0</v>
      </c>
      <c r="K13" s="500">
        <f t="shared" si="1"/>
        <v>0</v>
      </c>
    </row>
    <row r="14" spans="1:11" ht="11.25" customHeight="1" x14ac:dyDescent="0.25">
      <c r="A14" s="504" t="str">
        <f>A9</f>
        <v>Conditions still to be met - transferred to liabilities</v>
      </c>
      <c r="B14" s="55"/>
      <c r="C14" s="1329"/>
      <c r="D14" s="1329"/>
      <c r="E14" s="1334"/>
      <c r="F14" s="1333"/>
      <c r="G14" s="1329"/>
      <c r="H14" s="1334"/>
      <c r="I14" s="1335"/>
      <c r="J14" s="1329"/>
      <c r="K14" s="1332"/>
    </row>
    <row r="15" spans="1:11" ht="11.25" customHeight="1" x14ac:dyDescent="0.25">
      <c r="A15" s="489" t="s">
        <v>936</v>
      </c>
      <c r="B15" s="55"/>
      <c r="C15" s="114"/>
      <c r="D15" s="114"/>
      <c r="E15" s="113"/>
      <c r="F15" s="115"/>
      <c r="G15" s="114"/>
      <c r="H15" s="113"/>
      <c r="I15" s="117"/>
      <c r="J15" s="114"/>
      <c r="K15" s="116"/>
    </row>
    <row r="16" spans="1:11" ht="11.25" customHeight="1" x14ac:dyDescent="0.25">
      <c r="A16" s="187" t="str">
        <f>A11</f>
        <v>Balance unspent at beginning of the year</v>
      </c>
      <c r="B16" s="55"/>
      <c r="C16" s="1329"/>
      <c r="D16" s="1329"/>
      <c r="E16" s="1334"/>
      <c r="F16" s="1333"/>
      <c r="G16" s="1329"/>
      <c r="H16" s="1334"/>
      <c r="I16" s="1335"/>
      <c r="J16" s="1329"/>
      <c r="K16" s="1332"/>
    </row>
    <row r="17" spans="1:11" ht="11.25" customHeight="1" x14ac:dyDescent="0.25">
      <c r="A17" s="504" t="str">
        <f>A12</f>
        <v>Current year receipts</v>
      </c>
      <c r="B17" s="55"/>
      <c r="C17" s="1329"/>
      <c r="D17" s="1329"/>
      <c r="E17" s="1334"/>
      <c r="F17" s="1333"/>
      <c r="G17" s="1329"/>
      <c r="H17" s="1334"/>
      <c r="I17" s="1335"/>
      <c r="J17" s="1329"/>
      <c r="K17" s="1332"/>
    </row>
    <row r="18" spans="1:11" ht="11.25" customHeight="1" x14ac:dyDescent="0.25">
      <c r="A18" s="505" t="str">
        <f>A13</f>
        <v>Conditions met - transferred to revenue</v>
      </c>
      <c r="B18" s="55"/>
      <c r="C18" s="499">
        <f t="shared" ref="C18:K18" si="2">C16+C17-C19</f>
        <v>0</v>
      </c>
      <c r="D18" s="499">
        <f t="shared" si="2"/>
        <v>0</v>
      </c>
      <c r="E18" s="500">
        <f t="shared" si="2"/>
        <v>0</v>
      </c>
      <c r="F18" s="501">
        <f t="shared" si="2"/>
        <v>0</v>
      </c>
      <c r="G18" s="499">
        <f t="shared" si="2"/>
        <v>0</v>
      </c>
      <c r="H18" s="502">
        <f t="shared" si="2"/>
        <v>0</v>
      </c>
      <c r="I18" s="503">
        <f t="shared" si="2"/>
        <v>0</v>
      </c>
      <c r="J18" s="499">
        <f t="shared" si="2"/>
        <v>0</v>
      </c>
      <c r="K18" s="500">
        <f t="shared" si="2"/>
        <v>0</v>
      </c>
    </row>
    <row r="19" spans="1:11" ht="11.25" customHeight="1" x14ac:dyDescent="0.25">
      <c r="A19" s="504" t="str">
        <f>A14</f>
        <v>Conditions still to be met - transferred to liabilities</v>
      </c>
      <c r="B19" s="55"/>
      <c r="C19" s="1329"/>
      <c r="D19" s="1329"/>
      <c r="E19" s="1334"/>
      <c r="F19" s="1333"/>
      <c r="G19" s="1329"/>
      <c r="H19" s="1334"/>
      <c r="I19" s="1335"/>
      <c r="J19" s="1329"/>
      <c r="K19" s="1332"/>
    </row>
    <row r="20" spans="1:11" ht="11.25" customHeight="1" x14ac:dyDescent="0.25">
      <c r="A20" s="489" t="s">
        <v>515</v>
      </c>
      <c r="B20" s="55"/>
      <c r="C20" s="114"/>
      <c r="D20" s="114"/>
      <c r="E20" s="113"/>
      <c r="F20" s="115"/>
      <c r="G20" s="114"/>
      <c r="H20" s="113"/>
      <c r="I20" s="117"/>
      <c r="J20" s="114"/>
      <c r="K20" s="116"/>
    </row>
    <row r="21" spans="1:11" ht="11.25" customHeight="1" x14ac:dyDescent="0.25">
      <c r="A21" s="504" t="str">
        <f>A11</f>
        <v>Balance unspent at beginning of the year</v>
      </c>
      <c r="B21" s="55"/>
      <c r="C21" s="1329"/>
      <c r="D21" s="1329"/>
      <c r="E21" s="1334"/>
      <c r="F21" s="1333"/>
      <c r="G21" s="1329"/>
      <c r="H21" s="1334"/>
      <c r="I21" s="1335"/>
      <c r="J21" s="1329"/>
      <c r="K21" s="1332"/>
    </row>
    <row r="22" spans="1:11" ht="11.25" customHeight="1" x14ac:dyDescent="0.25">
      <c r="A22" s="504" t="str">
        <f>A12</f>
        <v>Current year receipts</v>
      </c>
      <c r="B22" s="55"/>
      <c r="C22" s="1329"/>
      <c r="D22" s="1329"/>
      <c r="E22" s="1334"/>
      <c r="F22" s="1333"/>
      <c r="G22" s="1329"/>
      <c r="H22" s="1334"/>
      <c r="I22" s="1335"/>
      <c r="J22" s="1329"/>
      <c r="K22" s="1332"/>
    </row>
    <row r="23" spans="1:11" ht="11.25" customHeight="1" x14ac:dyDescent="0.25">
      <c r="A23" s="505" t="str">
        <f>A13</f>
        <v>Conditions met - transferred to revenue</v>
      </c>
      <c r="B23" s="55"/>
      <c r="C23" s="499">
        <f t="shared" ref="C23:K23" si="3">C21+C22-C24</f>
        <v>0</v>
      </c>
      <c r="D23" s="499">
        <f t="shared" si="3"/>
        <v>0</v>
      </c>
      <c r="E23" s="500">
        <f t="shared" si="3"/>
        <v>0</v>
      </c>
      <c r="F23" s="501">
        <f t="shared" si="3"/>
        <v>0</v>
      </c>
      <c r="G23" s="499">
        <f t="shared" si="3"/>
        <v>0</v>
      </c>
      <c r="H23" s="502">
        <f t="shared" si="3"/>
        <v>0</v>
      </c>
      <c r="I23" s="503">
        <f t="shared" si="3"/>
        <v>0</v>
      </c>
      <c r="J23" s="499">
        <f t="shared" si="3"/>
        <v>0</v>
      </c>
      <c r="K23" s="500">
        <f t="shared" si="3"/>
        <v>0</v>
      </c>
    </row>
    <row r="24" spans="1:11" ht="11.25" customHeight="1" x14ac:dyDescent="0.25">
      <c r="A24" s="504" t="str">
        <f>A14</f>
        <v>Conditions still to be met - transferred to liabilities</v>
      </c>
      <c r="B24" s="55"/>
      <c r="C24" s="1329"/>
      <c r="D24" s="1329"/>
      <c r="E24" s="1332"/>
      <c r="F24" s="1333"/>
      <c r="G24" s="1329"/>
      <c r="H24" s="1334"/>
      <c r="I24" s="1335"/>
      <c r="J24" s="1329"/>
      <c r="K24" s="1332"/>
    </row>
    <row r="25" spans="1:11" ht="11.25" customHeight="1" x14ac:dyDescent="0.25">
      <c r="A25" s="175" t="s">
        <v>303</v>
      </c>
      <c r="B25" s="176"/>
      <c r="C25" s="499">
        <f t="shared" ref="C25:K26" si="4">C8+C13+C18+C23</f>
        <v>0</v>
      </c>
      <c r="D25" s="499">
        <f t="shared" si="4"/>
        <v>0</v>
      </c>
      <c r="E25" s="500">
        <f t="shared" si="4"/>
        <v>0</v>
      </c>
      <c r="F25" s="501">
        <f t="shared" si="4"/>
        <v>0</v>
      </c>
      <c r="G25" s="499">
        <f t="shared" si="4"/>
        <v>0</v>
      </c>
      <c r="H25" s="502">
        <f t="shared" si="4"/>
        <v>0</v>
      </c>
      <c r="I25" s="503">
        <f t="shared" si="4"/>
        <v>0</v>
      </c>
      <c r="J25" s="499">
        <f t="shared" si="4"/>
        <v>0</v>
      </c>
      <c r="K25" s="500">
        <f t="shared" si="4"/>
        <v>0</v>
      </c>
    </row>
    <row r="26" spans="1:11" ht="11.25" customHeight="1" x14ac:dyDescent="0.25">
      <c r="A26" s="175" t="s">
        <v>304</v>
      </c>
      <c r="B26" s="176">
        <v>2</v>
      </c>
      <c r="C26" s="499">
        <f t="shared" si="4"/>
        <v>0</v>
      </c>
      <c r="D26" s="499">
        <f t="shared" si="4"/>
        <v>0</v>
      </c>
      <c r="E26" s="500">
        <f t="shared" si="4"/>
        <v>0</v>
      </c>
      <c r="F26" s="501">
        <f t="shared" si="4"/>
        <v>0</v>
      </c>
      <c r="G26" s="499">
        <f t="shared" si="4"/>
        <v>0</v>
      </c>
      <c r="H26" s="502">
        <f t="shared" si="4"/>
        <v>0</v>
      </c>
      <c r="I26" s="503">
        <f t="shared" si="4"/>
        <v>0</v>
      </c>
      <c r="J26" s="499">
        <f t="shared" si="4"/>
        <v>0</v>
      </c>
      <c r="K26" s="500">
        <f t="shared" si="4"/>
        <v>0</v>
      </c>
    </row>
    <row r="27" spans="1:11" ht="4.9000000000000004" customHeight="1" x14ac:dyDescent="0.25">
      <c r="A27" s="74"/>
      <c r="B27" s="55"/>
      <c r="C27" s="76"/>
      <c r="D27" s="76"/>
      <c r="E27" s="77"/>
      <c r="F27" s="78"/>
      <c r="G27" s="76"/>
      <c r="H27" s="75"/>
      <c r="I27" s="79"/>
      <c r="J27" s="76"/>
      <c r="K27" s="77"/>
    </row>
    <row r="28" spans="1:11" ht="11.25" customHeight="1" x14ac:dyDescent="0.25">
      <c r="A28" s="54" t="s">
        <v>261</v>
      </c>
      <c r="B28" s="55" t="s">
        <v>449</v>
      </c>
      <c r="C28" s="76"/>
      <c r="D28" s="76"/>
      <c r="E28" s="77"/>
      <c r="F28" s="78"/>
      <c r="G28" s="76"/>
      <c r="H28" s="75"/>
      <c r="I28" s="79"/>
      <c r="J28" s="76"/>
      <c r="K28" s="77"/>
    </row>
    <row r="29" spans="1:11" ht="11.25" customHeight="1" x14ac:dyDescent="0.25">
      <c r="A29" s="489" t="str">
        <f>A5</f>
        <v>National Government:</v>
      </c>
      <c r="B29" s="55"/>
      <c r="C29" s="76"/>
      <c r="D29" s="76"/>
      <c r="E29" s="77"/>
      <c r="F29" s="78"/>
      <c r="G29" s="76"/>
      <c r="H29" s="75"/>
      <c r="I29" s="79"/>
      <c r="J29" s="76"/>
      <c r="K29" s="77"/>
    </row>
    <row r="30" spans="1:11" ht="11.25" customHeight="1" x14ac:dyDescent="0.25">
      <c r="A30" s="187" t="s">
        <v>1079</v>
      </c>
      <c r="B30" s="55"/>
      <c r="C30" s="1329"/>
      <c r="D30" s="1329"/>
      <c r="E30" s="1334"/>
      <c r="F30" s="1333"/>
      <c r="G30" s="1329"/>
      <c r="H30" s="1334"/>
      <c r="I30" s="1335"/>
      <c r="J30" s="1329"/>
      <c r="K30" s="1332"/>
    </row>
    <row r="31" spans="1:11" ht="11.25" customHeight="1" x14ac:dyDescent="0.25">
      <c r="A31" s="187" t="s">
        <v>1080</v>
      </c>
      <c r="B31" s="55"/>
      <c r="C31" s="1316"/>
      <c r="D31" s="1316"/>
      <c r="E31" s="1327"/>
      <c r="F31" s="1326"/>
      <c r="G31" s="1316"/>
      <c r="H31" s="1327"/>
      <c r="I31" s="1318"/>
      <c r="J31" s="1316"/>
      <c r="K31" s="1325"/>
    </row>
    <row r="32" spans="1:11" ht="11.25" customHeight="1" x14ac:dyDescent="0.25">
      <c r="A32" s="498" t="s">
        <v>1078</v>
      </c>
      <c r="B32" s="55"/>
      <c r="C32" s="499">
        <f t="shared" ref="C32:K32" si="5">C30+C31-C33</f>
        <v>0</v>
      </c>
      <c r="D32" s="499">
        <f t="shared" si="5"/>
        <v>0</v>
      </c>
      <c r="E32" s="500">
        <f t="shared" si="5"/>
        <v>0</v>
      </c>
      <c r="F32" s="501">
        <f t="shared" si="5"/>
        <v>0</v>
      </c>
      <c r="G32" s="499">
        <f t="shared" si="5"/>
        <v>0</v>
      </c>
      <c r="H32" s="502">
        <f t="shared" si="5"/>
        <v>0</v>
      </c>
      <c r="I32" s="503">
        <f t="shared" si="5"/>
        <v>0</v>
      </c>
      <c r="J32" s="499">
        <f t="shared" si="5"/>
        <v>0</v>
      </c>
      <c r="K32" s="500">
        <f t="shared" si="5"/>
        <v>0</v>
      </c>
    </row>
    <row r="33" spans="1:11" ht="11.25" customHeight="1" x14ac:dyDescent="0.25">
      <c r="A33" s="187" t="s">
        <v>400</v>
      </c>
      <c r="B33" s="55"/>
      <c r="C33" s="1329"/>
      <c r="D33" s="1329"/>
      <c r="E33" s="1334"/>
      <c r="F33" s="1333"/>
      <c r="G33" s="1329"/>
      <c r="H33" s="1334"/>
      <c r="I33" s="1335"/>
      <c r="J33" s="1329"/>
      <c r="K33" s="1332"/>
    </row>
    <row r="34" spans="1:11" ht="11.25" customHeight="1" x14ac:dyDescent="0.25">
      <c r="A34" s="489" t="s">
        <v>902</v>
      </c>
      <c r="B34" s="55"/>
      <c r="C34" s="86"/>
      <c r="D34" s="86"/>
      <c r="E34" s="85"/>
      <c r="F34" s="88"/>
      <c r="G34" s="86"/>
      <c r="H34" s="85"/>
      <c r="I34" s="89"/>
      <c r="J34" s="86"/>
      <c r="K34" s="87"/>
    </row>
    <row r="35" spans="1:11" ht="11.25" customHeight="1" x14ac:dyDescent="0.25">
      <c r="A35" s="187" t="s">
        <v>1079</v>
      </c>
      <c r="B35" s="55"/>
      <c r="C35" s="1329"/>
      <c r="D35" s="1329"/>
      <c r="E35" s="1334"/>
      <c r="F35" s="1333"/>
      <c r="G35" s="1329"/>
      <c r="H35" s="1334"/>
      <c r="I35" s="1335"/>
      <c r="J35" s="1329"/>
      <c r="K35" s="1332"/>
    </row>
    <row r="36" spans="1:11" ht="11.25" customHeight="1" x14ac:dyDescent="0.25">
      <c r="A36" s="504" t="str">
        <f>A31</f>
        <v>Current year receipts</v>
      </c>
      <c r="B36" s="55"/>
      <c r="C36" s="1329"/>
      <c r="D36" s="1316"/>
      <c r="E36" s="1327"/>
      <c r="F36" s="1326"/>
      <c r="G36" s="1316"/>
      <c r="H36" s="1327"/>
      <c r="I36" s="1318"/>
      <c r="J36" s="1316"/>
      <c r="K36" s="1325"/>
    </row>
    <row r="37" spans="1:11" ht="11.25" customHeight="1" x14ac:dyDescent="0.25">
      <c r="A37" s="505" t="str">
        <f>A32</f>
        <v>Conditions met - transferred to revenue</v>
      </c>
      <c r="B37" s="55"/>
      <c r="C37" s="499">
        <f t="shared" ref="C37:K37" si="6">C35+C36-C38</f>
        <v>0</v>
      </c>
      <c r="D37" s="499">
        <f t="shared" si="6"/>
        <v>0</v>
      </c>
      <c r="E37" s="500">
        <f t="shared" si="6"/>
        <v>0</v>
      </c>
      <c r="F37" s="501">
        <f t="shared" si="6"/>
        <v>0</v>
      </c>
      <c r="G37" s="499">
        <f t="shared" si="6"/>
        <v>0</v>
      </c>
      <c r="H37" s="502">
        <f t="shared" si="6"/>
        <v>0</v>
      </c>
      <c r="I37" s="503">
        <f t="shared" si="6"/>
        <v>0</v>
      </c>
      <c r="J37" s="499">
        <f t="shared" si="6"/>
        <v>0</v>
      </c>
      <c r="K37" s="500">
        <f t="shared" si="6"/>
        <v>0</v>
      </c>
    </row>
    <row r="38" spans="1:11" ht="11.25" customHeight="1" x14ac:dyDescent="0.25">
      <c r="A38" s="504" t="str">
        <f>A33</f>
        <v>Conditions still to be met - transferred to liabilities</v>
      </c>
      <c r="B38" s="55"/>
      <c r="C38" s="1329"/>
      <c r="D38" s="1329"/>
      <c r="E38" s="1334"/>
      <c r="F38" s="1333"/>
      <c r="G38" s="1329"/>
      <c r="H38" s="1334"/>
      <c r="I38" s="1335"/>
      <c r="J38" s="1329"/>
      <c r="K38" s="1332"/>
    </row>
    <row r="39" spans="1:11" ht="11.25" customHeight="1" x14ac:dyDescent="0.25">
      <c r="A39" s="489" t="s">
        <v>936</v>
      </c>
      <c r="B39" s="55"/>
      <c r="C39" s="114"/>
      <c r="D39" s="114"/>
      <c r="E39" s="113"/>
      <c r="F39" s="115"/>
      <c r="G39" s="114"/>
      <c r="H39" s="113"/>
      <c r="I39" s="117"/>
      <c r="J39" s="114"/>
      <c r="K39" s="116"/>
    </row>
    <row r="40" spans="1:11" ht="11.25" customHeight="1" x14ac:dyDescent="0.25">
      <c r="A40" s="187" t="str">
        <f>A35</f>
        <v>Balance unspent at beginning of the year</v>
      </c>
      <c r="B40" s="55"/>
      <c r="C40" s="1329"/>
      <c r="D40" s="1329"/>
      <c r="E40" s="1334"/>
      <c r="F40" s="1333"/>
      <c r="G40" s="1329"/>
      <c r="H40" s="1334"/>
      <c r="I40" s="1335"/>
      <c r="J40" s="1329"/>
      <c r="K40" s="1332"/>
    </row>
    <row r="41" spans="1:11" ht="11.25" customHeight="1" x14ac:dyDescent="0.25">
      <c r="A41" s="504" t="str">
        <f>A36</f>
        <v>Current year receipts</v>
      </c>
      <c r="B41" s="55"/>
      <c r="C41" s="1329"/>
      <c r="D41" s="1329"/>
      <c r="E41" s="1334"/>
      <c r="F41" s="1333"/>
      <c r="G41" s="1329"/>
      <c r="H41" s="1334"/>
      <c r="I41" s="1335"/>
      <c r="J41" s="1329"/>
      <c r="K41" s="1332"/>
    </row>
    <row r="42" spans="1:11" ht="11.25" customHeight="1" x14ac:dyDescent="0.25">
      <c r="A42" s="505" t="str">
        <f>A37</f>
        <v>Conditions met - transferred to revenue</v>
      </c>
      <c r="B42" s="55"/>
      <c r="C42" s="499">
        <f t="shared" ref="C42:K42" si="7">C40+C41-C43</f>
        <v>0</v>
      </c>
      <c r="D42" s="499">
        <f t="shared" si="7"/>
        <v>0</v>
      </c>
      <c r="E42" s="500">
        <f t="shared" si="7"/>
        <v>0</v>
      </c>
      <c r="F42" s="501">
        <f t="shared" si="7"/>
        <v>0</v>
      </c>
      <c r="G42" s="499">
        <f t="shared" si="7"/>
        <v>0</v>
      </c>
      <c r="H42" s="502">
        <f t="shared" si="7"/>
        <v>0</v>
      </c>
      <c r="I42" s="503">
        <f t="shared" si="7"/>
        <v>0</v>
      </c>
      <c r="J42" s="499">
        <f t="shared" si="7"/>
        <v>0</v>
      </c>
      <c r="K42" s="500">
        <f t="shared" si="7"/>
        <v>0</v>
      </c>
    </row>
    <row r="43" spans="1:11" ht="11.25" customHeight="1" x14ac:dyDescent="0.25">
      <c r="A43" s="504" t="str">
        <f>A38</f>
        <v>Conditions still to be met - transferred to liabilities</v>
      </c>
      <c r="B43" s="55"/>
      <c r="C43" s="1329"/>
      <c r="D43" s="1329"/>
      <c r="E43" s="1334"/>
      <c r="F43" s="1333"/>
      <c r="G43" s="1329"/>
      <c r="H43" s="1334"/>
      <c r="I43" s="1335"/>
      <c r="J43" s="1329"/>
      <c r="K43" s="1332"/>
    </row>
    <row r="44" spans="1:11" ht="11.25" customHeight="1" x14ac:dyDescent="0.25">
      <c r="A44" s="489" t="s">
        <v>515</v>
      </c>
      <c r="B44" s="55"/>
      <c r="C44" s="114"/>
      <c r="D44" s="114"/>
      <c r="E44" s="113"/>
      <c r="F44" s="115"/>
      <c r="G44" s="114"/>
      <c r="H44" s="113"/>
      <c r="I44" s="117"/>
      <c r="J44" s="114"/>
      <c r="K44" s="116"/>
    </row>
    <row r="45" spans="1:11" ht="11.25" customHeight="1" x14ac:dyDescent="0.25">
      <c r="A45" s="504" t="str">
        <f>A35</f>
        <v>Balance unspent at beginning of the year</v>
      </c>
      <c r="B45" s="55"/>
      <c r="C45" s="1329"/>
      <c r="D45" s="1329"/>
      <c r="E45" s="1334"/>
      <c r="F45" s="1333"/>
      <c r="G45" s="1329"/>
      <c r="H45" s="1334"/>
      <c r="I45" s="1335"/>
      <c r="J45" s="1329"/>
      <c r="K45" s="1332"/>
    </row>
    <row r="46" spans="1:11" ht="11.25" customHeight="1" x14ac:dyDescent="0.25">
      <c r="A46" s="504" t="str">
        <f>A36</f>
        <v>Current year receipts</v>
      </c>
      <c r="B46" s="55"/>
      <c r="C46" s="1329"/>
      <c r="D46" s="1329"/>
      <c r="E46" s="1334"/>
      <c r="F46" s="1333"/>
      <c r="G46" s="1329"/>
      <c r="H46" s="1334"/>
      <c r="I46" s="1335"/>
      <c r="J46" s="1329"/>
      <c r="K46" s="1332"/>
    </row>
    <row r="47" spans="1:11" ht="11.25" customHeight="1" x14ac:dyDescent="0.25">
      <c r="A47" s="505" t="str">
        <f>A37</f>
        <v>Conditions met - transferred to revenue</v>
      </c>
      <c r="B47" s="55"/>
      <c r="C47" s="499">
        <f t="shared" ref="C47:K47" si="8">C45+C46-C48</f>
        <v>0</v>
      </c>
      <c r="D47" s="499">
        <f t="shared" si="8"/>
        <v>0</v>
      </c>
      <c r="E47" s="500">
        <f t="shared" si="8"/>
        <v>0</v>
      </c>
      <c r="F47" s="501">
        <f t="shared" si="8"/>
        <v>0</v>
      </c>
      <c r="G47" s="499">
        <f t="shared" si="8"/>
        <v>0</v>
      </c>
      <c r="H47" s="502">
        <f t="shared" si="8"/>
        <v>0</v>
      </c>
      <c r="I47" s="503">
        <f t="shared" si="8"/>
        <v>0</v>
      </c>
      <c r="J47" s="499">
        <f t="shared" si="8"/>
        <v>0</v>
      </c>
      <c r="K47" s="500">
        <f t="shared" si="8"/>
        <v>0</v>
      </c>
    </row>
    <row r="48" spans="1:11" ht="11.25" customHeight="1" x14ac:dyDescent="0.25">
      <c r="A48" s="504" t="str">
        <f>A38</f>
        <v>Conditions still to be met - transferred to liabilities</v>
      </c>
      <c r="B48" s="55"/>
      <c r="C48" s="1329"/>
      <c r="D48" s="1329"/>
      <c r="E48" s="1332"/>
      <c r="F48" s="1333"/>
      <c r="G48" s="1329"/>
      <c r="H48" s="1334"/>
      <c r="I48" s="1335"/>
      <c r="J48" s="1329"/>
      <c r="K48" s="1332"/>
    </row>
    <row r="49" spans="1:11" x14ac:dyDescent="0.25">
      <c r="A49" s="175" t="s">
        <v>537</v>
      </c>
      <c r="B49" s="176"/>
      <c r="C49" s="122">
        <f t="shared" ref="C49:K50" si="9">C32+C37+C42+C47</f>
        <v>0</v>
      </c>
      <c r="D49" s="122">
        <f t="shared" si="9"/>
        <v>0</v>
      </c>
      <c r="E49" s="123">
        <f t="shared" si="9"/>
        <v>0</v>
      </c>
      <c r="F49" s="124">
        <f t="shared" si="9"/>
        <v>0</v>
      </c>
      <c r="G49" s="122">
        <f t="shared" si="9"/>
        <v>0</v>
      </c>
      <c r="H49" s="121">
        <f t="shared" si="9"/>
        <v>0</v>
      </c>
      <c r="I49" s="125">
        <f t="shared" si="9"/>
        <v>0</v>
      </c>
      <c r="J49" s="122">
        <f t="shared" si="9"/>
        <v>0</v>
      </c>
      <c r="K49" s="123">
        <f t="shared" si="9"/>
        <v>0</v>
      </c>
    </row>
    <row r="50" spans="1:11" x14ac:dyDescent="0.25">
      <c r="A50" s="175" t="s">
        <v>305</v>
      </c>
      <c r="B50" s="176">
        <v>2</v>
      </c>
      <c r="C50" s="122">
        <f t="shared" si="9"/>
        <v>0</v>
      </c>
      <c r="D50" s="122">
        <f t="shared" si="9"/>
        <v>0</v>
      </c>
      <c r="E50" s="123">
        <f t="shared" si="9"/>
        <v>0</v>
      </c>
      <c r="F50" s="124">
        <f t="shared" si="9"/>
        <v>0</v>
      </c>
      <c r="G50" s="122">
        <f t="shared" si="9"/>
        <v>0</v>
      </c>
      <c r="H50" s="121">
        <f t="shared" si="9"/>
        <v>0</v>
      </c>
      <c r="I50" s="125">
        <f t="shared" si="9"/>
        <v>0</v>
      </c>
      <c r="J50" s="122">
        <f t="shared" si="9"/>
        <v>0</v>
      </c>
      <c r="K50" s="123">
        <f t="shared" si="9"/>
        <v>0</v>
      </c>
    </row>
    <row r="51" spans="1:11" ht="4.9000000000000004" customHeight="1" x14ac:dyDescent="0.25">
      <c r="A51" s="506"/>
      <c r="B51" s="55"/>
      <c r="C51" s="114"/>
      <c r="D51" s="114"/>
      <c r="E51" s="113"/>
      <c r="F51" s="115"/>
      <c r="G51" s="114"/>
      <c r="H51" s="113"/>
      <c r="I51" s="117"/>
      <c r="J51" s="114"/>
      <c r="K51" s="116"/>
    </row>
    <row r="52" spans="1:11" ht="11.25" customHeight="1" x14ac:dyDescent="0.25">
      <c r="A52" s="678" t="s">
        <v>244</v>
      </c>
      <c r="B52" s="679"/>
      <c r="C52" s="680">
        <f t="shared" ref="C52:K52" si="10">C25+C49</f>
        <v>0</v>
      </c>
      <c r="D52" s="680">
        <f t="shared" si="10"/>
        <v>0</v>
      </c>
      <c r="E52" s="681">
        <f t="shared" si="10"/>
        <v>0</v>
      </c>
      <c r="F52" s="682">
        <f t="shared" si="10"/>
        <v>0</v>
      </c>
      <c r="G52" s="680">
        <f t="shared" si="10"/>
        <v>0</v>
      </c>
      <c r="H52" s="683">
        <f t="shared" si="10"/>
        <v>0</v>
      </c>
      <c r="I52" s="684">
        <f t="shared" si="10"/>
        <v>0</v>
      </c>
      <c r="J52" s="680">
        <f t="shared" si="10"/>
        <v>0</v>
      </c>
      <c r="K52" s="681">
        <f t="shared" si="10"/>
        <v>0</v>
      </c>
    </row>
    <row r="53" spans="1:11" ht="11.25" customHeight="1" x14ac:dyDescent="0.25">
      <c r="A53" s="92" t="s">
        <v>1277</v>
      </c>
      <c r="B53" s="93"/>
      <c r="C53" s="95">
        <f>C26+C50</f>
        <v>0</v>
      </c>
      <c r="D53" s="95">
        <f t="shared" ref="D53:K53" si="11">D26+D50</f>
        <v>0</v>
      </c>
      <c r="E53" s="96">
        <f t="shared" si="11"/>
        <v>0</v>
      </c>
      <c r="F53" s="97">
        <f t="shared" si="11"/>
        <v>0</v>
      </c>
      <c r="G53" s="95">
        <f t="shared" si="11"/>
        <v>0</v>
      </c>
      <c r="H53" s="94">
        <f t="shared" si="11"/>
        <v>0</v>
      </c>
      <c r="I53" s="98">
        <f t="shared" si="11"/>
        <v>0</v>
      </c>
      <c r="J53" s="95">
        <f t="shared" si="11"/>
        <v>0</v>
      </c>
      <c r="K53" s="96">
        <f t="shared" si="11"/>
        <v>0</v>
      </c>
    </row>
    <row r="54" spans="1:11" s="464" customFormat="1" ht="11.25" customHeight="1" x14ac:dyDescent="0.25">
      <c r="A54" s="101" t="str">
        <f>head27a</f>
        <v>References</v>
      </c>
      <c r="B54" s="649"/>
      <c r="C54" s="646"/>
      <c r="D54" s="646"/>
      <c r="E54" s="646"/>
      <c r="F54" s="646"/>
      <c r="G54" s="646"/>
      <c r="H54" s="646"/>
      <c r="I54" s="646"/>
      <c r="J54" s="646"/>
      <c r="K54" s="646"/>
    </row>
    <row r="55" spans="1:11" s="464" customFormat="1" ht="11.25" customHeight="1" x14ac:dyDescent="0.25">
      <c r="A55" s="1923" t="s">
        <v>536</v>
      </c>
      <c r="B55" s="1923"/>
      <c r="C55" s="1923"/>
      <c r="D55" s="1923"/>
      <c r="E55" s="1923"/>
      <c r="F55" s="1923"/>
      <c r="G55" s="1923"/>
      <c r="H55" s="1923"/>
      <c r="I55" s="1923"/>
      <c r="J55" s="1923"/>
      <c r="K55" s="1923"/>
    </row>
    <row r="56" spans="1:11" s="464" customFormat="1" ht="11.25" customHeight="1" x14ac:dyDescent="0.25">
      <c r="A56" s="1923" t="s">
        <v>243</v>
      </c>
      <c r="B56" s="1923"/>
      <c r="C56" s="1923"/>
      <c r="D56" s="1923"/>
      <c r="E56" s="1923"/>
      <c r="F56" s="1923"/>
      <c r="G56" s="1923"/>
      <c r="H56" s="1923"/>
      <c r="I56" s="1923"/>
      <c r="J56" s="1923"/>
      <c r="K56" s="1923"/>
    </row>
    <row r="57" spans="1:11" s="464" customFormat="1" ht="11.25" customHeight="1" x14ac:dyDescent="0.25">
      <c r="A57" s="1923" t="s">
        <v>772</v>
      </c>
      <c r="B57" s="1923"/>
      <c r="C57" s="1923"/>
      <c r="D57" s="1923"/>
      <c r="E57" s="1923"/>
      <c r="F57" s="1923"/>
      <c r="G57" s="1923"/>
      <c r="H57" s="1923"/>
      <c r="I57" s="1923"/>
      <c r="J57" s="1923"/>
      <c r="K57" s="1923"/>
    </row>
    <row r="58" spans="1:11" ht="11.25" customHeight="1" x14ac:dyDescent="0.25">
      <c r="A58" s="51"/>
      <c r="B58" s="51"/>
      <c r="C58" s="51"/>
      <c r="D58" s="51"/>
      <c r="E58" s="51"/>
      <c r="F58" s="51"/>
      <c r="G58" s="51"/>
      <c r="H58" s="51"/>
      <c r="I58" s="51"/>
      <c r="J58" s="51"/>
      <c r="K58" s="51"/>
    </row>
    <row r="59" spans="1:11" ht="11.25" customHeight="1" x14ac:dyDescent="0.25">
      <c r="A59" s="108" t="s">
        <v>401</v>
      </c>
      <c r="C59" s="75">
        <f>C25-'A4-FinPerf RE'!C18</f>
        <v>0</v>
      </c>
      <c r="D59" s="75">
        <f>D25-'A4-FinPerf RE'!D18</f>
        <v>-109040331</v>
      </c>
      <c r="E59" s="75">
        <f>E25-'A4-FinPerf RE'!E18</f>
        <v>-115191194</v>
      </c>
      <c r="F59" s="75">
        <f>F25-'A4-FinPerf RE'!F18</f>
        <v>-97441111</v>
      </c>
      <c r="G59" s="75">
        <f>G25-'A4-FinPerf RE'!G18</f>
        <v>-101162356</v>
      </c>
      <c r="H59" s="75">
        <f>H25-'A4-FinPerf RE'!H18</f>
        <v>-101162356</v>
      </c>
      <c r="I59" s="75">
        <f>I25-'A4-FinPerf RE'!J18</f>
        <v>-102332054.5</v>
      </c>
      <c r="J59" s="75">
        <f>J25-'A4-FinPerf RE'!K18</f>
        <v>-108471977.77000001</v>
      </c>
      <c r="K59" s="75">
        <f>K25-'A4-FinPerf RE'!L18</f>
        <v>-114980296.43620002</v>
      </c>
    </row>
    <row r="60" spans="1:11" ht="11.25" customHeight="1" x14ac:dyDescent="0.25">
      <c r="A60" s="108" t="s">
        <v>402</v>
      </c>
      <c r="C60" s="75">
        <f>C49-'A5-Capex'!C70</f>
        <v>0</v>
      </c>
      <c r="D60" s="75">
        <f>D49-'A5-Capex'!D70</f>
        <v>-62449782.710000001</v>
      </c>
      <c r="E60" s="75">
        <f>E49-'A5-Capex'!E70</f>
        <v>-53459027</v>
      </c>
      <c r="F60" s="75">
        <f>F49-'A5-Capex'!F70</f>
        <v>-43562250</v>
      </c>
      <c r="G60" s="75">
        <f>G49-'A5-Capex'!G70</f>
        <v>-60020139</v>
      </c>
      <c r="H60" s="75">
        <f>H49-'A5-Capex'!H70</f>
        <v>-60020139</v>
      </c>
      <c r="I60" s="75">
        <f>I49-'A5-Capex'!J70</f>
        <v>-32447438.100000001</v>
      </c>
      <c r="J60" s="75">
        <f>J49-'A5-Capex'!K70</f>
        <v>-49972500</v>
      </c>
      <c r="K60" s="75">
        <f>K49-'A5-Capex'!L70</f>
        <v>0</v>
      </c>
    </row>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mergeCells count="5">
    <mergeCell ref="A57:K57"/>
    <mergeCell ref="F2:H2"/>
    <mergeCell ref="I2:K2"/>
    <mergeCell ref="A55:K55"/>
    <mergeCell ref="A56:K56"/>
  </mergeCells>
  <phoneticPr fontId="3" type="noConversion"/>
  <printOptions horizontalCentered="1"/>
  <pageMargins left="0" right="0" top="0.78740157480314965" bottom="0.59055118110236227" header="0.51181102362204722" footer="0.51181102362204722"/>
  <pageSetup paperSize="9" scale="86" orientation="portrait"/>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pageSetUpPr fitToPage="1"/>
  </sheetPr>
  <dimension ref="A1:L71"/>
  <sheetViews>
    <sheetView showGridLines="0" zoomScale="110" zoomScaleNormal="110" zoomScaleSheetLayoutView="100" workbookViewId="0">
      <selection activeCell="G24" sqref="G24:I24"/>
    </sheetView>
  </sheetViews>
  <sheetFormatPr defaultRowHeight="12.75" x14ac:dyDescent="0.25"/>
  <cols>
    <col min="1" max="1" width="47.140625" style="25" customWidth="1"/>
    <col min="2" max="2" width="3" style="102" customWidth="1"/>
    <col min="3" max="12" width="9.28515625" style="25" customWidth="1"/>
    <col min="13" max="13" width="9.7109375" style="25" customWidth="1"/>
    <col min="14" max="14" width="9.42578125" style="25" customWidth="1"/>
    <col min="15" max="15" width="9.7109375" style="25" customWidth="1"/>
    <col min="16" max="18" width="9.42578125" style="25" customWidth="1"/>
    <col min="19" max="19" width="9.7109375" style="25" customWidth="1"/>
    <col min="20" max="22" width="9.42578125" style="25" customWidth="1"/>
    <col min="23" max="24" width="9.7109375" style="25" customWidth="1"/>
    <col min="25" max="16384" width="9.140625" style="25"/>
  </cols>
  <sheetData>
    <row r="1" spans="1:12" ht="13.5" customHeight="1" x14ac:dyDescent="0.25">
      <c r="A1" s="23" t="str">
        <f>muni&amp;" - "&amp; TableA21</f>
        <v>EC101 Dr Beyers Naude - Supporting Table SA21 Transfers and grants made by the municipality</v>
      </c>
      <c r="B1" s="23"/>
      <c r="C1" s="23"/>
      <c r="D1" s="23"/>
      <c r="E1" s="23"/>
      <c r="F1" s="23"/>
      <c r="G1" s="23"/>
      <c r="H1" s="23"/>
      <c r="I1" s="23"/>
      <c r="J1" s="23"/>
      <c r="K1" s="23"/>
      <c r="L1" s="23"/>
    </row>
    <row r="2" spans="1:12" ht="28.5" customHeight="1" x14ac:dyDescent="0.25">
      <c r="A2" s="1056" t="str">
        <f>desc</f>
        <v>Description</v>
      </c>
      <c r="B2" s="1057" t="str">
        <f>head27</f>
        <v>Ref</v>
      </c>
      <c r="C2" s="26" t="str">
        <f>head1b</f>
        <v>2015/16</v>
      </c>
      <c r="D2" s="475" t="str">
        <f>head1A</f>
        <v>2016/17</v>
      </c>
      <c r="E2" s="22" t="str">
        <f>Head1</f>
        <v>2017/18</v>
      </c>
      <c r="F2" s="1907" t="str">
        <f>Head2</f>
        <v>Current Year 2018/19</v>
      </c>
      <c r="G2" s="1908"/>
      <c r="H2" s="1908"/>
      <c r="I2" s="1912"/>
      <c r="J2" s="1904" t="str">
        <f>Head3</f>
        <v>2019/20 Medium Term Revenue &amp; Expenditure Framework</v>
      </c>
      <c r="K2" s="1905"/>
      <c r="L2" s="1906"/>
    </row>
    <row r="3" spans="1:12" ht="25.5" x14ac:dyDescent="0.25">
      <c r="A3" s="53" t="s">
        <v>573</v>
      </c>
      <c r="B3" s="1058"/>
      <c r="C3" s="203" t="str">
        <f>Head5</f>
        <v>Audited Outcome</v>
      </c>
      <c r="D3" s="627" t="str">
        <f>Head5</f>
        <v>Audited Outcome</v>
      </c>
      <c r="E3" s="204" t="str">
        <f>Head5</f>
        <v>Audited Outcome</v>
      </c>
      <c r="F3" s="141" t="str">
        <f>Head6</f>
        <v>Original Budget</v>
      </c>
      <c r="G3" s="203" t="str">
        <f>Head7</f>
        <v>Adjusted Budget</v>
      </c>
      <c r="H3" s="202" t="str">
        <f>Head8</f>
        <v>Full Year Forecast</v>
      </c>
      <c r="I3" s="1085" t="str">
        <f>Head5b</f>
        <v>Pre-audit outcome</v>
      </c>
      <c r="J3" s="202" t="str">
        <f>Head9</f>
        <v>Budget Year 2019/20</v>
      </c>
      <c r="K3" s="203" t="str">
        <f>Head10</f>
        <v>Budget Year +1 2020/21</v>
      </c>
      <c r="L3" s="204" t="str">
        <f>Head11</f>
        <v>Budget Year +2 2021/22</v>
      </c>
    </row>
    <row r="4" spans="1:12" ht="5.25" customHeight="1" x14ac:dyDescent="0.25">
      <c r="A4" s="1078"/>
      <c r="B4" s="1079"/>
      <c r="C4" s="28"/>
      <c r="D4" s="1076"/>
      <c r="E4" s="29"/>
      <c r="F4" s="27"/>
      <c r="G4" s="28"/>
      <c r="H4" s="30"/>
      <c r="I4" s="418"/>
      <c r="J4" s="30"/>
      <c r="K4" s="28"/>
      <c r="L4" s="29"/>
    </row>
    <row r="5" spans="1:12" ht="11.25" customHeight="1" x14ac:dyDescent="0.25">
      <c r="A5" s="54" t="s">
        <v>1806</v>
      </c>
      <c r="B5" s="948"/>
      <c r="C5" s="76"/>
      <c r="D5" s="76"/>
      <c r="E5" s="77"/>
      <c r="F5" s="78"/>
      <c r="G5" s="76"/>
      <c r="H5" s="332"/>
      <c r="I5" s="359"/>
      <c r="J5" s="75"/>
      <c r="K5" s="76"/>
      <c r="L5" s="77"/>
    </row>
    <row r="6" spans="1:12" ht="12" customHeight="1" x14ac:dyDescent="0.25">
      <c r="A6" s="1368" t="s">
        <v>964</v>
      </c>
      <c r="B6" s="948">
        <v>1</v>
      </c>
      <c r="C6" s="1316"/>
      <c r="D6" s="1316"/>
      <c r="E6" s="1325"/>
      <c r="F6" s="1326"/>
      <c r="G6" s="1316"/>
      <c r="H6" s="1317"/>
      <c r="I6" s="1328"/>
      <c r="J6" s="1327"/>
      <c r="K6" s="1316"/>
      <c r="L6" s="1325"/>
    </row>
    <row r="7" spans="1:12" ht="11.25" customHeight="1" x14ac:dyDescent="0.25">
      <c r="A7" s="1642"/>
      <c r="B7" s="948"/>
      <c r="C7" s="1316"/>
      <c r="D7" s="1316"/>
      <c r="E7" s="1325"/>
      <c r="F7" s="1326"/>
      <c r="G7" s="1316"/>
      <c r="H7" s="1317"/>
      <c r="I7" s="1328"/>
      <c r="J7" s="1327"/>
      <c r="K7" s="1316"/>
      <c r="L7" s="1325"/>
    </row>
    <row r="8" spans="1:12" ht="11.25" customHeight="1" x14ac:dyDescent="0.25">
      <c r="A8" s="1642"/>
      <c r="B8" s="948"/>
      <c r="C8" s="1316"/>
      <c r="D8" s="1316"/>
      <c r="E8" s="1325"/>
      <c r="F8" s="1326"/>
      <c r="G8" s="1316"/>
      <c r="H8" s="1317"/>
      <c r="I8" s="1328"/>
      <c r="J8" s="1327"/>
      <c r="K8" s="1316"/>
      <c r="L8" s="1325"/>
    </row>
    <row r="9" spans="1:12" ht="11.25" customHeight="1" x14ac:dyDescent="0.25">
      <c r="A9" s="175" t="s">
        <v>1808</v>
      </c>
      <c r="B9" s="1059"/>
      <c r="C9" s="122">
        <f>SUM(C6:C8)</f>
        <v>0</v>
      </c>
      <c r="D9" s="122">
        <f t="shared" ref="D9:L9" si="0">SUM(D6:D8)</f>
        <v>0</v>
      </c>
      <c r="E9" s="123">
        <f t="shared" si="0"/>
        <v>0</v>
      </c>
      <c r="F9" s="124">
        <f t="shared" si="0"/>
        <v>0</v>
      </c>
      <c r="G9" s="122">
        <f t="shared" si="0"/>
        <v>0</v>
      </c>
      <c r="H9" s="1082">
        <f t="shared" si="0"/>
        <v>0</v>
      </c>
      <c r="I9" s="1086">
        <f t="shared" si="0"/>
        <v>0</v>
      </c>
      <c r="J9" s="121">
        <f t="shared" si="0"/>
        <v>0</v>
      </c>
      <c r="K9" s="122">
        <f t="shared" si="0"/>
        <v>0</v>
      </c>
      <c r="L9" s="123">
        <f t="shared" si="0"/>
        <v>0</v>
      </c>
    </row>
    <row r="10" spans="1:12" ht="6" customHeight="1" x14ac:dyDescent="0.25">
      <c r="A10" s="74"/>
      <c r="B10" s="948"/>
      <c r="C10" s="76"/>
      <c r="D10" s="76"/>
      <c r="E10" s="77"/>
      <c r="F10" s="78"/>
      <c r="G10" s="76"/>
      <c r="H10" s="332"/>
      <c r="I10" s="359"/>
      <c r="J10" s="75"/>
      <c r="K10" s="76"/>
      <c r="L10" s="77"/>
    </row>
    <row r="11" spans="1:12" ht="11.25" customHeight="1" x14ac:dyDescent="0.25">
      <c r="A11" s="54" t="s">
        <v>1809</v>
      </c>
      <c r="B11" s="948"/>
      <c r="C11" s="76"/>
      <c r="D11" s="76"/>
      <c r="E11" s="77"/>
      <c r="F11" s="78"/>
      <c r="G11" s="76"/>
      <c r="H11" s="332"/>
      <c r="I11" s="359"/>
      <c r="J11" s="75"/>
      <c r="K11" s="76"/>
      <c r="L11" s="77"/>
    </row>
    <row r="12" spans="1:12" ht="11.25" customHeight="1" x14ac:dyDescent="0.25">
      <c r="A12" s="1773" t="str">
        <f>$A$6</f>
        <v>Insert description</v>
      </c>
      <c r="B12" s="948">
        <v>2</v>
      </c>
      <c r="C12" s="1316"/>
      <c r="D12" s="1316"/>
      <c r="E12" s="1325"/>
      <c r="F12" s="1326"/>
      <c r="G12" s="1316"/>
      <c r="H12" s="1317"/>
      <c r="I12" s="1328"/>
      <c r="J12" s="1327"/>
      <c r="K12" s="1316"/>
      <c r="L12" s="1325"/>
    </row>
    <row r="13" spans="1:12" ht="11.25" customHeight="1" x14ac:dyDescent="0.25">
      <c r="A13" s="1369"/>
      <c r="B13" s="948"/>
      <c r="C13" s="1316"/>
      <c r="D13" s="1316"/>
      <c r="E13" s="1325"/>
      <c r="F13" s="1326"/>
      <c r="G13" s="1316"/>
      <c r="H13" s="1317"/>
      <c r="I13" s="1328"/>
      <c r="J13" s="1327"/>
      <c r="K13" s="1316"/>
      <c r="L13" s="1325"/>
    </row>
    <row r="14" spans="1:12" ht="11.25" customHeight="1" x14ac:dyDescent="0.25">
      <c r="A14" s="1369"/>
      <c r="B14" s="948"/>
      <c r="C14" s="1316"/>
      <c r="D14" s="1316"/>
      <c r="E14" s="1325"/>
      <c r="F14" s="1326"/>
      <c r="G14" s="1316"/>
      <c r="H14" s="1317"/>
      <c r="I14" s="1328"/>
      <c r="J14" s="1327"/>
      <c r="K14" s="1316"/>
      <c r="L14" s="1325"/>
    </row>
    <row r="15" spans="1:12" ht="11.25" customHeight="1" x14ac:dyDescent="0.25">
      <c r="A15" s="175" t="s">
        <v>1810</v>
      </c>
      <c r="B15" s="1059"/>
      <c r="C15" s="122">
        <f>SUM(C12:C14)</f>
        <v>0</v>
      </c>
      <c r="D15" s="122">
        <f t="shared" ref="D15:L15" si="1">SUM(D12:D14)</f>
        <v>0</v>
      </c>
      <c r="E15" s="123">
        <f t="shared" si="1"/>
        <v>0</v>
      </c>
      <c r="F15" s="124">
        <f t="shared" si="1"/>
        <v>0</v>
      </c>
      <c r="G15" s="122">
        <f t="shared" si="1"/>
        <v>0</v>
      </c>
      <c r="H15" s="1082">
        <f t="shared" si="1"/>
        <v>0</v>
      </c>
      <c r="I15" s="1086">
        <f t="shared" si="1"/>
        <v>0</v>
      </c>
      <c r="J15" s="121">
        <f t="shared" si="1"/>
        <v>0</v>
      </c>
      <c r="K15" s="122">
        <f t="shared" si="1"/>
        <v>0</v>
      </c>
      <c r="L15" s="123">
        <f t="shared" si="1"/>
        <v>0</v>
      </c>
    </row>
    <row r="16" spans="1:12" x14ac:dyDescent="0.25">
      <c r="A16" s="118"/>
      <c r="B16" s="948"/>
      <c r="C16" s="86"/>
      <c r="D16" s="86"/>
      <c r="E16" s="87"/>
      <c r="F16" s="88"/>
      <c r="G16" s="86"/>
      <c r="H16" s="823"/>
      <c r="I16" s="222"/>
      <c r="J16" s="85"/>
      <c r="K16" s="86"/>
      <c r="L16" s="87"/>
    </row>
    <row r="17" spans="1:12" ht="11.25" customHeight="1" x14ac:dyDescent="0.25">
      <c r="A17" s="54" t="s">
        <v>1811</v>
      </c>
      <c r="B17" s="948"/>
      <c r="C17" s="76"/>
      <c r="D17" s="76"/>
      <c r="E17" s="77"/>
      <c r="F17" s="78"/>
      <c r="G17" s="76"/>
      <c r="H17" s="332"/>
      <c r="I17" s="359"/>
      <c r="J17" s="75"/>
      <c r="K17" s="76"/>
      <c r="L17" s="77"/>
    </row>
    <row r="18" spans="1:12" ht="11.25" customHeight="1" x14ac:dyDescent="0.25">
      <c r="A18" s="1773" t="str">
        <f>$A$6</f>
        <v>Insert description</v>
      </c>
      <c r="B18" s="948">
        <v>3</v>
      </c>
      <c r="C18" s="1316"/>
      <c r="D18" s="1316"/>
      <c r="E18" s="1325"/>
      <c r="F18" s="1326"/>
      <c r="G18" s="1316"/>
      <c r="H18" s="1317"/>
      <c r="I18" s="1328"/>
      <c r="J18" s="1327"/>
      <c r="K18" s="1316"/>
      <c r="L18" s="1325"/>
    </row>
    <row r="19" spans="1:12" ht="11.25" customHeight="1" x14ac:dyDescent="0.25">
      <c r="A19" s="1369"/>
      <c r="B19" s="948"/>
      <c r="C19" s="1316"/>
      <c r="D19" s="1316"/>
      <c r="E19" s="1325"/>
      <c r="F19" s="1326"/>
      <c r="G19" s="1316"/>
      <c r="H19" s="1317"/>
      <c r="I19" s="1328"/>
      <c r="J19" s="1327"/>
      <c r="K19" s="1316"/>
      <c r="L19" s="1325"/>
    </row>
    <row r="20" spans="1:12" ht="11.25" customHeight="1" x14ac:dyDescent="0.25">
      <c r="A20" s="1369"/>
      <c r="B20" s="948"/>
      <c r="C20" s="1316"/>
      <c r="D20" s="1316"/>
      <c r="E20" s="1325"/>
      <c r="F20" s="1326"/>
      <c r="G20" s="1316"/>
      <c r="H20" s="1317"/>
      <c r="I20" s="1328"/>
      <c r="J20" s="1327"/>
      <c r="K20" s="1316"/>
      <c r="L20" s="1325"/>
    </row>
    <row r="21" spans="1:12" ht="11.25" customHeight="1" x14ac:dyDescent="0.25">
      <c r="A21" s="175" t="s">
        <v>1812</v>
      </c>
      <c r="B21" s="1059"/>
      <c r="C21" s="122">
        <f>SUM(C18:C20)</f>
        <v>0</v>
      </c>
      <c r="D21" s="122">
        <f t="shared" ref="D21:L21" si="2">SUM(D18:D20)</f>
        <v>0</v>
      </c>
      <c r="E21" s="123">
        <f t="shared" si="2"/>
        <v>0</v>
      </c>
      <c r="F21" s="124">
        <f t="shared" si="2"/>
        <v>0</v>
      </c>
      <c r="G21" s="122">
        <f t="shared" si="2"/>
        <v>0</v>
      </c>
      <c r="H21" s="1082">
        <f t="shared" si="2"/>
        <v>0</v>
      </c>
      <c r="I21" s="1086">
        <f t="shared" si="2"/>
        <v>0</v>
      </c>
      <c r="J21" s="121">
        <f t="shared" si="2"/>
        <v>0</v>
      </c>
      <c r="K21" s="122">
        <f>SUM(K18:K20)</f>
        <v>0</v>
      </c>
      <c r="L21" s="123">
        <f t="shared" si="2"/>
        <v>0</v>
      </c>
    </row>
    <row r="22" spans="1:12" ht="11.25" customHeight="1" x14ac:dyDescent="0.25">
      <c r="A22" s="118"/>
      <c r="B22" s="948"/>
      <c r="C22" s="86"/>
      <c r="D22" s="86"/>
      <c r="E22" s="87"/>
      <c r="F22" s="88"/>
      <c r="G22" s="86"/>
      <c r="H22" s="823"/>
      <c r="I22" s="222"/>
      <c r="J22" s="85"/>
      <c r="K22" s="86"/>
      <c r="L22" s="87"/>
    </row>
    <row r="23" spans="1:12" ht="11.25" customHeight="1" x14ac:dyDescent="0.25">
      <c r="A23" s="54" t="s">
        <v>1813</v>
      </c>
      <c r="B23" s="948"/>
      <c r="C23" s="76"/>
      <c r="D23" s="76"/>
      <c r="E23" s="77"/>
      <c r="F23" s="78"/>
      <c r="G23" s="76"/>
      <c r="H23" s="332"/>
      <c r="I23" s="359"/>
      <c r="J23" s="75"/>
      <c r="K23" s="76"/>
      <c r="L23" s="77"/>
    </row>
    <row r="24" spans="1:12" ht="11.25" customHeight="1" x14ac:dyDescent="0.25">
      <c r="A24" s="1773" t="str">
        <f>$A$6</f>
        <v>Insert description</v>
      </c>
      <c r="B24" s="948"/>
      <c r="C24" s="1316"/>
      <c r="D24" s="1316"/>
      <c r="E24" s="1325"/>
      <c r="F24" s="1326">
        <v>239188.76</v>
      </c>
      <c r="G24" s="1316">
        <v>202593.76</v>
      </c>
      <c r="H24" s="1317">
        <v>202593.76</v>
      </c>
      <c r="I24" s="1328">
        <v>202593.76</v>
      </c>
      <c r="J24" s="1327">
        <v>35394</v>
      </c>
      <c r="K24" s="1316">
        <f>J24*1.06</f>
        <v>37517.64</v>
      </c>
      <c r="L24" s="1325">
        <f>K24*1.06</f>
        <v>39768.698400000001</v>
      </c>
    </row>
    <row r="25" spans="1:12" ht="11.25" customHeight="1" x14ac:dyDescent="0.25">
      <c r="A25" s="1369"/>
      <c r="B25" s="948"/>
      <c r="C25" s="1316"/>
      <c r="D25" s="1316"/>
      <c r="E25" s="1325"/>
      <c r="F25" s="1326"/>
      <c r="G25" s="1316"/>
      <c r="H25" s="1317"/>
      <c r="I25" s="1328"/>
      <c r="J25" s="1327"/>
      <c r="K25" s="1316"/>
      <c r="L25" s="1325"/>
    </row>
    <row r="26" spans="1:12" ht="12" customHeight="1" x14ac:dyDescent="0.25">
      <c r="A26" s="894" t="s">
        <v>1814</v>
      </c>
      <c r="B26" s="1059"/>
      <c r="C26" s="122">
        <f t="shared" ref="C26:L26" si="3">SUM(C24:C25)</f>
        <v>0</v>
      </c>
      <c r="D26" s="122">
        <f t="shared" si="3"/>
        <v>0</v>
      </c>
      <c r="E26" s="123">
        <f t="shared" si="3"/>
        <v>0</v>
      </c>
      <c r="F26" s="124">
        <f t="shared" si="3"/>
        <v>239188.76</v>
      </c>
      <c r="G26" s="122">
        <f t="shared" si="3"/>
        <v>202593.76</v>
      </c>
      <c r="H26" s="1082">
        <f t="shared" si="3"/>
        <v>202593.76</v>
      </c>
      <c r="I26" s="1086">
        <f t="shared" si="3"/>
        <v>202593.76</v>
      </c>
      <c r="J26" s="121">
        <f t="shared" si="3"/>
        <v>35394</v>
      </c>
      <c r="K26" s="122">
        <f t="shared" si="3"/>
        <v>37517.64</v>
      </c>
      <c r="L26" s="123">
        <f t="shared" si="3"/>
        <v>39768.698400000001</v>
      </c>
    </row>
    <row r="27" spans="1:12" ht="12" customHeight="1" x14ac:dyDescent="0.25">
      <c r="A27" s="145"/>
      <c r="B27" s="948"/>
      <c r="C27" s="86"/>
      <c r="D27" s="86"/>
      <c r="E27" s="87"/>
      <c r="F27" s="88"/>
      <c r="G27" s="86"/>
      <c r="H27" s="823"/>
      <c r="I27" s="222"/>
      <c r="J27" s="85"/>
      <c r="K27" s="86"/>
      <c r="L27" s="87"/>
    </row>
    <row r="28" spans="1:12" x14ac:dyDescent="0.25">
      <c r="A28" s="54" t="s">
        <v>1815</v>
      </c>
      <c r="B28" s="948"/>
      <c r="C28" s="76"/>
      <c r="D28" s="76"/>
      <c r="E28" s="77"/>
      <c r="F28" s="78"/>
      <c r="G28" s="76"/>
      <c r="H28" s="332"/>
      <c r="I28" s="359"/>
      <c r="J28" s="75"/>
      <c r="K28" s="76"/>
      <c r="L28" s="77"/>
    </row>
    <row r="29" spans="1:12" ht="11.25" customHeight="1" x14ac:dyDescent="0.25">
      <c r="A29" s="1773" t="str">
        <f>$A$6</f>
        <v>Insert description</v>
      </c>
      <c r="B29" s="948"/>
      <c r="C29" s="1316"/>
      <c r="D29" s="1316"/>
      <c r="E29" s="1325"/>
      <c r="F29" s="1326"/>
      <c r="G29" s="1316"/>
      <c r="H29" s="1317"/>
      <c r="I29" s="1328"/>
      <c r="J29" s="1327"/>
      <c r="K29" s="1316"/>
      <c r="L29" s="1325"/>
    </row>
    <row r="30" spans="1:12" ht="11.25" customHeight="1" x14ac:dyDescent="0.25">
      <c r="A30" s="1369"/>
      <c r="B30" s="948"/>
      <c r="C30" s="1316"/>
      <c r="D30" s="1316"/>
      <c r="E30" s="1325"/>
      <c r="F30" s="1326"/>
      <c r="G30" s="1316"/>
      <c r="H30" s="1317"/>
      <c r="I30" s="1328"/>
      <c r="J30" s="1327"/>
      <c r="K30" s="1316"/>
      <c r="L30" s="1325"/>
    </row>
    <row r="31" spans="1:12" ht="11.25" customHeight="1" x14ac:dyDescent="0.25">
      <c r="A31" s="894" t="s">
        <v>1816</v>
      </c>
      <c r="B31" s="1059"/>
      <c r="C31" s="122">
        <f t="shared" ref="C31:L31" si="4">SUM(C29:C30)</f>
        <v>0</v>
      </c>
      <c r="D31" s="122">
        <f t="shared" si="4"/>
        <v>0</v>
      </c>
      <c r="E31" s="123">
        <f t="shared" si="4"/>
        <v>0</v>
      </c>
      <c r="F31" s="124">
        <f t="shared" si="4"/>
        <v>0</v>
      </c>
      <c r="G31" s="122">
        <f t="shared" si="4"/>
        <v>0</v>
      </c>
      <c r="H31" s="1082">
        <f t="shared" si="4"/>
        <v>0</v>
      </c>
      <c r="I31" s="1086">
        <f t="shared" si="4"/>
        <v>0</v>
      </c>
      <c r="J31" s="121">
        <f t="shared" si="4"/>
        <v>0</v>
      </c>
      <c r="K31" s="122">
        <f t="shared" si="4"/>
        <v>0</v>
      </c>
      <c r="L31" s="123">
        <f t="shared" si="4"/>
        <v>0</v>
      </c>
    </row>
    <row r="32" spans="1:12" ht="15" customHeight="1" x14ac:dyDescent="0.25">
      <c r="A32" s="92" t="s">
        <v>1807</v>
      </c>
      <c r="B32" s="1060">
        <v>6</v>
      </c>
      <c r="C32" s="95">
        <f t="shared" ref="C32:L32" si="5">C9+C15+C21+C26+C31</f>
        <v>0</v>
      </c>
      <c r="D32" s="95">
        <f t="shared" si="5"/>
        <v>0</v>
      </c>
      <c r="E32" s="96">
        <f t="shared" si="5"/>
        <v>0</v>
      </c>
      <c r="F32" s="97">
        <f t="shared" si="5"/>
        <v>239188.76</v>
      </c>
      <c r="G32" s="95">
        <f t="shared" si="5"/>
        <v>202593.76</v>
      </c>
      <c r="H32" s="1083">
        <f t="shared" si="5"/>
        <v>202593.76</v>
      </c>
      <c r="I32" s="1087">
        <f t="shared" si="5"/>
        <v>202593.76</v>
      </c>
      <c r="J32" s="94">
        <f t="shared" si="5"/>
        <v>35394</v>
      </c>
      <c r="K32" s="95">
        <f t="shared" si="5"/>
        <v>37517.64</v>
      </c>
      <c r="L32" s="96">
        <f t="shared" si="5"/>
        <v>39768.698400000001</v>
      </c>
    </row>
    <row r="33" spans="1:12" ht="7.5" customHeight="1" x14ac:dyDescent="0.25">
      <c r="A33" s="1080"/>
      <c r="B33" s="228"/>
      <c r="C33" s="479"/>
      <c r="D33" s="479"/>
      <c r="E33" s="479"/>
      <c r="F33" s="479"/>
      <c r="G33" s="479"/>
      <c r="H33" s="479"/>
      <c r="I33" s="1088"/>
      <c r="J33" s="479"/>
      <c r="K33" s="479"/>
      <c r="L33" s="479"/>
    </row>
    <row r="34" spans="1:12" ht="11.25" customHeight="1" x14ac:dyDescent="0.25">
      <c r="A34" s="566" t="s">
        <v>1916</v>
      </c>
      <c r="B34" s="1081"/>
      <c r="C34" s="226"/>
      <c r="D34" s="226"/>
      <c r="E34" s="724"/>
      <c r="F34" s="725"/>
      <c r="G34" s="226"/>
      <c r="H34" s="1084"/>
      <c r="I34" s="1089"/>
      <c r="J34" s="726"/>
      <c r="K34" s="226"/>
      <c r="L34" s="724"/>
    </row>
    <row r="35" spans="1:12" ht="11.25" customHeight="1" x14ac:dyDescent="0.25">
      <c r="A35" s="1368" t="s">
        <v>964</v>
      </c>
      <c r="B35" s="948">
        <v>1</v>
      </c>
      <c r="C35" s="1316"/>
      <c r="D35" s="1316"/>
      <c r="E35" s="1325"/>
      <c r="F35" s="1326"/>
      <c r="G35" s="1316"/>
      <c r="H35" s="1317"/>
      <c r="I35" s="1328"/>
      <c r="J35" s="1327"/>
      <c r="K35" s="1316"/>
      <c r="L35" s="1325"/>
    </row>
    <row r="36" spans="1:12" ht="11.25" customHeight="1" x14ac:dyDescent="0.25">
      <c r="A36" s="1642"/>
      <c r="B36" s="948"/>
      <c r="C36" s="1316"/>
      <c r="D36" s="1316"/>
      <c r="E36" s="1325"/>
      <c r="F36" s="1326"/>
      <c r="G36" s="1316"/>
      <c r="H36" s="1317"/>
      <c r="I36" s="1328"/>
      <c r="J36" s="1327"/>
      <c r="K36" s="1316"/>
      <c r="L36" s="1325"/>
    </row>
    <row r="37" spans="1:12" ht="11.25" customHeight="1" x14ac:dyDescent="0.25">
      <c r="A37" s="1642"/>
      <c r="B37" s="948"/>
      <c r="C37" s="1316"/>
      <c r="D37" s="1316"/>
      <c r="E37" s="1325"/>
      <c r="F37" s="1326"/>
      <c r="G37" s="1316"/>
      <c r="H37" s="1317"/>
      <c r="I37" s="1328"/>
      <c r="J37" s="1327"/>
      <c r="K37" s="1316"/>
      <c r="L37" s="1325"/>
    </row>
    <row r="38" spans="1:12" ht="11.25" customHeight="1" x14ac:dyDescent="0.25">
      <c r="A38" s="175" t="s">
        <v>1917</v>
      </c>
      <c r="B38" s="1059"/>
      <c r="C38" s="122">
        <f>SUM(C35:C37)</f>
        <v>0</v>
      </c>
      <c r="D38" s="122">
        <f t="shared" ref="D38:L38" si="6">SUM(D35:D37)</f>
        <v>0</v>
      </c>
      <c r="E38" s="123">
        <f t="shared" si="6"/>
        <v>0</v>
      </c>
      <c r="F38" s="124">
        <f t="shared" si="6"/>
        <v>0</v>
      </c>
      <c r="G38" s="122">
        <f t="shared" si="6"/>
        <v>0</v>
      </c>
      <c r="H38" s="1082">
        <f t="shared" si="6"/>
        <v>0</v>
      </c>
      <c r="I38" s="1086">
        <f t="shared" si="6"/>
        <v>0</v>
      </c>
      <c r="J38" s="121">
        <f t="shared" si="6"/>
        <v>0</v>
      </c>
      <c r="K38" s="122">
        <f t="shared" si="6"/>
        <v>0</v>
      </c>
      <c r="L38" s="123">
        <f t="shared" si="6"/>
        <v>0</v>
      </c>
    </row>
    <row r="39" spans="1:12" ht="11.25" customHeight="1" x14ac:dyDescent="0.25">
      <c r="A39" s="74"/>
      <c r="B39" s="948"/>
      <c r="C39" s="76"/>
      <c r="D39" s="76"/>
      <c r="E39" s="77"/>
      <c r="F39" s="78"/>
      <c r="G39" s="76"/>
      <c r="H39" s="332"/>
      <c r="I39" s="359"/>
      <c r="J39" s="75"/>
      <c r="K39" s="76"/>
      <c r="L39" s="77"/>
    </row>
    <row r="40" spans="1:12" ht="11.25" customHeight="1" x14ac:dyDescent="0.25">
      <c r="A40" s="54" t="s">
        <v>1918</v>
      </c>
      <c r="B40" s="948"/>
      <c r="C40" s="76"/>
      <c r="D40" s="76"/>
      <c r="E40" s="77"/>
      <c r="F40" s="78"/>
      <c r="G40" s="76"/>
      <c r="H40" s="332"/>
      <c r="I40" s="359"/>
      <c r="J40" s="75"/>
      <c r="K40" s="76"/>
      <c r="L40" s="77"/>
    </row>
    <row r="41" spans="1:12" ht="11.25" customHeight="1" x14ac:dyDescent="0.25">
      <c r="A41" s="1773" t="str">
        <f>$A$6</f>
        <v>Insert description</v>
      </c>
      <c r="B41" s="948">
        <v>2</v>
      </c>
      <c r="C41" s="1316"/>
      <c r="D41" s="1316"/>
      <c r="E41" s="1325"/>
      <c r="F41" s="1326"/>
      <c r="G41" s="1316"/>
      <c r="H41" s="1317"/>
      <c r="I41" s="1328"/>
      <c r="J41" s="1327"/>
      <c r="K41" s="1316"/>
      <c r="L41" s="1325"/>
    </row>
    <row r="42" spans="1:12" ht="11.25" customHeight="1" x14ac:dyDescent="0.25">
      <c r="A42" s="1369"/>
      <c r="B42" s="948"/>
      <c r="C42" s="1316"/>
      <c r="D42" s="1316"/>
      <c r="E42" s="1325"/>
      <c r="F42" s="1326"/>
      <c r="G42" s="1316"/>
      <c r="H42" s="1317"/>
      <c r="I42" s="1328"/>
      <c r="J42" s="1327"/>
      <c r="K42" s="1316"/>
      <c r="L42" s="1325"/>
    </row>
    <row r="43" spans="1:12" ht="11.25" customHeight="1" x14ac:dyDescent="0.25">
      <c r="A43" s="1369"/>
      <c r="B43" s="948"/>
      <c r="C43" s="1316"/>
      <c r="D43" s="1316"/>
      <c r="E43" s="1325"/>
      <c r="F43" s="1326"/>
      <c r="G43" s="1316"/>
      <c r="H43" s="1317"/>
      <c r="I43" s="1328"/>
      <c r="J43" s="1327"/>
      <c r="K43" s="1316"/>
      <c r="L43" s="1325"/>
    </row>
    <row r="44" spans="1:12" ht="11.25" customHeight="1" x14ac:dyDescent="0.25">
      <c r="A44" s="175" t="s">
        <v>1919</v>
      </c>
      <c r="B44" s="1059"/>
      <c r="C44" s="122">
        <f>SUM(C41:C43)</f>
        <v>0</v>
      </c>
      <c r="D44" s="122">
        <f t="shared" ref="D44:L44" si="7">SUM(D41:D43)</f>
        <v>0</v>
      </c>
      <c r="E44" s="123">
        <f t="shared" si="7"/>
        <v>0</v>
      </c>
      <c r="F44" s="124">
        <f t="shared" si="7"/>
        <v>0</v>
      </c>
      <c r="G44" s="122">
        <f t="shared" si="7"/>
        <v>0</v>
      </c>
      <c r="H44" s="1082">
        <f t="shared" si="7"/>
        <v>0</v>
      </c>
      <c r="I44" s="1086">
        <f t="shared" si="7"/>
        <v>0</v>
      </c>
      <c r="J44" s="121">
        <f t="shared" si="7"/>
        <v>0</v>
      </c>
      <c r="K44" s="122">
        <f t="shared" si="7"/>
        <v>0</v>
      </c>
      <c r="L44" s="123">
        <f t="shared" si="7"/>
        <v>0</v>
      </c>
    </row>
    <row r="45" spans="1:12" ht="11.25" customHeight="1" x14ac:dyDescent="0.25">
      <c r="A45" s="118"/>
      <c r="B45" s="948"/>
      <c r="C45" s="86"/>
      <c r="D45" s="86"/>
      <c r="E45" s="87"/>
      <c r="F45" s="88"/>
      <c r="G45" s="86"/>
      <c r="H45" s="823"/>
      <c r="I45" s="222"/>
      <c r="J45" s="85"/>
      <c r="K45" s="86"/>
      <c r="L45" s="87"/>
    </row>
    <row r="46" spans="1:12" ht="11.25" customHeight="1" x14ac:dyDescent="0.25">
      <c r="A46" s="54" t="s">
        <v>1920</v>
      </c>
      <c r="B46" s="948"/>
      <c r="C46" s="76"/>
      <c r="D46" s="76"/>
      <c r="E46" s="77"/>
      <c r="F46" s="78"/>
      <c r="G46" s="76"/>
      <c r="H46" s="332"/>
      <c r="I46" s="359"/>
      <c r="J46" s="75"/>
      <c r="K46" s="76"/>
      <c r="L46" s="77"/>
    </row>
    <row r="47" spans="1:12" ht="11.25" customHeight="1" x14ac:dyDescent="0.25">
      <c r="A47" s="1773" t="str">
        <f>$A$6</f>
        <v>Insert description</v>
      </c>
      <c r="B47" s="948">
        <v>3</v>
      </c>
      <c r="C47" s="1316"/>
      <c r="D47" s="1316"/>
      <c r="E47" s="1325"/>
      <c r="F47" s="1326"/>
      <c r="G47" s="1316"/>
      <c r="H47" s="1317"/>
      <c r="I47" s="1328"/>
      <c r="J47" s="1327"/>
      <c r="K47" s="1316"/>
      <c r="L47" s="1325"/>
    </row>
    <row r="48" spans="1:12" ht="11.25" customHeight="1" x14ac:dyDescent="0.25">
      <c r="A48" s="1369"/>
      <c r="B48" s="948"/>
      <c r="C48" s="1316"/>
      <c r="D48" s="1316"/>
      <c r="E48" s="1325"/>
      <c r="F48" s="1326"/>
      <c r="G48" s="1316"/>
      <c r="H48" s="1317"/>
      <c r="I48" s="1328"/>
      <c r="J48" s="1327"/>
      <c r="K48" s="1316"/>
      <c r="L48" s="1325"/>
    </row>
    <row r="49" spans="1:12" ht="11.25" customHeight="1" x14ac:dyDescent="0.25">
      <c r="A49" s="1369"/>
      <c r="B49" s="948"/>
      <c r="C49" s="1316"/>
      <c r="D49" s="1316"/>
      <c r="E49" s="1325"/>
      <c r="F49" s="1326"/>
      <c r="G49" s="1316"/>
      <c r="H49" s="1317"/>
      <c r="I49" s="1328"/>
      <c r="J49" s="1327"/>
      <c r="K49" s="1316"/>
      <c r="L49" s="1325"/>
    </row>
    <row r="50" spans="1:12" ht="11.25" customHeight="1" x14ac:dyDescent="0.25">
      <c r="A50" s="175" t="s">
        <v>1921</v>
      </c>
      <c r="B50" s="1059"/>
      <c r="C50" s="122">
        <f>SUM(C47:C49)</f>
        <v>0</v>
      </c>
      <c r="D50" s="122">
        <f t="shared" ref="D50:J50" si="8">SUM(D47:D49)</f>
        <v>0</v>
      </c>
      <c r="E50" s="123">
        <f t="shared" si="8"/>
        <v>0</v>
      </c>
      <c r="F50" s="124">
        <f t="shared" si="8"/>
        <v>0</v>
      </c>
      <c r="G50" s="122">
        <f t="shared" si="8"/>
        <v>0</v>
      </c>
      <c r="H50" s="1082">
        <f t="shared" si="8"/>
        <v>0</v>
      </c>
      <c r="I50" s="1086">
        <f t="shared" si="8"/>
        <v>0</v>
      </c>
      <c r="J50" s="121">
        <f t="shared" si="8"/>
        <v>0</v>
      </c>
      <c r="K50" s="122">
        <f>SUM(K47:K49)</f>
        <v>0</v>
      </c>
      <c r="L50" s="123">
        <f>SUM(L47:L49)</f>
        <v>0</v>
      </c>
    </row>
    <row r="51" spans="1:12" ht="11.25" customHeight="1" x14ac:dyDescent="0.25">
      <c r="A51" s="118"/>
      <c r="B51" s="948"/>
      <c r="C51" s="86"/>
      <c r="D51" s="86"/>
      <c r="E51" s="87"/>
      <c r="F51" s="88"/>
      <c r="G51" s="86"/>
      <c r="H51" s="823"/>
      <c r="I51" s="222"/>
      <c r="J51" s="85"/>
      <c r="K51" s="86"/>
      <c r="L51" s="87"/>
    </row>
    <row r="52" spans="1:12" ht="11.25" customHeight="1" x14ac:dyDescent="0.25">
      <c r="A52" s="54" t="s">
        <v>1922</v>
      </c>
      <c r="B52" s="948"/>
      <c r="C52" s="76"/>
      <c r="D52" s="76"/>
      <c r="E52" s="77"/>
      <c r="F52" s="78"/>
      <c r="G52" s="76"/>
      <c r="H52" s="332"/>
      <c r="I52" s="359"/>
      <c r="J52" s="75"/>
      <c r="K52" s="76"/>
      <c r="L52" s="77"/>
    </row>
    <row r="53" spans="1:12" ht="11.25" customHeight="1" x14ac:dyDescent="0.25">
      <c r="A53" s="1773" t="str">
        <f>$A$6</f>
        <v>Insert description</v>
      </c>
      <c r="B53" s="948">
        <v>4</v>
      </c>
      <c r="C53" s="1316"/>
      <c r="D53" s="1316"/>
      <c r="E53" s="1325"/>
      <c r="F53" s="1326"/>
      <c r="G53" s="1316"/>
      <c r="H53" s="1317"/>
      <c r="I53" s="1328"/>
      <c r="J53" s="1327"/>
      <c r="K53" s="1316"/>
      <c r="L53" s="1325"/>
    </row>
    <row r="54" spans="1:12" ht="11.25" customHeight="1" x14ac:dyDescent="0.25">
      <c r="A54" s="1369"/>
      <c r="B54" s="948"/>
      <c r="C54" s="1316"/>
      <c r="D54" s="1316"/>
      <c r="E54" s="1325"/>
      <c r="F54" s="1326"/>
      <c r="G54" s="1316"/>
      <c r="H54" s="1317"/>
      <c r="I54" s="1328"/>
      <c r="J54" s="1327"/>
      <c r="K54" s="1316"/>
      <c r="L54" s="1325"/>
    </row>
    <row r="55" spans="1:12" ht="11.25" customHeight="1" x14ac:dyDescent="0.25">
      <c r="A55" s="1369"/>
      <c r="B55" s="948"/>
      <c r="C55" s="1316"/>
      <c r="D55" s="1316"/>
      <c r="E55" s="1325"/>
      <c r="F55" s="1326"/>
      <c r="G55" s="1316"/>
      <c r="H55" s="1317"/>
      <c r="I55" s="1328"/>
      <c r="J55" s="1327"/>
      <c r="K55" s="1316"/>
      <c r="L55" s="1325"/>
    </row>
    <row r="56" spans="1:12" ht="11.25" customHeight="1" x14ac:dyDescent="0.25">
      <c r="A56" s="894" t="s">
        <v>1923</v>
      </c>
      <c r="B56" s="1059"/>
      <c r="C56" s="122">
        <f>SUM(C53:C55)</f>
        <v>0</v>
      </c>
      <c r="D56" s="122">
        <f t="shared" ref="D56:J56" si="9">SUM(D53:D55)</f>
        <v>0</v>
      </c>
      <c r="E56" s="123">
        <f t="shared" si="9"/>
        <v>0</v>
      </c>
      <c r="F56" s="124">
        <f t="shared" si="9"/>
        <v>0</v>
      </c>
      <c r="G56" s="122">
        <f t="shared" si="9"/>
        <v>0</v>
      </c>
      <c r="H56" s="1082">
        <f t="shared" si="9"/>
        <v>0</v>
      </c>
      <c r="I56" s="1086">
        <f t="shared" si="9"/>
        <v>0</v>
      </c>
      <c r="J56" s="121">
        <f t="shared" si="9"/>
        <v>0</v>
      </c>
      <c r="K56" s="122">
        <f>SUM(K53:K55)</f>
        <v>0</v>
      </c>
      <c r="L56" s="123">
        <f>SUM(L53:L55)</f>
        <v>0</v>
      </c>
    </row>
    <row r="57" spans="1:12" ht="11.25" customHeight="1" x14ac:dyDescent="0.25">
      <c r="A57" s="145"/>
      <c r="B57" s="948"/>
      <c r="C57" s="86"/>
      <c r="D57" s="86"/>
      <c r="E57" s="87"/>
      <c r="F57" s="88"/>
      <c r="G57" s="86"/>
      <c r="H57" s="823"/>
      <c r="I57" s="222"/>
      <c r="J57" s="85"/>
      <c r="K57" s="86"/>
      <c r="L57" s="87"/>
    </row>
    <row r="58" spans="1:12" ht="11.25" customHeight="1" x14ac:dyDescent="0.25">
      <c r="A58" s="54" t="s">
        <v>1803</v>
      </c>
      <c r="B58" s="948"/>
      <c r="C58" s="76"/>
      <c r="D58" s="76"/>
      <c r="E58" s="77"/>
      <c r="F58" s="78"/>
      <c r="G58" s="76"/>
      <c r="H58" s="332"/>
      <c r="I58" s="359"/>
      <c r="J58" s="75"/>
      <c r="K58" s="76"/>
      <c r="L58" s="77"/>
    </row>
    <row r="59" spans="1:12" ht="11.25" customHeight="1" x14ac:dyDescent="0.25">
      <c r="A59" s="1773" t="str">
        <f>$A$6</f>
        <v>Insert description</v>
      </c>
      <c r="B59" s="948">
        <v>5</v>
      </c>
      <c r="C59" s="1316"/>
      <c r="D59" s="1316"/>
      <c r="E59" s="1325"/>
      <c r="F59" s="1326"/>
      <c r="G59" s="1316"/>
      <c r="H59" s="1317"/>
      <c r="I59" s="1328"/>
      <c r="J59" s="1327"/>
      <c r="K59" s="1316"/>
      <c r="L59" s="1325"/>
    </row>
    <row r="60" spans="1:12" ht="11.25" customHeight="1" x14ac:dyDescent="0.25">
      <c r="A60" s="1369"/>
      <c r="B60" s="948"/>
      <c r="C60" s="1316"/>
      <c r="D60" s="1316"/>
      <c r="E60" s="1325"/>
      <c r="F60" s="1326"/>
      <c r="G60" s="1316"/>
      <c r="H60" s="1317"/>
      <c r="I60" s="1328"/>
      <c r="J60" s="1327"/>
      <c r="K60" s="1316"/>
      <c r="L60" s="1325"/>
    </row>
    <row r="61" spans="1:12" ht="11.25" customHeight="1" x14ac:dyDescent="0.25">
      <c r="A61" s="1369"/>
      <c r="B61" s="948"/>
      <c r="C61" s="1316"/>
      <c r="D61" s="1316"/>
      <c r="E61" s="1325"/>
      <c r="F61" s="1326"/>
      <c r="G61" s="1316"/>
      <c r="H61" s="1317"/>
      <c r="I61" s="1328"/>
      <c r="J61" s="1327"/>
      <c r="K61" s="1316"/>
      <c r="L61" s="1325"/>
    </row>
    <row r="62" spans="1:12" ht="11.25" customHeight="1" x14ac:dyDescent="0.25">
      <c r="A62" s="894" t="s">
        <v>1924</v>
      </c>
      <c r="B62" s="1059"/>
      <c r="C62" s="122">
        <f t="shared" ref="C62:L62" si="10">SUM(C59:C61)</f>
        <v>0</v>
      </c>
      <c r="D62" s="122">
        <f t="shared" si="10"/>
        <v>0</v>
      </c>
      <c r="E62" s="123">
        <f t="shared" si="10"/>
        <v>0</v>
      </c>
      <c r="F62" s="124">
        <f t="shared" si="10"/>
        <v>0</v>
      </c>
      <c r="G62" s="122">
        <f t="shared" si="10"/>
        <v>0</v>
      </c>
      <c r="H62" s="1082">
        <f t="shared" si="10"/>
        <v>0</v>
      </c>
      <c r="I62" s="1086">
        <f t="shared" si="10"/>
        <v>0</v>
      </c>
      <c r="J62" s="121">
        <f t="shared" si="10"/>
        <v>0</v>
      </c>
      <c r="K62" s="122">
        <f t="shared" si="10"/>
        <v>0</v>
      </c>
      <c r="L62" s="123">
        <f t="shared" si="10"/>
        <v>0</v>
      </c>
    </row>
    <row r="63" spans="1:12" ht="15" customHeight="1" x14ac:dyDescent="0.25">
      <c r="A63" s="92" t="s">
        <v>1925</v>
      </c>
      <c r="B63" s="1060"/>
      <c r="C63" s="95">
        <f t="shared" ref="C63:L63" si="11">C38+C44+C50+C56+C62</f>
        <v>0</v>
      </c>
      <c r="D63" s="95">
        <f t="shared" si="11"/>
        <v>0</v>
      </c>
      <c r="E63" s="96">
        <f t="shared" si="11"/>
        <v>0</v>
      </c>
      <c r="F63" s="97">
        <f t="shared" si="11"/>
        <v>0</v>
      </c>
      <c r="G63" s="95">
        <f t="shared" si="11"/>
        <v>0</v>
      </c>
      <c r="H63" s="1083">
        <f t="shared" si="11"/>
        <v>0</v>
      </c>
      <c r="I63" s="1087">
        <f t="shared" si="11"/>
        <v>0</v>
      </c>
      <c r="J63" s="94">
        <f t="shared" si="11"/>
        <v>0</v>
      </c>
      <c r="K63" s="95">
        <f t="shared" si="11"/>
        <v>0</v>
      </c>
      <c r="L63" s="96">
        <f t="shared" si="11"/>
        <v>0</v>
      </c>
    </row>
    <row r="64" spans="1:12" ht="15" customHeight="1" x14ac:dyDescent="0.25">
      <c r="A64" s="92" t="s">
        <v>263</v>
      </c>
      <c r="B64" s="1060">
        <v>6</v>
      </c>
      <c r="C64" s="95">
        <f>C32+C63</f>
        <v>0</v>
      </c>
      <c r="D64" s="95">
        <f t="shared" ref="D64:L64" si="12">D32+D63</f>
        <v>0</v>
      </c>
      <c r="E64" s="96">
        <f t="shared" si="12"/>
        <v>0</v>
      </c>
      <c r="F64" s="97">
        <f t="shared" si="12"/>
        <v>239188.76</v>
      </c>
      <c r="G64" s="95">
        <f t="shared" si="12"/>
        <v>202593.76</v>
      </c>
      <c r="H64" s="1083">
        <f t="shared" si="12"/>
        <v>202593.76</v>
      </c>
      <c r="I64" s="1087">
        <f t="shared" si="12"/>
        <v>202593.76</v>
      </c>
      <c r="J64" s="94">
        <f t="shared" si="12"/>
        <v>35394</v>
      </c>
      <c r="K64" s="95">
        <f t="shared" si="12"/>
        <v>37517.64</v>
      </c>
      <c r="L64" s="96">
        <f t="shared" si="12"/>
        <v>39768.698400000001</v>
      </c>
    </row>
    <row r="65" spans="1:12" ht="11.25" customHeight="1" x14ac:dyDescent="0.25">
      <c r="A65" s="101" t="str">
        <f>head27a</f>
        <v>References</v>
      </c>
      <c r="C65" s="104"/>
      <c r="D65" s="104"/>
      <c r="E65" s="104"/>
      <c r="F65" s="104"/>
      <c r="G65" s="104"/>
      <c r="H65" s="104"/>
      <c r="I65" s="104"/>
      <c r="J65" s="104"/>
      <c r="K65" s="104"/>
      <c r="L65" s="104"/>
    </row>
    <row r="66" spans="1:12" x14ac:dyDescent="0.25">
      <c r="A66" s="106" t="s">
        <v>1181</v>
      </c>
    </row>
    <row r="67" spans="1:12" x14ac:dyDescent="0.25">
      <c r="A67" s="106" t="s">
        <v>1142</v>
      </c>
    </row>
    <row r="68" spans="1:12" x14ac:dyDescent="0.25">
      <c r="A68" s="106" t="s">
        <v>1236</v>
      </c>
    </row>
    <row r="69" spans="1:12" x14ac:dyDescent="0.25">
      <c r="A69" s="106" t="s">
        <v>1518</v>
      </c>
    </row>
    <row r="70" spans="1:12" x14ac:dyDescent="0.25">
      <c r="A70" s="106" t="s">
        <v>1805</v>
      </c>
    </row>
    <row r="71" spans="1:12" x14ac:dyDescent="0.25">
      <c r="A71" s="106" t="s">
        <v>1804</v>
      </c>
    </row>
  </sheetData>
  <mergeCells count="2">
    <mergeCell ref="J2:L2"/>
    <mergeCell ref="F2:I2"/>
  </mergeCells>
  <phoneticPr fontId="3" type="noConversion"/>
  <printOptions horizontalCentered="1"/>
  <pageMargins left="0" right="0" top="0.78740157480314965" bottom="0.59055118110236227" header="0.51181102362204722" footer="0.39370078740157483"/>
  <pageSetup paperSize="9" scale="72" orientation="portrait"/>
  <headerFooter alignWithMargins="0"/>
  <ignoredErrors>
    <ignoredError sqref="A18 A41 A47 A53 A59 A24 A29" unlocked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A1:K196"/>
  <sheetViews>
    <sheetView showGridLines="0" zoomScaleNormal="100" workbookViewId="0">
      <pane xSplit="2" ySplit="4" topLeftCell="C23" activePane="bottomRight" state="frozen"/>
      <selection pane="topRight"/>
      <selection pane="bottomLeft"/>
      <selection pane="bottomRight" activeCell="D6" sqref="D6"/>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customHeight="1" x14ac:dyDescent="0.25">
      <c r="A1" s="23" t="str">
        <f>muni&amp;" - "&amp;TableA22</f>
        <v>EC101 Dr Beyers Naude - Supporting Table SA22 Summary councillor and staff benefits</v>
      </c>
      <c r="B1" s="23"/>
      <c r="C1" s="23"/>
      <c r="D1" s="23"/>
      <c r="E1" s="23"/>
      <c r="F1" s="23"/>
      <c r="G1" s="23"/>
      <c r="H1" s="23"/>
      <c r="I1" s="23"/>
      <c r="J1" s="23"/>
      <c r="K1" s="23"/>
    </row>
    <row r="2" spans="1:11" ht="28.5" customHeight="1" x14ac:dyDescent="0.25">
      <c r="A2" s="614" t="s">
        <v>1459</v>
      </c>
      <c r="B2" s="220" t="str">
        <f>head27</f>
        <v>Ref</v>
      </c>
      <c r="C2" s="26" t="str">
        <f>head1b</f>
        <v>2015/16</v>
      </c>
      <c r="D2" s="475" t="str">
        <f>head1A</f>
        <v>2016/17</v>
      </c>
      <c r="E2" s="22" t="str">
        <f>Head1</f>
        <v>2017/18</v>
      </c>
      <c r="F2" s="1907" t="str">
        <f>Head2</f>
        <v>Current Year 2018/19</v>
      </c>
      <c r="G2" s="1908"/>
      <c r="H2" s="1912"/>
      <c r="I2" s="1905" t="str">
        <f>Head3</f>
        <v>2019/20 Medium Term Revenue &amp; Expenditure Framework</v>
      </c>
      <c r="J2" s="1905"/>
      <c r="K2" s="1906"/>
    </row>
    <row r="3" spans="1:11" ht="25.5" x14ac:dyDescent="0.25">
      <c r="A3" s="53" t="s">
        <v>573</v>
      </c>
      <c r="B3" s="619"/>
      <c r="C3" s="203" t="str">
        <f>Head5</f>
        <v>Audited Outcome</v>
      </c>
      <c r="D3" s="627" t="str">
        <f>Head5</f>
        <v>Audited Outcome</v>
      </c>
      <c r="E3" s="204" t="str">
        <f>Head5</f>
        <v>Audited Outcome</v>
      </c>
      <c r="F3" s="141" t="str">
        <f>Head6</f>
        <v>Original Budget</v>
      </c>
      <c r="G3" s="203" t="str">
        <f>Head7</f>
        <v>Adjusted Budget</v>
      </c>
      <c r="H3" s="204" t="str">
        <f>Head8</f>
        <v>Full Year Forecast</v>
      </c>
      <c r="I3" s="202" t="str">
        <f>Head9</f>
        <v>Budget Year 2019/20</v>
      </c>
      <c r="J3" s="203" t="str">
        <f>Head10</f>
        <v>Budget Year +1 2020/21</v>
      </c>
      <c r="K3" s="204" t="str">
        <f>Head11</f>
        <v>Budget Year +2 2021/22</v>
      </c>
    </row>
    <row r="4" spans="1:11" x14ac:dyDescent="0.25">
      <c r="A4" s="54"/>
      <c r="B4" s="55">
        <v>1</v>
      </c>
      <c r="C4" s="55" t="s">
        <v>346</v>
      </c>
      <c r="D4" s="55" t="s">
        <v>1183</v>
      </c>
      <c r="E4" s="356" t="s">
        <v>429</v>
      </c>
      <c r="F4" s="508" t="s">
        <v>475</v>
      </c>
      <c r="G4" s="55" t="s">
        <v>1376</v>
      </c>
      <c r="H4" s="356" t="s">
        <v>1377</v>
      </c>
      <c r="I4" s="102" t="s">
        <v>1378</v>
      </c>
      <c r="J4" s="55" t="s">
        <v>488</v>
      </c>
      <c r="K4" s="356" t="s">
        <v>489</v>
      </c>
    </row>
    <row r="5" spans="1:11" ht="11.25" customHeight="1" x14ac:dyDescent="0.25">
      <c r="A5" s="54" t="s">
        <v>658</v>
      </c>
      <c r="B5" s="55"/>
      <c r="C5" s="76"/>
      <c r="D5" s="76"/>
      <c r="E5" s="77"/>
      <c r="F5" s="78"/>
      <c r="G5" s="76"/>
      <c r="H5" s="77"/>
      <c r="I5" s="75"/>
      <c r="J5" s="76"/>
      <c r="K5" s="77"/>
    </row>
    <row r="6" spans="1:11" ht="11.25" customHeight="1" x14ac:dyDescent="0.25">
      <c r="A6" s="63" t="s">
        <v>1152</v>
      </c>
      <c r="B6" s="55"/>
      <c r="C6" s="1316"/>
      <c r="D6" s="1316"/>
      <c r="E6" s="1325"/>
      <c r="F6" s="1326"/>
      <c r="G6" s="1316"/>
      <c r="H6" s="1325"/>
      <c r="I6" s="1327"/>
      <c r="J6" s="1316"/>
      <c r="K6" s="1325"/>
    </row>
    <row r="7" spans="1:11" ht="11.25" customHeight="1" x14ac:dyDescent="0.25">
      <c r="A7" s="63" t="s">
        <v>1822</v>
      </c>
      <c r="B7" s="55"/>
      <c r="C7" s="1316"/>
      <c r="D7" s="1316"/>
      <c r="E7" s="1325"/>
      <c r="F7" s="1326"/>
      <c r="G7" s="1316"/>
      <c r="H7" s="1325"/>
      <c r="I7" s="1327"/>
      <c r="J7" s="1316"/>
      <c r="K7" s="1325"/>
    </row>
    <row r="8" spans="1:11" ht="11.25" customHeight="1" x14ac:dyDescent="0.25">
      <c r="A8" s="63" t="s">
        <v>659</v>
      </c>
      <c r="B8" s="55"/>
      <c r="C8" s="1316"/>
      <c r="D8" s="1316"/>
      <c r="E8" s="1325"/>
      <c r="F8" s="1326"/>
      <c r="G8" s="1316"/>
      <c r="H8" s="1325"/>
      <c r="I8" s="1327"/>
      <c r="J8" s="1316"/>
      <c r="K8" s="1325"/>
    </row>
    <row r="9" spans="1:11" ht="11.25" customHeight="1" x14ac:dyDescent="0.25">
      <c r="A9" s="63" t="s">
        <v>1970</v>
      </c>
      <c r="B9" s="55"/>
      <c r="C9" s="1316"/>
      <c r="D9" s="1316"/>
      <c r="E9" s="1325"/>
      <c r="F9" s="1326"/>
      <c r="G9" s="1316"/>
      <c r="H9" s="1325"/>
      <c r="I9" s="1327"/>
      <c r="J9" s="1316"/>
      <c r="K9" s="1325"/>
    </row>
    <row r="10" spans="1:11" ht="11.25" customHeight="1" x14ac:dyDescent="0.25">
      <c r="A10" s="63" t="s">
        <v>1823</v>
      </c>
      <c r="B10" s="55"/>
      <c r="C10" s="1316"/>
      <c r="D10" s="1316"/>
      <c r="E10" s="1325"/>
      <c r="F10" s="1326"/>
      <c r="G10" s="1316"/>
      <c r="H10" s="1325"/>
      <c r="I10" s="1327"/>
      <c r="J10" s="1316"/>
      <c r="K10" s="1325"/>
    </row>
    <row r="11" spans="1:11" ht="11.25" customHeight="1" x14ac:dyDescent="0.25">
      <c r="A11" s="63" t="s">
        <v>1971</v>
      </c>
      <c r="B11" s="55"/>
      <c r="C11" s="1316"/>
      <c r="D11" s="1316"/>
      <c r="E11" s="1325"/>
      <c r="F11" s="1326"/>
      <c r="G11" s="1316"/>
      <c r="H11" s="1325"/>
      <c r="I11" s="1327"/>
      <c r="J11" s="1316"/>
      <c r="K11" s="1325"/>
    </row>
    <row r="12" spans="1:11" ht="11.25" customHeight="1" x14ac:dyDescent="0.25">
      <c r="A12" s="63" t="s">
        <v>1364</v>
      </c>
      <c r="B12" s="55"/>
      <c r="C12" s="1316"/>
      <c r="D12" s="1316"/>
      <c r="E12" s="1325"/>
      <c r="F12" s="1326"/>
      <c r="G12" s="1316"/>
      <c r="H12" s="1325"/>
      <c r="I12" s="1327"/>
      <c r="J12" s="1316"/>
      <c r="K12" s="1325"/>
    </row>
    <row r="13" spans="1:11" ht="11.25" customHeight="1" x14ac:dyDescent="0.25">
      <c r="A13" s="118" t="s">
        <v>660</v>
      </c>
      <c r="B13" s="55"/>
      <c r="C13" s="81">
        <f t="shared" ref="C13:K13" si="0">SUM(C6:C12)</f>
        <v>0</v>
      </c>
      <c r="D13" s="81">
        <f t="shared" si="0"/>
        <v>0</v>
      </c>
      <c r="E13" s="82">
        <f t="shared" si="0"/>
        <v>0</v>
      </c>
      <c r="F13" s="83">
        <f t="shared" si="0"/>
        <v>0</v>
      </c>
      <c r="G13" s="81">
        <f t="shared" si="0"/>
        <v>0</v>
      </c>
      <c r="H13" s="82">
        <f t="shared" si="0"/>
        <v>0</v>
      </c>
      <c r="I13" s="80">
        <f t="shared" si="0"/>
        <v>0</v>
      </c>
      <c r="J13" s="81">
        <f t="shared" si="0"/>
        <v>0</v>
      </c>
      <c r="K13" s="82">
        <f t="shared" si="0"/>
        <v>0</v>
      </c>
    </row>
    <row r="14" spans="1:11" ht="11.25" customHeight="1" x14ac:dyDescent="0.25">
      <c r="A14" s="189" t="s">
        <v>807</v>
      </c>
      <c r="B14" s="55">
        <v>4</v>
      </c>
      <c r="C14" s="509"/>
      <c r="D14" s="510">
        <f>IF(ISERROR((D13/C13)-1),0,((D13/C13)-1))</f>
        <v>0</v>
      </c>
      <c r="E14" s="536">
        <f t="shared" ref="E14:K14" si="1">IF(ISERROR((E13/D13)-1),0,((E13/D13)-1))</f>
        <v>0</v>
      </c>
      <c r="F14" s="714">
        <f t="shared" si="1"/>
        <v>0</v>
      </c>
      <c r="G14" s="510">
        <f t="shared" si="1"/>
        <v>0</v>
      </c>
      <c r="H14" s="536">
        <f t="shared" si="1"/>
        <v>0</v>
      </c>
      <c r="I14" s="714">
        <f t="shared" si="1"/>
        <v>0</v>
      </c>
      <c r="J14" s="510">
        <f t="shared" si="1"/>
        <v>0</v>
      </c>
      <c r="K14" s="536">
        <f t="shared" si="1"/>
        <v>0</v>
      </c>
    </row>
    <row r="15" spans="1:11" ht="4.9000000000000004" customHeight="1" x14ac:dyDescent="0.25">
      <c r="A15" s="74"/>
      <c r="B15" s="55"/>
      <c r="C15" s="210"/>
      <c r="D15" s="210"/>
      <c r="E15" s="68"/>
      <c r="F15" s="208"/>
      <c r="G15" s="210"/>
      <c r="H15" s="68"/>
      <c r="I15" s="148"/>
      <c r="J15" s="210"/>
      <c r="K15" s="68"/>
    </row>
    <row r="16" spans="1:11" ht="11.25" customHeight="1" x14ac:dyDescent="0.25">
      <c r="A16" s="54" t="s">
        <v>1151</v>
      </c>
      <c r="B16" s="55">
        <v>2</v>
      </c>
      <c r="C16" s="76"/>
      <c r="D16" s="76"/>
      <c r="E16" s="77"/>
      <c r="F16" s="78"/>
      <c r="G16" s="76"/>
      <c r="H16" s="77"/>
      <c r="I16" s="75"/>
      <c r="J16" s="76"/>
      <c r="K16" s="77"/>
    </row>
    <row r="17" spans="1:11" ht="11.25" customHeight="1" x14ac:dyDescent="0.25">
      <c r="A17" s="63" t="s">
        <v>1152</v>
      </c>
      <c r="B17" s="55"/>
      <c r="C17" s="1316"/>
      <c r="D17" s="1316"/>
      <c r="E17" s="1325"/>
      <c r="F17" s="1326"/>
      <c r="G17" s="1316"/>
      <c r="H17" s="1325"/>
      <c r="I17" s="1327"/>
      <c r="J17" s="1316"/>
      <c r="K17" s="1325"/>
    </row>
    <row r="18" spans="1:11" ht="11.25" customHeight="1" x14ac:dyDescent="0.25">
      <c r="A18" s="63" t="s">
        <v>1822</v>
      </c>
      <c r="B18" s="55"/>
      <c r="C18" s="1316"/>
      <c r="D18" s="1316"/>
      <c r="E18" s="1325"/>
      <c r="F18" s="1326"/>
      <c r="G18" s="1316"/>
      <c r="H18" s="1325"/>
      <c r="I18" s="1327"/>
      <c r="J18" s="1316"/>
      <c r="K18" s="1325"/>
    </row>
    <row r="19" spans="1:11" ht="11.25" customHeight="1" x14ac:dyDescent="0.25">
      <c r="A19" s="63" t="s">
        <v>659</v>
      </c>
      <c r="B19" s="55"/>
      <c r="C19" s="1316"/>
      <c r="D19" s="1316"/>
      <c r="E19" s="1325"/>
      <c r="F19" s="1326"/>
      <c r="G19" s="1316"/>
      <c r="H19" s="1325"/>
      <c r="I19" s="1327"/>
      <c r="J19" s="1316"/>
      <c r="K19" s="1325"/>
    </row>
    <row r="20" spans="1:11" ht="11.25" customHeight="1" x14ac:dyDescent="0.25">
      <c r="A20" s="63" t="s">
        <v>961</v>
      </c>
      <c r="B20" s="55"/>
      <c r="C20" s="1316"/>
      <c r="D20" s="1316"/>
      <c r="E20" s="1325"/>
      <c r="F20" s="1326"/>
      <c r="G20" s="1316"/>
      <c r="H20" s="1325"/>
      <c r="I20" s="1327"/>
      <c r="J20" s="1316"/>
      <c r="K20" s="1325"/>
    </row>
    <row r="21" spans="1:11" ht="11.25" customHeight="1" x14ac:dyDescent="0.25">
      <c r="A21" s="63" t="s">
        <v>661</v>
      </c>
      <c r="B21" s="55"/>
      <c r="C21" s="1316"/>
      <c r="D21" s="1316"/>
      <c r="E21" s="1325"/>
      <c r="F21" s="1326"/>
      <c r="G21" s="1316"/>
      <c r="H21" s="1325"/>
      <c r="I21" s="1327"/>
      <c r="J21" s="1316"/>
      <c r="K21" s="1325"/>
    </row>
    <row r="22" spans="1:11" ht="11.25" customHeight="1" x14ac:dyDescent="0.25">
      <c r="A22" s="63" t="s">
        <v>1970</v>
      </c>
      <c r="B22" s="55">
        <v>3</v>
      </c>
      <c r="C22" s="1316"/>
      <c r="D22" s="1316"/>
      <c r="E22" s="1325"/>
      <c r="F22" s="1326"/>
      <c r="G22" s="1316"/>
      <c r="H22" s="1325"/>
      <c r="I22" s="1327"/>
      <c r="J22" s="1316"/>
      <c r="K22" s="1325"/>
    </row>
    <row r="23" spans="1:11" ht="11.25" customHeight="1" x14ac:dyDescent="0.25">
      <c r="A23" s="63" t="s">
        <v>1823</v>
      </c>
      <c r="B23" s="55">
        <v>3</v>
      </c>
      <c r="C23" s="1316"/>
      <c r="D23" s="1316"/>
      <c r="E23" s="1325"/>
      <c r="F23" s="1326"/>
      <c r="G23" s="1316"/>
      <c r="H23" s="1325"/>
      <c r="I23" s="1327"/>
      <c r="J23" s="1316"/>
      <c r="K23" s="1325"/>
    </row>
    <row r="24" spans="1:11" ht="11.25" customHeight="1" x14ac:dyDescent="0.25">
      <c r="A24" s="63" t="s">
        <v>1971</v>
      </c>
      <c r="B24" s="55">
        <v>3</v>
      </c>
      <c r="C24" s="1316"/>
      <c r="D24" s="1316"/>
      <c r="E24" s="1325"/>
      <c r="F24" s="1326"/>
      <c r="G24" s="1316"/>
      <c r="H24" s="1325"/>
      <c r="I24" s="1327"/>
      <c r="J24" s="1316"/>
      <c r="K24" s="1325"/>
    </row>
    <row r="25" spans="1:11" ht="11.25" customHeight="1" x14ac:dyDescent="0.25">
      <c r="A25" s="63" t="s">
        <v>1364</v>
      </c>
      <c r="B25" s="55">
        <v>3</v>
      </c>
      <c r="C25" s="1316"/>
      <c r="D25" s="1316"/>
      <c r="E25" s="1325"/>
      <c r="F25" s="1326"/>
      <c r="G25" s="1316"/>
      <c r="H25" s="1325"/>
      <c r="I25" s="1327"/>
      <c r="J25" s="1316"/>
      <c r="K25" s="1325"/>
    </row>
    <row r="26" spans="1:11" ht="11.25" customHeight="1" x14ac:dyDescent="0.25">
      <c r="A26" s="63" t="s">
        <v>1477</v>
      </c>
      <c r="B26" s="55"/>
      <c r="C26" s="1316"/>
      <c r="D26" s="1316"/>
      <c r="E26" s="1325"/>
      <c r="F26" s="1326"/>
      <c r="G26" s="1316"/>
      <c r="H26" s="1325"/>
      <c r="I26" s="1327"/>
      <c r="J26" s="1316"/>
      <c r="K26" s="1325"/>
    </row>
    <row r="27" spans="1:11" ht="11.25" customHeight="1" x14ac:dyDescent="0.25">
      <c r="A27" s="63" t="s">
        <v>962</v>
      </c>
      <c r="B27" s="55"/>
      <c r="C27" s="1316"/>
      <c r="D27" s="1316"/>
      <c r="E27" s="1325"/>
      <c r="F27" s="1326"/>
      <c r="G27" s="1316"/>
      <c r="H27" s="1325"/>
      <c r="I27" s="1327"/>
      <c r="J27" s="1316"/>
      <c r="K27" s="1325"/>
    </row>
    <row r="28" spans="1:11" ht="11.25" customHeight="1" x14ac:dyDescent="0.25">
      <c r="A28" s="63" t="s">
        <v>1478</v>
      </c>
      <c r="B28" s="55">
        <v>6</v>
      </c>
      <c r="C28" s="1316"/>
      <c r="D28" s="1316"/>
      <c r="E28" s="1325"/>
      <c r="F28" s="1326"/>
      <c r="G28" s="1316"/>
      <c r="H28" s="1325"/>
      <c r="I28" s="1327"/>
      <c r="J28" s="1316"/>
      <c r="K28" s="1325"/>
    </row>
    <row r="29" spans="1:11" ht="11.25" customHeight="1" x14ac:dyDescent="0.25">
      <c r="A29" s="118" t="s">
        <v>662</v>
      </c>
      <c r="B29" s="55"/>
      <c r="C29" s="81">
        <f>SUM(C17:C28)</f>
        <v>0</v>
      </c>
      <c r="D29" s="81">
        <f t="shared" ref="D29:K29" si="2">SUM(D17:D28)</f>
        <v>0</v>
      </c>
      <c r="E29" s="82">
        <f t="shared" si="2"/>
        <v>0</v>
      </c>
      <c r="F29" s="83">
        <f t="shared" si="2"/>
        <v>0</v>
      </c>
      <c r="G29" s="81">
        <f t="shared" si="2"/>
        <v>0</v>
      </c>
      <c r="H29" s="82">
        <f t="shared" si="2"/>
        <v>0</v>
      </c>
      <c r="I29" s="80">
        <f t="shared" si="2"/>
        <v>0</v>
      </c>
      <c r="J29" s="81">
        <f t="shared" si="2"/>
        <v>0</v>
      </c>
      <c r="K29" s="82">
        <f t="shared" si="2"/>
        <v>0</v>
      </c>
    </row>
    <row r="30" spans="1:11" ht="11.25" customHeight="1" x14ac:dyDescent="0.25">
      <c r="A30" s="189" t="str">
        <f>$A$14</f>
        <v>% increase</v>
      </c>
      <c r="B30" s="55">
        <f>$B$14</f>
        <v>4</v>
      </c>
      <c r="C30" s="509"/>
      <c r="D30" s="510">
        <f>IF(ISERROR((D29/C29)-1),0,((D29/C29)-1))</f>
        <v>0</v>
      </c>
      <c r="E30" s="511">
        <f t="shared" ref="E30:K30" si="3">IF(ISERROR((E29/D29)-1),0,((E29/D29)-1))</f>
        <v>0</v>
      </c>
      <c r="F30" s="512">
        <f t="shared" si="3"/>
        <v>0</v>
      </c>
      <c r="G30" s="510">
        <f t="shared" si="3"/>
        <v>0</v>
      </c>
      <c r="H30" s="511">
        <f t="shared" si="3"/>
        <v>0</v>
      </c>
      <c r="I30" s="513">
        <f t="shared" si="3"/>
        <v>0</v>
      </c>
      <c r="J30" s="510">
        <f t="shared" si="3"/>
        <v>0</v>
      </c>
      <c r="K30" s="511">
        <f t="shared" si="3"/>
        <v>0</v>
      </c>
    </row>
    <row r="31" spans="1:11" ht="4.9000000000000004" customHeight="1" x14ac:dyDescent="0.25">
      <c r="A31" s="74"/>
      <c r="B31" s="55"/>
      <c r="C31" s="210"/>
      <c r="D31" s="210"/>
      <c r="E31" s="68"/>
      <c r="F31" s="208"/>
      <c r="G31" s="210"/>
      <c r="H31" s="68"/>
      <c r="I31" s="148"/>
      <c r="J31" s="210"/>
      <c r="K31" s="68"/>
    </row>
    <row r="32" spans="1:11" ht="11.25" customHeight="1" x14ac:dyDescent="0.25">
      <c r="A32" s="54" t="s">
        <v>663</v>
      </c>
      <c r="B32" s="55"/>
      <c r="C32" s="76"/>
      <c r="D32" s="76"/>
      <c r="E32" s="77"/>
      <c r="F32" s="78"/>
      <c r="G32" s="76"/>
      <c r="H32" s="77"/>
      <c r="I32" s="75"/>
      <c r="J32" s="76"/>
      <c r="K32" s="77"/>
    </row>
    <row r="33" spans="1:11" ht="11.25" customHeight="1" x14ac:dyDescent="0.25">
      <c r="A33" s="63" t="s">
        <v>1152</v>
      </c>
      <c r="B33" s="55"/>
      <c r="C33" s="1316"/>
      <c r="D33" s="1316"/>
      <c r="E33" s="1325"/>
      <c r="F33" s="1326"/>
      <c r="G33" s="1316"/>
      <c r="H33" s="1325"/>
      <c r="I33" s="1327"/>
      <c r="J33" s="1316"/>
      <c r="K33" s="1325"/>
    </row>
    <row r="34" spans="1:11" ht="11.25" customHeight="1" x14ac:dyDescent="0.25">
      <c r="A34" s="63" t="s">
        <v>1822</v>
      </c>
      <c r="B34" s="55"/>
      <c r="C34" s="1316"/>
      <c r="D34" s="1316"/>
      <c r="E34" s="1325"/>
      <c r="F34" s="1326"/>
      <c r="G34" s="1316"/>
      <c r="H34" s="1325"/>
      <c r="I34" s="1327"/>
      <c r="J34" s="1316"/>
      <c r="K34" s="1325"/>
    </row>
    <row r="35" spans="1:11" ht="11.25" customHeight="1" x14ac:dyDescent="0.25">
      <c r="A35" s="63" t="s">
        <v>659</v>
      </c>
      <c r="B35" s="55"/>
      <c r="C35" s="1316"/>
      <c r="D35" s="1316"/>
      <c r="E35" s="1325"/>
      <c r="F35" s="1326"/>
      <c r="G35" s="1316"/>
      <c r="H35" s="1325"/>
      <c r="I35" s="1327"/>
      <c r="J35" s="1316"/>
      <c r="K35" s="1325"/>
    </row>
    <row r="36" spans="1:11" ht="11.25" customHeight="1" x14ac:dyDescent="0.25">
      <c r="A36" s="63" t="s">
        <v>961</v>
      </c>
      <c r="B36" s="55"/>
      <c r="C36" s="1316"/>
      <c r="D36" s="1316"/>
      <c r="E36" s="1325"/>
      <c r="F36" s="1326"/>
      <c r="G36" s="1316"/>
      <c r="H36" s="1325"/>
      <c r="I36" s="1327"/>
      <c r="J36" s="1316"/>
      <c r="K36" s="1325"/>
    </row>
    <row r="37" spans="1:11" ht="11.25" customHeight="1" x14ac:dyDescent="0.25">
      <c r="A37" s="63" t="s">
        <v>661</v>
      </c>
      <c r="B37" s="55"/>
      <c r="C37" s="1316"/>
      <c r="D37" s="1316"/>
      <c r="E37" s="1325"/>
      <c r="F37" s="1326"/>
      <c r="G37" s="1316"/>
      <c r="H37" s="1325"/>
      <c r="I37" s="1327"/>
      <c r="J37" s="1316"/>
      <c r="K37" s="1325"/>
    </row>
    <row r="38" spans="1:11" ht="11.25" customHeight="1" x14ac:dyDescent="0.25">
      <c r="A38" s="63" t="s">
        <v>1970</v>
      </c>
      <c r="B38" s="55">
        <v>3</v>
      </c>
      <c r="C38" s="1316"/>
      <c r="D38" s="1316"/>
      <c r="E38" s="1325"/>
      <c r="F38" s="1326"/>
      <c r="G38" s="1316"/>
      <c r="H38" s="1325"/>
      <c r="I38" s="1327"/>
      <c r="J38" s="1316"/>
      <c r="K38" s="1325"/>
    </row>
    <row r="39" spans="1:11" ht="11.25" customHeight="1" x14ac:dyDescent="0.25">
      <c r="A39" s="63" t="s">
        <v>1823</v>
      </c>
      <c r="B39" s="55">
        <v>3</v>
      </c>
      <c r="C39" s="1316"/>
      <c r="D39" s="1316"/>
      <c r="E39" s="1325"/>
      <c r="F39" s="1326"/>
      <c r="G39" s="1316"/>
      <c r="H39" s="1325"/>
      <c r="I39" s="1327"/>
      <c r="J39" s="1316"/>
      <c r="K39" s="1325"/>
    </row>
    <row r="40" spans="1:11" ht="11.25" customHeight="1" x14ac:dyDescent="0.25">
      <c r="A40" s="63" t="s">
        <v>1971</v>
      </c>
      <c r="B40" s="55">
        <v>3</v>
      </c>
      <c r="C40" s="1316"/>
      <c r="D40" s="1316"/>
      <c r="E40" s="1325"/>
      <c r="F40" s="1326"/>
      <c r="G40" s="1316"/>
      <c r="H40" s="1325"/>
      <c r="I40" s="1327"/>
      <c r="J40" s="1316"/>
      <c r="K40" s="1325"/>
    </row>
    <row r="41" spans="1:11" ht="11.25" customHeight="1" x14ac:dyDescent="0.25">
      <c r="A41" s="63" t="s">
        <v>1364</v>
      </c>
      <c r="B41" s="55">
        <v>3</v>
      </c>
      <c r="C41" s="1316"/>
      <c r="D41" s="1316"/>
      <c r="E41" s="1325"/>
      <c r="F41" s="1326"/>
      <c r="G41" s="1316"/>
      <c r="H41" s="1325"/>
      <c r="I41" s="1327"/>
      <c r="J41" s="1316"/>
      <c r="K41" s="1325"/>
    </row>
    <row r="42" spans="1:11" ht="11.25" customHeight="1" x14ac:dyDescent="0.25">
      <c r="A42" s="63" t="s">
        <v>1477</v>
      </c>
      <c r="B42" s="55"/>
      <c r="C42" s="1316"/>
      <c r="D42" s="1316"/>
      <c r="E42" s="1325"/>
      <c r="F42" s="1326"/>
      <c r="G42" s="1316"/>
      <c r="H42" s="1325"/>
      <c r="I42" s="1327"/>
      <c r="J42" s="1316"/>
      <c r="K42" s="1325"/>
    </row>
    <row r="43" spans="1:11" ht="11.25" customHeight="1" x14ac:dyDescent="0.25">
      <c r="A43" s="63" t="s">
        <v>962</v>
      </c>
      <c r="B43" s="55"/>
      <c r="C43" s="1316"/>
      <c r="D43" s="1316"/>
      <c r="E43" s="1325"/>
      <c r="F43" s="1326"/>
      <c r="G43" s="1316"/>
      <c r="H43" s="1325"/>
      <c r="I43" s="1327"/>
      <c r="J43" s="1316"/>
      <c r="K43" s="1325"/>
    </row>
    <row r="44" spans="1:11" ht="11.25" customHeight="1" x14ac:dyDescent="0.25">
      <c r="A44" s="63" t="s">
        <v>1478</v>
      </c>
      <c r="B44" s="55">
        <v>6</v>
      </c>
      <c r="C44" s="1316"/>
      <c r="D44" s="1316"/>
      <c r="E44" s="1325"/>
      <c r="F44" s="1326"/>
      <c r="G44" s="1316"/>
      <c r="H44" s="1325"/>
      <c r="I44" s="1327"/>
      <c r="J44" s="1316"/>
      <c r="K44" s="1325"/>
    </row>
    <row r="45" spans="1:11" ht="11.25" customHeight="1" x14ac:dyDescent="0.25">
      <c r="A45" s="118" t="s">
        <v>1589</v>
      </c>
      <c r="B45" s="55"/>
      <c r="C45" s="81">
        <f t="shared" ref="C45:K45" si="4">SUM(C33:C44)</f>
        <v>0</v>
      </c>
      <c r="D45" s="81">
        <f t="shared" si="4"/>
        <v>0</v>
      </c>
      <c r="E45" s="82">
        <f t="shared" si="4"/>
        <v>0</v>
      </c>
      <c r="F45" s="83">
        <f t="shared" si="4"/>
        <v>0</v>
      </c>
      <c r="G45" s="81">
        <f t="shared" si="4"/>
        <v>0</v>
      </c>
      <c r="H45" s="82">
        <f t="shared" si="4"/>
        <v>0</v>
      </c>
      <c r="I45" s="80">
        <f t="shared" si="4"/>
        <v>0</v>
      </c>
      <c r="J45" s="81">
        <f t="shared" si="4"/>
        <v>0</v>
      </c>
      <c r="K45" s="82">
        <f t="shared" si="4"/>
        <v>0</v>
      </c>
    </row>
    <row r="46" spans="1:11" ht="11.25" customHeight="1" x14ac:dyDescent="0.25">
      <c r="A46" s="189" t="str">
        <f>$A$14</f>
        <v>% increase</v>
      </c>
      <c r="B46" s="55">
        <f>$B$14</f>
        <v>4</v>
      </c>
      <c r="C46" s="509"/>
      <c r="D46" s="510">
        <f>IF(ISERROR((D45/C45)-1),0,((D45/C45)-1))</f>
        <v>0</v>
      </c>
      <c r="E46" s="511">
        <f t="shared" ref="E46:K46" si="5">IF(ISERROR((E45/D45)-1),0,((E45/D45)-1))</f>
        <v>0</v>
      </c>
      <c r="F46" s="512">
        <f t="shared" si="5"/>
        <v>0</v>
      </c>
      <c r="G46" s="510">
        <f t="shared" si="5"/>
        <v>0</v>
      </c>
      <c r="H46" s="511">
        <f t="shared" si="5"/>
        <v>0</v>
      </c>
      <c r="I46" s="513">
        <f t="shared" si="5"/>
        <v>0</v>
      </c>
      <c r="J46" s="510">
        <f t="shared" si="5"/>
        <v>0</v>
      </c>
      <c r="K46" s="511">
        <f t="shared" si="5"/>
        <v>0</v>
      </c>
    </row>
    <row r="47" spans="1:11" ht="4.9000000000000004" customHeight="1" x14ac:dyDescent="0.25">
      <c r="A47" s="74"/>
      <c r="B47" s="55"/>
      <c r="C47" s="210"/>
      <c r="D47" s="210"/>
      <c r="E47" s="68"/>
      <c r="F47" s="208"/>
      <c r="G47" s="210"/>
      <c r="H47" s="68"/>
      <c r="I47" s="148"/>
      <c r="J47" s="210"/>
      <c r="K47" s="68"/>
    </row>
    <row r="48" spans="1:11" ht="11.25" customHeight="1" x14ac:dyDescent="0.25">
      <c r="A48" s="175" t="s">
        <v>1381</v>
      </c>
      <c r="B48" s="176"/>
      <c r="C48" s="122">
        <f t="shared" ref="C48:K48" si="6">C13+C29+C45</f>
        <v>0</v>
      </c>
      <c r="D48" s="122">
        <f t="shared" si="6"/>
        <v>0</v>
      </c>
      <c r="E48" s="123">
        <f t="shared" si="6"/>
        <v>0</v>
      </c>
      <c r="F48" s="124">
        <f t="shared" si="6"/>
        <v>0</v>
      </c>
      <c r="G48" s="122">
        <f t="shared" si="6"/>
        <v>0</v>
      </c>
      <c r="H48" s="123">
        <f t="shared" si="6"/>
        <v>0</v>
      </c>
      <c r="I48" s="121">
        <f t="shared" si="6"/>
        <v>0</v>
      </c>
      <c r="J48" s="122">
        <f t="shared" si="6"/>
        <v>0</v>
      </c>
      <c r="K48" s="123">
        <f t="shared" si="6"/>
        <v>0</v>
      </c>
    </row>
    <row r="49" spans="1:11" ht="11.25" customHeight="1" x14ac:dyDescent="0.25">
      <c r="A49" s="74"/>
      <c r="B49" s="55"/>
      <c r="C49" s="514"/>
      <c r="D49" s="510">
        <f>IF(ISERROR((D48/C48)-1),0,((D48/C48)-1))</f>
        <v>0</v>
      </c>
      <c r="E49" s="511">
        <f t="shared" ref="E49:K49" si="7">IF(ISERROR((E48/D48)-1),0,((E48/D48)-1))</f>
        <v>0</v>
      </c>
      <c r="F49" s="512">
        <f t="shared" si="7"/>
        <v>0</v>
      </c>
      <c r="G49" s="510">
        <f t="shared" si="7"/>
        <v>0</v>
      </c>
      <c r="H49" s="511">
        <f t="shared" si="7"/>
        <v>0</v>
      </c>
      <c r="I49" s="513">
        <f t="shared" si="7"/>
        <v>0</v>
      </c>
      <c r="J49" s="510">
        <f t="shared" si="7"/>
        <v>0</v>
      </c>
      <c r="K49" s="511">
        <f t="shared" si="7"/>
        <v>0</v>
      </c>
    </row>
    <row r="50" spans="1:11" ht="4.9000000000000004" customHeight="1" x14ac:dyDescent="0.25">
      <c r="A50" s="74"/>
      <c r="B50" s="55"/>
      <c r="C50" s="210"/>
      <c r="D50" s="515"/>
      <c r="E50" s="516"/>
      <c r="F50" s="517"/>
      <c r="G50" s="515"/>
      <c r="H50" s="516"/>
      <c r="I50" s="518"/>
      <c r="J50" s="515"/>
      <c r="K50" s="516"/>
    </row>
    <row r="51" spans="1:11" ht="11.25" customHeight="1" x14ac:dyDescent="0.25">
      <c r="A51" s="54" t="s">
        <v>795</v>
      </c>
      <c r="B51" s="55"/>
      <c r="C51" s="76"/>
      <c r="D51" s="76"/>
      <c r="E51" s="77"/>
      <c r="F51" s="78"/>
      <c r="G51" s="76"/>
      <c r="H51" s="77"/>
      <c r="I51" s="75"/>
      <c r="J51" s="76"/>
      <c r="K51" s="77"/>
    </row>
    <row r="52" spans="1:11" ht="11.25" customHeight="1" x14ac:dyDescent="0.25">
      <c r="A52" s="63" t="s">
        <v>1152</v>
      </c>
      <c r="B52" s="55"/>
      <c r="C52" s="1316"/>
      <c r="D52" s="1316"/>
      <c r="E52" s="1325"/>
      <c r="F52" s="1326"/>
      <c r="G52" s="1316"/>
      <c r="H52" s="1325"/>
      <c r="I52" s="1327"/>
      <c r="J52" s="1316"/>
      <c r="K52" s="1325"/>
    </row>
    <row r="53" spans="1:11" ht="11.25" customHeight="1" x14ac:dyDescent="0.25">
      <c r="A53" s="63" t="s">
        <v>1822</v>
      </c>
      <c r="B53" s="55"/>
      <c r="C53" s="1316"/>
      <c r="D53" s="1316"/>
      <c r="E53" s="1325"/>
      <c r="F53" s="1326"/>
      <c r="G53" s="1316"/>
      <c r="H53" s="1325"/>
      <c r="I53" s="1327"/>
      <c r="J53" s="1316"/>
      <c r="K53" s="1325"/>
    </row>
    <row r="54" spans="1:11" ht="11.25" customHeight="1" x14ac:dyDescent="0.25">
      <c r="A54" s="63" t="s">
        <v>659</v>
      </c>
      <c r="B54" s="55"/>
      <c r="C54" s="1316"/>
      <c r="D54" s="1316"/>
      <c r="E54" s="1325"/>
      <c r="F54" s="1326"/>
      <c r="G54" s="1316"/>
      <c r="H54" s="1325"/>
      <c r="I54" s="1327"/>
      <c r="J54" s="1316"/>
      <c r="K54" s="1325"/>
    </row>
    <row r="55" spans="1:11" ht="11.25" customHeight="1" x14ac:dyDescent="0.25">
      <c r="A55" s="63" t="s">
        <v>961</v>
      </c>
      <c r="B55" s="55"/>
      <c r="C55" s="1316"/>
      <c r="D55" s="1316"/>
      <c r="E55" s="1325"/>
      <c r="F55" s="1326"/>
      <c r="G55" s="1316"/>
      <c r="H55" s="1325"/>
      <c r="I55" s="1327"/>
      <c r="J55" s="1316"/>
      <c r="K55" s="1325"/>
    </row>
    <row r="56" spans="1:11" ht="11.25" customHeight="1" x14ac:dyDescent="0.25">
      <c r="A56" s="63" t="s">
        <v>661</v>
      </c>
      <c r="B56" s="55"/>
      <c r="C56" s="1316"/>
      <c r="D56" s="1316"/>
      <c r="E56" s="1325"/>
      <c r="F56" s="1326"/>
      <c r="G56" s="1316"/>
      <c r="H56" s="1325"/>
      <c r="I56" s="1327"/>
      <c r="J56" s="1316"/>
      <c r="K56" s="1325"/>
    </row>
    <row r="57" spans="1:11" ht="11.25" customHeight="1" x14ac:dyDescent="0.25">
      <c r="A57" s="63" t="s">
        <v>1970</v>
      </c>
      <c r="B57" s="55">
        <v>3</v>
      </c>
      <c r="C57" s="1316"/>
      <c r="D57" s="1316"/>
      <c r="E57" s="1325"/>
      <c r="F57" s="1326"/>
      <c r="G57" s="1316"/>
      <c r="H57" s="1325"/>
      <c r="I57" s="1327"/>
      <c r="J57" s="1316"/>
      <c r="K57" s="1325"/>
    </row>
    <row r="58" spans="1:11" ht="11.25" customHeight="1" x14ac:dyDescent="0.25">
      <c r="A58" s="63" t="s">
        <v>1823</v>
      </c>
      <c r="B58" s="55">
        <v>3</v>
      </c>
      <c r="C58" s="1316"/>
      <c r="D58" s="1316"/>
      <c r="E58" s="1325"/>
      <c r="F58" s="1326"/>
      <c r="G58" s="1316"/>
      <c r="H58" s="1325"/>
      <c r="I58" s="1327"/>
      <c r="J58" s="1316"/>
      <c r="K58" s="1325"/>
    </row>
    <row r="59" spans="1:11" ht="11.25" customHeight="1" x14ac:dyDescent="0.25">
      <c r="A59" s="63" t="s">
        <v>1971</v>
      </c>
      <c r="B59" s="55">
        <v>3</v>
      </c>
      <c r="C59" s="1316"/>
      <c r="D59" s="1316"/>
      <c r="E59" s="1325"/>
      <c r="F59" s="1326"/>
      <c r="G59" s="1316"/>
      <c r="H59" s="1325"/>
      <c r="I59" s="1327"/>
      <c r="J59" s="1316"/>
      <c r="K59" s="1325"/>
    </row>
    <row r="60" spans="1:11" ht="11.25" customHeight="1" x14ac:dyDescent="0.25">
      <c r="A60" s="63" t="s">
        <v>1364</v>
      </c>
      <c r="B60" s="55">
        <v>3</v>
      </c>
      <c r="C60" s="1316"/>
      <c r="D60" s="1316"/>
      <c r="E60" s="1325"/>
      <c r="F60" s="1326"/>
      <c r="G60" s="1316"/>
      <c r="H60" s="1325"/>
      <c r="I60" s="1327"/>
      <c r="J60" s="1316"/>
      <c r="K60" s="1325"/>
    </row>
    <row r="61" spans="1:11" ht="11.25" customHeight="1" x14ac:dyDescent="0.25">
      <c r="A61" s="63" t="s">
        <v>1975</v>
      </c>
      <c r="B61" s="55"/>
      <c r="C61" s="1316"/>
      <c r="D61" s="1316"/>
      <c r="E61" s="1325"/>
      <c r="F61" s="1326"/>
      <c r="G61" s="1316"/>
      <c r="H61" s="1325"/>
      <c r="I61" s="1327"/>
      <c r="J61" s="1316"/>
      <c r="K61" s="1325"/>
    </row>
    <row r="62" spans="1:11" ht="11.25" customHeight="1" x14ac:dyDescent="0.25">
      <c r="A62" s="63" t="s">
        <v>1477</v>
      </c>
      <c r="B62" s="55"/>
      <c r="C62" s="1316"/>
      <c r="D62" s="1316"/>
      <c r="E62" s="1325"/>
      <c r="F62" s="1326"/>
      <c r="G62" s="1316"/>
      <c r="H62" s="1325"/>
      <c r="I62" s="1327"/>
      <c r="J62" s="1316"/>
      <c r="K62" s="1325"/>
    </row>
    <row r="63" spans="1:11" ht="11.25" customHeight="1" x14ac:dyDescent="0.25">
      <c r="A63" s="63" t="s">
        <v>962</v>
      </c>
      <c r="B63" s="55"/>
      <c r="C63" s="1316"/>
      <c r="D63" s="1316"/>
      <c r="E63" s="1325"/>
      <c r="F63" s="1326"/>
      <c r="G63" s="1316"/>
      <c r="H63" s="1325"/>
      <c r="I63" s="1327"/>
      <c r="J63" s="1316"/>
      <c r="K63" s="1325"/>
    </row>
    <row r="64" spans="1:11" ht="11.25" customHeight="1" x14ac:dyDescent="0.25">
      <c r="A64" s="63" t="s">
        <v>1478</v>
      </c>
      <c r="B64" s="55">
        <v>6</v>
      </c>
      <c r="C64" s="1316"/>
      <c r="D64" s="1316"/>
      <c r="E64" s="1325"/>
      <c r="F64" s="1326"/>
      <c r="G64" s="1316"/>
      <c r="H64" s="1325"/>
      <c r="I64" s="1327"/>
      <c r="J64" s="1316"/>
      <c r="K64" s="1325"/>
    </row>
    <row r="65" spans="1:11" ht="11.25" customHeight="1" x14ac:dyDescent="0.25">
      <c r="A65" s="118" t="s">
        <v>1176</v>
      </c>
      <c r="B65" s="55"/>
      <c r="C65" s="81">
        <f>SUM(C52:C64)</f>
        <v>0</v>
      </c>
      <c r="D65" s="81">
        <f t="shared" ref="D65:K65" si="8">SUM(D52:D64)</f>
        <v>0</v>
      </c>
      <c r="E65" s="82">
        <f t="shared" si="8"/>
        <v>0</v>
      </c>
      <c r="F65" s="83">
        <f t="shared" si="8"/>
        <v>0</v>
      </c>
      <c r="G65" s="81">
        <f t="shared" si="8"/>
        <v>0</v>
      </c>
      <c r="H65" s="82">
        <f t="shared" si="8"/>
        <v>0</v>
      </c>
      <c r="I65" s="80">
        <f t="shared" si="8"/>
        <v>0</v>
      </c>
      <c r="J65" s="81">
        <f t="shared" si="8"/>
        <v>0</v>
      </c>
      <c r="K65" s="82">
        <f t="shared" si="8"/>
        <v>0</v>
      </c>
    </row>
    <row r="66" spans="1:11" ht="11.25" customHeight="1" x14ac:dyDescent="0.25">
      <c r="A66" s="189" t="str">
        <f>$A$14</f>
        <v>% increase</v>
      </c>
      <c r="B66" s="55">
        <f>$B$14</f>
        <v>4</v>
      </c>
      <c r="C66" s="509"/>
      <c r="D66" s="510">
        <f>IF(ISERROR((D65/C65)-1),0,((D65/C65)-1))</f>
        <v>0</v>
      </c>
      <c r="E66" s="511">
        <f t="shared" ref="E66:K66" si="9">IF(ISERROR((E65/D65)-1),0,((E65/D65)-1))</f>
        <v>0</v>
      </c>
      <c r="F66" s="512">
        <f t="shared" si="9"/>
        <v>0</v>
      </c>
      <c r="G66" s="510">
        <f t="shared" si="9"/>
        <v>0</v>
      </c>
      <c r="H66" s="511">
        <f t="shared" si="9"/>
        <v>0</v>
      </c>
      <c r="I66" s="513">
        <f t="shared" si="9"/>
        <v>0</v>
      </c>
      <c r="J66" s="510">
        <f t="shared" si="9"/>
        <v>0</v>
      </c>
      <c r="K66" s="511">
        <f t="shared" si="9"/>
        <v>0</v>
      </c>
    </row>
    <row r="67" spans="1:11" ht="4.9000000000000004" customHeight="1" x14ac:dyDescent="0.25">
      <c r="A67" s="74"/>
      <c r="B67" s="55"/>
      <c r="C67" s="210"/>
      <c r="D67" s="210"/>
      <c r="E67" s="68"/>
      <c r="F67" s="208"/>
      <c r="G67" s="210"/>
      <c r="H67" s="68"/>
      <c r="I67" s="148"/>
      <c r="J67" s="210"/>
      <c r="K67" s="68"/>
    </row>
    <row r="68" spans="1:11" ht="11.25" customHeight="1" x14ac:dyDescent="0.25">
      <c r="A68" s="54" t="s">
        <v>239</v>
      </c>
      <c r="B68" s="55"/>
      <c r="C68" s="76"/>
      <c r="D68" s="76"/>
      <c r="E68" s="77"/>
      <c r="F68" s="78"/>
      <c r="G68" s="76"/>
      <c r="H68" s="77"/>
      <c r="I68" s="75"/>
      <c r="J68" s="76"/>
      <c r="K68" s="77"/>
    </row>
    <row r="69" spans="1:11" ht="11.25" customHeight="1" x14ac:dyDescent="0.25">
      <c r="A69" s="63" t="s">
        <v>1152</v>
      </c>
      <c r="B69" s="55"/>
      <c r="C69" s="1316"/>
      <c r="D69" s="1316"/>
      <c r="E69" s="1325"/>
      <c r="F69" s="1326"/>
      <c r="G69" s="1316"/>
      <c r="H69" s="1325"/>
      <c r="I69" s="1327"/>
      <c r="J69" s="1316"/>
      <c r="K69" s="1325"/>
    </row>
    <row r="70" spans="1:11" ht="11.25" customHeight="1" x14ac:dyDescent="0.25">
      <c r="A70" s="63" t="s">
        <v>1822</v>
      </c>
      <c r="B70" s="55"/>
      <c r="C70" s="1316"/>
      <c r="D70" s="1316"/>
      <c r="E70" s="1325"/>
      <c r="F70" s="1326"/>
      <c r="G70" s="1316"/>
      <c r="H70" s="1325"/>
      <c r="I70" s="1327"/>
      <c r="J70" s="1316"/>
      <c r="K70" s="1325"/>
    </row>
    <row r="71" spans="1:11" ht="11.25" customHeight="1" x14ac:dyDescent="0.25">
      <c r="A71" s="63" t="s">
        <v>659</v>
      </c>
      <c r="B71" s="55"/>
      <c r="C71" s="1316"/>
      <c r="D71" s="1316"/>
      <c r="E71" s="1325"/>
      <c r="F71" s="1326"/>
      <c r="G71" s="1316"/>
      <c r="H71" s="1325"/>
      <c r="I71" s="1327"/>
      <c r="J71" s="1316"/>
      <c r="K71" s="1325"/>
    </row>
    <row r="72" spans="1:11" ht="11.25" customHeight="1" x14ac:dyDescent="0.25">
      <c r="A72" s="63" t="s">
        <v>961</v>
      </c>
      <c r="B72" s="55"/>
      <c r="C72" s="1316"/>
      <c r="D72" s="1316"/>
      <c r="E72" s="1325"/>
      <c r="F72" s="1326"/>
      <c r="G72" s="1316"/>
      <c r="H72" s="1325"/>
      <c r="I72" s="1327"/>
      <c r="J72" s="1316"/>
      <c r="K72" s="1325"/>
    </row>
    <row r="73" spans="1:11" ht="11.25" customHeight="1" x14ac:dyDescent="0.25">
      <c r="A73" s="63" t="s">
        <v>661</v>
      </c>
      <c r="B73" s="55"/>
      <c r="C73" s="1316"/>
      <c r="D73" s="1316"/>
      <c r="E73" s="1325"/>
      <c r="F73" s="1326"/>
      <c r="G73" s="1316"/>
      <c r="H73" s="1325"/>
      <c r="I73" s="1327"/>
      <c r="J73" s="1316"/>
      <c r="K73" s="1325"/>
    </row>
    <row r="74" spans="1:11" ht="11.25" customHeight="1" x14ac:dyDescent="0.25">
      <c r="A74" s="63" t="s">
        <v>1970</v>
      </c>
      <c r="B74" s="55">
        <v>3</v>
      </c>
      <c r="C74" s="1316"/>
      <c r="D74" s="1316"/>
      <c r="E74" s="1325"/>
      <c r="F74" s="1326"/>
      <c r="G74" s="1316"/>
      <c r="H74" s="1325"/>
      <c r="I74" s="1327"/>
      <c r="J74" s="1316"/>
      <c r="K74" s="1325"/>
    </row>
    <row r="75" spans="1:11" ht="11.25" customHeight="1" x14ac:dyDescent="0.25">
      <c r="A75" s="63" t="s">
        <v>1823</v>
      </c>
      <c r="B75" s="55">
        <v>3</v>
      </c>
      <c r="C75" s="1316"/>
      <c r="D75" s="1316"/>
      <c r="E75" s="1325"/>
      <c r="F75" s="1326"/>
      <c r="G75" s="1316"/>
      <c r="H75" s="1325"/>
      <c r="I75" s="1327"/>
      <c r="J75" s="1316"/>
      <c r="K75" s="1325"/>
    </row>
    <row r="76" spans="1:11" ht="11.25" customHeight="1" x14ac:dyDescent="0.25">
      <c r="A76" s="63" t="s">
        <v>1971</v>
      </c>
      <c r="B76" s="55">
        <v>3</v>
      </c>
      <c r="C76" s="1316"/>
      <c r="D76" s="1316"/>
      <c r="E76" s="1325"/>
      <c r="F76" s="1326"/>
      <c r="G76" s="1316"/>
      <c r="H76" s="1325"/>
      <c r="I76" s="1327"/>
      <c r="J76" s="1316"/>
      <c r="K76" s="1325"/>
    </row>
    <row r="77" spans="1:11" ht="11.25" customHeight="1" x14ac:dyDescent="0.25">
      <c r="A77" s="63" t="s">
        <v>1364</v>
      </c>
      <c r="B77" s="55">
        <v>3</v>
      </c>
      <c r="C77" s="1316"/>
      <c r="D77" s="1316"/>
      <c r="E77" s="1325"/>
      <c r="F77" s="1326"/>
      <c r="G77" s="1316"/>
      <c r="H77" s="1325"/>
      <c r="I77" s="1327"/>
      <c r="J77" s="1316"/>
      <c r="K77" s="1325"/>
    </row>
    <row r="78" spans="1:11" ht="11.25" customHeight="1" x14ac:dyDescent="0.25">
      <c r="A78" s="63" t="s">
        <v>1477</v>
      </c>
      <c r="B78" s="55"/>
      <c r="C78" s="1316"/>
      <c r="D78" s="1316"/>
      <c r="E78" s="1325"/>
      <c r="F78" s="1326"/>
      <c r="G78" s="1316"/>
      <c r="H78" s="1325"/>
      <c r="I78" s="1327"/>
      <c r="J78" s="1316"/>
      <c r="K78" s="1325"/>
    </row>
    <row r="79" spans="1:11" ht="11.25" customHeight="1" x14ac:dyDescent="0.25">
      <c r="A79" s="63" t="s">
        <v>962</v>
      </c>
      <c r="B79" s="55"/>
      <c r="C79" s="1316"/>
      <c r="D79" s="1316"/>
      <c r="E79" s="1325"/>
      <c r="F79" s="1326"/>
      <c r="G79" s="1316"/>
      <c r="H79" s="1325"/>
      <c r="I79" s="1327"/>
      <c r="J79" s="1316"/>
      <c r="K79" s="1325"/>
    </row>
    <row r="80" spans="1:11" ht="11.25" customHeight="1" x14ac:dyDescent="0.25">
      <c r="A80" s="63" t="s">
        <v>1478</v>
      </c>
      <c r="B80" s="55">
        <v>6</v>
      </c>
      <c r="C80" s="1316"/>
      <c r="D80" s="1316"/>
      <c r="E80" s="1325"/>
      <c r="F80" s="1326"/>
      <c r="G80" s="1316"/>
      <c r="H80" s="1325"/>
      <c r="I80" s="1327"/>
      <c r="J80" s="1316"/>
      <c r="K80" s="1325"/>
    </row>
    <row r="81" spans="1:11" ht="11.25" customHeight="1" x14ac:dyDescent="0.25">
      <c r="A81" s="118" t="s">
        <v>240</v>
      </c>
      <c r="B81" s="55"/>
      <c r="C81" s="81">
        <f>SUM(C69:C80)</f>
        <v>0</v>
      </c>
      <c r="D81" s="81">
        <f t="shared" ref="D81:K81" si="10">SUM(D69:D80)</f>
        <v>0</v>
      </c>
      <c r="E81" s="82">
        <f t="shared" si="10"/>
        <v>0</v>
      </c>
      <c r="F81" s="83">
        <f t="shared" si="10"/>
        <v>0</v>
      </c>
      <c r="G81" s="81">
        <f t="shared" si="10"/>
        <v>0</v>
      </c>
      <c r="H81" s="82">
        <f t="shared" si="10"/>
        <v>0</v>
      </c>
      <c r="I81" s="80">
        <f t="shared" si="10"/>
        <v>0</v>
      </c>
      <c r="J81" s="81">
        <f t="shared" si="10"/>
        <v>0</v>
      </c>
      <c r="K81" s="82">
        <f t="shared" si="10"/>
        <v>0</v>
      </c>
    </row>
    <row r="82" spans="1:11" ht="11.25" customHeight="1" x14ac:dyDescent="0.25">
      <c r="A82" s="189" t="str">
        <f>$A$14</f>
        <v>% increase</v>
      </c>
      <c r="B82" s="55">
        <f>$B$14</f>
        <v>4</v>
      </c>
      <c r="C82" s="509"/>
      <c r="D82" s="510">
        <f>IF(ISERROR((D81/C81)-1),0,((D81/C81)-1))</f>
        <v>0</v>
      </c>
      <c r="E82" s="511">
        <f t="shared" ref="E82:K82" si="11">IF(ISERROR((E81/D81)-1),0,((E81/D81)-1))</f>
        <v>0</v>
      </c>
      <c r="F82" s="512">
        <f t="shared" si="11"/>
        <v>0</v>
      </c>
      <c r="G82" s="510">
        <f t="shared" si="11"/>
        <v>0</v>
      </c>
      <c r="H82" s="511">
        <f t="shared" si="11"/>
        <v>0</v>
      </c>
      <c r="I82" s="513">
        <f t="shared" si="11"/>
        <v>0</v>
      </c>
      <c r="J82" s="510">
        <f t="shared" si="11"/>
        <v>0</v>
      </c>
      <c r="K82" s="511">
        <f t="shared" si="11"/>
        <v>0</v>
      </c>
    </row>
    <row r="83" spans="1:11" ht="4.9000000000000004" customHeight="1" x14ac:dyDescent="0.25">
      <c r="A83" s="74"/>
      <c r="B83" s="55"/>
      <c r="C83" s="210"/>
      <c r="D83" s="210"/>
      <c r="E83" s="68"/>
      <c r="F83" s="208"/>
      <c r="G83" s="210"/>
      <c r="H83" s="68"/>
      <c r="I83" s="148"/>
      <c r="J83" s="210"/>
      <c r="K83" s="68"/>
    </row>
    <row r="84" spans="1:11" ht="11.25" customHeight="1" x14ac:dyDescent="0.25">
      <c r="A84" s="54" t="s">
        <v>241</v>
      </c>
      <c r="B84" s="55"/>
      <c r="C84" s="76"/>
      <c r="D84" s="76"/>
      <c r="E84" s="77"/>
      <c r="F84" s="78"/>
      <c r="G84" s="76"/>
      <c r="H84" s="77"/>
      <c r="I84" s="75"/>
      <c r="J84" s="76"/>
      <c r="K84" s="77"/>
    </row>
    <row r="85" spans="1:11" ht="11.25" customHeight="1" x14ac:dyDescent="0.25">
      <c r="A85" s="63" t="s">
        <v>1152</v>
      </c>
      <c r="B85" s="55"/>
      <c r="C85" s="1316"/>
      <c r="D85" s="1316"/>
      <c r="E85" s="1325"/>
      <c r="F85" s="1326"/>
      <c r="G85" s="1316"/>
      <c r="H85" s="1325"/>
      <c r="I85" s="1327"/>
      <c r="J85" s="1316"/>
      <c r="K85" s="1325"/>
    </row>
    <row r="86" spans="1:11" ht="11.25" customHeight="1" x14ac:dyDescent="0.25">
      <c r="A86" s="63" t="s">
        <v>1822</v>
      </c>
      <c r="B86" s="55"/>
      <c r="C86" s="1316"/>
      <c r="D86" s="1316"/>
      <c r="E86" s="1325"/>
      <c r="F86" s="1326"/>
      <c r="G86" s="1316"/>
      <c r="H86" s="1325"/>
      <c r="I86" s="1327"/>
      <c r="J86" s="1316"/>
      <c r="K86" s="1325"/>
    </row>
    <row r="87" spans="1:11" ht="11.25" customHeight="1" x14ac:dyDescent="0.25">
      <c r="A87" s="63" t="s">
        <v>659</v>
      </c>
      <c r="B87" s="55"/>
      <c r="C87" s="1316"/>
      <c r="D87" s="1316"/>
      <c r="E87" s="1325"/>
      <c r="F87" s="1326"/>
      <c r="G87" s="1316"/>
      <c r="H87" s="1325"/>
      <c r="I87" s="1327"/>
      <c r="J87" s="1316"/>
      <c r="K87" s="1325"/>
    </row>
    <row r="88" spans="1:11" ht="11.25" customHeight="1" x14ac:dyDescent="0.25">
      <c r="A88" s="63" t="s">
        <v>961</v>
      </c>
      <c r="B88" s="55"/>
      <c r="C88" s="1316"/>
      <c r="D88" s="1316"/>
      <c r="E88" s="1325"/>
      <c r="F88" s="1326"/>
      <c r="G88" s="1316"/>
      <c r="H88" s="1325"/>
      <c r="I88" s="1327"/>
      <c r="J88" s="1316"/>
      <c r="K88" s="1325"/>
    </row>
    <row r="89" spans="1:11" ht="11.25" customHeight="1" x14ac:dyDescent="0.25">
      <c r="A89" s="63" t="s">
        <v>661</v>
      </c>
      <c r="B89" s="55"/>
      <c r="C89" s="1316"/>
      <c r="D89" s="1316"/>
      <c r="E89" s="1325"/>
      <c r="F89" s="1326"/>
      <c r="G89" s="1316"/>
      <c r="H89" s="1325"/>
      <c r="I89" s="1327"/>
      <c r="J89" s="1316"/>
      <c r="K89" s="1325"/>
    </row>
    <row r="90" spans="1:11" ht="11.25" customHeight="1" x14ac:dyDescent="0.25">
      <c r="A90" s="63" t="s">
        <v>1970</v>
      </c>
      <c r="B90" s="55">
        <v>3</v>
      </c>
      <c r="C90" s="1316"/>
      <c r="D90" s="1316"/>
      <c r="E90" s="1325"/>
      <c r="F90" s="1326"/>
      <c r="G90" s="1316"/>
      <c r="H90" s="1325"/>
      <c r="I90" s="1327"/>
      <c r="J90" s="1316"/>
      <c r="K90" s="1325"/>
    </row>
    <row r="91" spans="1:11" ht="11.25" customHeight="1" x14ac:dyDescent="0.25">
      <c r="A91" s="63" t="s">
        <v>1823</v>
      </c>
      <c r="B91" s="55">
        <v>3</v>
      </c>
      <c r="C91" s="1316"/>
      <c r="D91" s="1316"/>
      <c r="E91" s="1325"/>
      <c r="F91" s="1326"/>
      <c r="G91" s="1316"/>
      <c r="H91" s="1325"/>
      <c r="I91" s="1327"/>
      <c r="J91" s="1316"/>
      <c r="K91" s="1325"/>
    </row>
    <row r="92" spans="1:11" ht="11.25" customHeight="1" x14ac:dyDescent="0.25">
      <c r="A92" s="63" t="s">
        <v>1971</v>
      </c>
      <c r="B92" s="55">
        <v>3</v>
      </c>
      <c r="C92" s="1316"/>
      <c r="D92" s="1316"/>
      <c r="E92" s="1325"/>
      <c r="F92" s="1326"/>
      <c r="G92" s="1316"/>
      <c r="H92" s="1325"/>
      <c r="I92" s="1327"/>
      <c r="J92" s="1316"/>
      <c r="K92" s="1325"/>
    </row>
    <row r="93" spans="1:11" ht="11.25" customHeight="1" x14ac:dyDescent="0.25">
      <c r="A93" s="63" t="s">
        <v>1364</v>
      </c>
      <c r="B93" s="55">
        <v>3</v>
      </c>
      <c r="C93" s="1316"/>
      <c r="D93" s="1316"/>
      <c r="E93" s="1325"/>
      <c r="F93" s="1326"/>
      <c r="G93" s="1316"/>
      <c r="H93" s="1325"/>
      <c r="I93" s="1327"/>
      <c r="J93" s="1316"/>
      <c r="K93" s="1325"/>
    </row>
    <row r="94" spans="1:11" ht="11.25" customHeight="1" x14ac:dyDescent="0.25">
      <c r="A94" s="63" t="s">
        <v>1477</v>
      </c>
      <c r="B94" s="55"/>
      <c r="C94" s="1316"/>
      <c r="D94" s="1316"/>
      <c r="E94" s="1325"/>
      <c r="F94" s="1326"/>
      <c r="G94" s="1316"/>
      <c r="H94" s="1325"/>
      <c r="I94" s="1327"/>
      <c r="J94" s="1316"/>
      <c r="K94" s="1325"/>
    </row>
    <row r="95" spans="1:11" ht="11.25" customHeight="1" x14ac:dyDescent="0.25">
      <c r="A95" s="63" t="s">
        <v>962</v>
      </c>
      <c r="B95" s="55"/>
      <c r="C95" s="1316"/>
      <c r="D95" s="1316"/>
      <c r="E95" s="1325"/>
      <c r="F95" s="1326"/>
      <c r="G95" s="1316"/>
      <c r="H95" s="1325"/>
      <c r="I95" s="1327"/>
      <c r="J95" s="1316"/>
      <c r="K95" s="1325"/>
    </row>
    <row r="96" spans="1:11" ht="11.25" customHeight="1" x14ac:dyDescent="0.25">
      <c r="A96" s="63" t="s">
        <v>1478</v>
      </c>
      <c r="B96" s="55">
        <v>6</v>
      </c>
      <c r="C96" s="1316"/>
      <c r="D96" s="1316"/>
      <c r="E96" s="1325"/>
      <c r="F96" s="1326"/>
      <c r="G96" s="1316"/>
      <c r="H96" s="1325"/>
      <c r="I96" s="1327"/>
      <c r="J96" s="1316"/>
      <c r="K96" s="1325"/>
    </row>
    <row r="97" spans="1:11" ht="11.25" customHeight="1" x14ac:dyDescent="0.25">
      <c r="A97" s="118" t="s">
        <v>1150</v>
      </c>
      <c r="B97" s="55"/>
      <c r="C97" s="81">
        <f>SUM(C85:C96)</f>
        <v>0</v>
      </c>
      <c r="D97" s="81">
        <f t="shared" ref="D97:K97" si="12">SUM(D85:D96)</f>
        <v>0</v>
      </c>
      <c r="E97" s="82">
        <f t="shared" si="12"/>
        <v>0</v>
      </c>
      <c r="F97" s="83">
        <f t="shared" si="12"/>
        <v>0</v>
      </c>
      <c r="G97" s="81">
        <f t="shared" si="12"/>
        <v>0</v>
      </c>
      <c r="H97" s="82">
        <f t="shared" si="12"/>
        <v>0</v>
      </c>
      <c r="I97" s="80">
        <f t="shared" si="12"/>
        <v>0</v>
      </c>
      <c r="J97" s="81">
        <f t="shared" si="12"/>
        <v>0</v>
      </c>
      <c r="K97" s="82">
        <f t="shared" si="12"/>
        <v>0</v>
      </c>
    </row>
    <row r="98" spans="1:11" ht="11.25" customHeight="1" x14ac:dyDescent="0.25">
      <c r="A98" s="189" t="str">
        <f>$A$14</f>
        <v>% increase</v>
      </c>
      <c r="B98" s="55">
        <f>$B$14</f>
        <v>4</v>
      </c>
      <c r="C98" s="509"/>
      <c r="D98" s="510">
        <f>IF(ISERROR((D97/C97)-1),0,((D97/C97)-1))</f>
        <v>0</v>
      </c>
      <c r="E98" s="511">
        <f t="shared" ref="E98:K98" si="13">IF(ISERROR((E97/D97)-1),0,((E97/D97)-1))</f>
        <v>0</v>
      </c>
      <c r="F98" s="512">
        <f t="shared" si="13"/>
        <v>0</v>
      </c>
      <c r="G98" s="510">
        <f t="shared" si="13"/>
        <v>0</v>
      </c>
      <c r="H98" s="511">
        <f t="shared" si="13"/>
        <v>0</v>
      </c>
      <c r="I98" s="513">
        <f t="shared" si="13"/>
        <v>0</v>
      </c>
      <c r="J98" s="510">
        <f t="shared" si="13"/>
        <v>0</v>
      </c>
      <c r="K98" s="511">
        <f t="shared" si="13"/>
        <v>0</v>
      </c>
    </row>
    <row r="99" spans="1:11" ht="4.9000000000000004" customHeight="1" x14ac:dyDescent="0.25">
      <c r="A99" s="74"/>
      <c r="B99" s="55"/>
      <c r="C99" s="210"/>
      <c r="D99" s="210"/>
      <c r="E99" s="68"/>
      <c r="F99" s="208"/>
      <c r="G99" s="210"/>
      <c r="H99" s="68"/>
      <c r="I99" s="148"/>
      <c r="J99" s="210"/>
      <c r="K99" s="68"/>
    </row>
    <row r="100" spans="1:11" ht="11.25" customHeight="1" x14ac:dyDescent="0.25">
      <c r="A100" s="175" t="s">
        <v>1382</v>
      </c>
      <c r="B100" s="176"/>
      <c r="C100" s="122">
        <f>C65+C81+C97</f>
        <v>0</v>
      </c>
      <c r="D100" s="122">
        <f t="shared" ref="D100:K100" si="14">D65+D81+D97</f>
        <v>0</v>
      </c>
      <c r="E100" s="123">
        <f t="shared" si="14"/>
        <v>0</v>
      </c>
      <c r="F100" s="124">
        <f t="shared" si="14"/>
        <v>0</v>
      </c>
      <c r="G100" s="122">
        <f t="shared" si="14"/>
        <v>0</v>
      </c>
      <c r="H100" s="123">
        <f t="shared" si="14"/>
        <v>0</v>
      </c>
      <c r="I100" s="121">
        <f t="shared" si="14"/>
        <v>0</v>
      </c>
      <c r="J100" s="122">
        <f t="shared" si="14"/>
        <v>0</v>
      </c>
      <c r="K100" s="123">
        <f t="shared" si="14"/>
        <v>0</v>
      </c>
    </row>
    <row r="101" spans="1:11" ht="6" customHeight="1" x14ac:dyDescent="0.25">
      <c r="A101" s="74"/>
      <c r="B101" s="55"/>
      <c r="C101" s="210"/>
      <c r="D101" s="210"/>
      <c r="E101" s="68"/>
      <c r="F101" s="208"/>
      <c r="G101" s="210"/>
      <c r="H101" s="68"/>
      <c r="I101" s="148"/>
      <c r="J101" s="210"/>
      <c r="K101" s="68"/>
    </row>
    <row r="102" spans="1:11" ht="25.5" x14ac:dyDescent="0.25">
      <c r="A102" s="782" t="s">
        <v>494</v>
      </c>
      <c r="B102" s="179"/>
      <c r="C102" s="128">
        <f>C48+C100</f>
        <v>0</v>
      </c>
      <c r="D102" s="128">
        <f>D48+D100</f>
        <v>0</v>
      </c>
      <c r="E102" s="129">
        <f t="shared" ref="E102:K102" si="15">E48+E100</f>
        <v>0</v>
      </c>
      <c r="F102" s="130">
        <f t="shared" si="15"/>
        <v>0</v>
      </c>
      <c r="G102" s="128">
        <f t="shared" si="15"/>
        <v>0</v>
      </c>
      <c r="H102" s="129">
        <f t="shared" si="15"/>
        <v>0</v>
      </c>
      <c r="I102" s="127">
        <f t="shared" si="15"/>
        <v>0</v>
      </c>
      <c r="J102" s="128">
        <f t="shared" si="15"/>
        <v>0</v>
      </c>
      <c r="K102" s="129">
        <f t="shared" si="15"/>
        <v>0</v>
      </c>
    </row>
    <row r="103" spans="1:11" ht="12.75" customHeight="1" x14ac:dyDescent="0.25">
      <c r="A103" s="189" t="str">
        <f>$A$14</f>
        <v>% increase</v>
      </c>
      <c r="B103" s="55">
        <f>$B$14</f>
        <v>4</v>
      </c>
      <c r="C103" s="514"/>
      <c r="D103" s="510">
        <f>IF(ISERROR((D102/C102)-1),0,((D102/C102)-1))</f>
        <v>0</v>
      </c>
      <c r="E103" s="513">
        <f t="shared" ref="E103:K103" si="16">IF(ISERROR((E102/D102)-1),0,((E102/D102)-1))</f>
        <v>0</v>
      </c>
      <c r="F103" s="512">
        <f t="shared" si="16"/>
        <v>0</v>
      </c>
      <c r="G103" s="510">
        <f t="shared" si="16"/>
        <v>0</v>
      </c>
      <c r="H103" s="511">
        <f t="shared" si="16"/>
        <v>0</v>
      </c>
      <c r="I103" s="513">
        <f t="shared" si="16"/>
        <v>0</v>
      </c>
      <c r="J103" s="510">
        <f t="shared" si="16"/>
        <v>0</v>
      </c>
      <c r="K103" s="511">
        <f t="shared" si="16"/>
        <v>0</v>
      </c>
    </row>
    <row r="104" spans="1:11" ht="12.75" customHeight="1" x14ac:dyDescent="0.25">
      <c r="A104" s="92" t="s">
        <v>1278</v>
      </c>
      <c r="B104" s="93" t="s">
        <v>2016</v>
      </c>
      <c r="C104" s="95">
        <f t="shared" ref="C104:K104" si="17">C29+C45+C81+C97</f>
        <v>0</v>
      </c>
      <c r="D104" s="95">
        <f t="shared" si="17"/>
        <v>0</v>
      </c>
      <c r="E104" s="94">
        <f t="shared" si="17"/>
        <v>0</v>
      </c>
      <c r="F104" s="97">
        <f t="shared" si="17"/>
        <v>0</v>
      </c>
      <c r="G104" s="95">
        <f t="shared" si="17"/>
        <v>0</v>
      </c>
      <c r="H104" s="96">
        <f t="shared" si="17"/>
        <v>0</v>
      </c>
      <c r="I104" s="94">
        <f t="shared" si="17"/>
        <v>0</v>
      </c>
      <c r="J104" s="95">
        <f t="shared" si="17"/>
        <v>0</v>
      </c>
      <c r="K104" s="96">
        <f t="shared" si="17"/>
        <v>0</v>
      </c>
    </row>
    <row r="105" spans="1:11" s="464" customFormat="1" x14ac:dyDescent="0.25">
      <c r="A105" s="101" t="str">
        <f>head27a</f>
        <v>References</v>
      </c>
      <c r="B105" s="645"/>
      <c r="C105" s="668"/>
      <c r="D105" s="668"/>
      <c r="E105" s="668"/>
      <c r="F105" s="668"/>
      <c r="G105" s="668"/>
      <c r="H105" s="668"/>
      <c r="I105" s="668"/>
      <c r="J105" s="668"/>
      <c r="K105" s="668"/>
    </row>
    <row r="106" spans="1:11" s="464" customFormat="1" x14ac:dyDescent="0.25">
      <c r="A106" s="132" t="s">
        <v>1471</v>
      </c>
      <c r="B106" s="645"/>
      <c r="C106" s="668"/>
      <c r="D106" s="668"/>
      <c r="E106" s="668"/>
      <c r="F106" s="668"/>
      <c r="G106" s="668"/>
      <c r="H106" s="668"/>
      <c r="I106" s="668"/>
      <c r="J106" s="668"/>
      <c r="K106" s="668"/>
    </row>
    <row r="107" spans="1:11" s="464" customFormat="1" x14ac:dyDescent="0.25">
      <c r="A107" s="132" t="s">
        <v>587</v>
      </c>
      <c r="B107" s="645"/>
      <c r="C107" s="668"/>
      <c r="D107" s="668"/>
      <c r="E107" s="668"/>
      <c r="F107" s="668"/>
      <c r="G107" s="668"/>
      <c r="H107" s="668"/>
      <c r="I107" s="668"/>
      <c r="J107" s="668"/>
      <c r="K107" s="668"/>
    </row>
    <row r="108" spans="1:11" s="464" customFormat="1" x14ac:dyDescent="0.25">
      <c r="A108" s="132" t="s">
        <v>1994</v>
      </c>
      <c r="B108" s="645"/>
      <c r="C108" s="668"/>
      <c r="D108" s="668"/>
      <c r="E108" s="668"/>
      <c r="F108" s="668"/>
      <c r="G108" s="668"/>
      <c r="H108" s="668"/>
      <c r="I108" s="668"/>
      <c r="J108" s="668"/>
      <c r="K108" s="668"/>
    </row>
    <row r="109" spans="1:11" s="464" customFormat="1" x14ac:dyDescent="0.25">
      <c r="A109" s="132" t="s">
        <v>1472</v>
      </c>
      <c r="B109" s="645"/>
      <c r="C109" s="668"/>
    </row>
    <row r="110" spans="1:11" s="464" customFormat="1" x14ac:dyDescent="0.25">
      <c r="A110" s="132" t="s">
        <v>109</v>
      </c>
      <c r="B110" s="645"/>
      <c r="C110" s="668"/>
    </row>
    <row r="111" spans="1:11" s="464" customFormat="1" x14ac:dyDescent="0.25">
      <c r="A111" s="132" t="s">
        <v>1824</v>
      </c>
      <c r="B111" s="645"/>
      <c r="C111" s="668"/>
    </row>
    <row r="112" spans="1:11" s="464" customFormat="1" x14ac:dyDescent="0.25">
      <c r="A112" s="132" t="s">
        <v>2015</v>
      </c>
      <c r="B112" s="645"/>
      <c r="C112" s="668"/>
    </row>
    <row r="113" spans="1:3" s="464" customFormat="1" ht="3.75" customHeight="1" x14ac:dyDescent="0.25">
      <c r="A113" s="132"/>
      <c r="B113" s="645"/>
      <c r="C113" s="668"/>
    </row>
    <row r="114" spans="1:3" s="464" customFormat="1" x14ac:dyDescent="0.25">
      <c r="A114" s="101" t="s">
        <v>474</v>
      </c>
      <c r="B114" s="645"/>
    </row>
    <row r="115" spans="1:3" s="464" customFormat="1" x14ac:dyDescent="0.25">
      <c r="A115" s="132" t="s">
        <v>1519</v>
      </c>
      <c r="B115" s="645"/>
    </row>
    <row r="116" spans="1:3" s="464" customFormat="1" x14ac:dyDescent="0.25">
      <c r="A116" s="132" t="s">
        <v>143</v>
      </c>
      <c r="B116" s="645"/>
    </row>
    <row r="117" spans="1:3" s="464" customFormat="1" x14ac:dyDescent="0.25">
      <c r="A117" s="132" t="s">
        <v>144</v>
      </c>
      <c r="B117" s="645"/>
    </row>
    <row r="118" spans="1:3" s="464" customFormat="1" x14ac:dyDescent="0.25">
      <c r="A118" s="132" t="s">
        <v>145</v>
      </c>
      <c r="B118" s="645"/>
    </row>
    <row r="119" spans="1:3" s="464" customFormat="1" x14ac:dyDescent="0.25">
      <c r="A119" s="132" t="s">
        <v>146</v>
      </c>
      <c r="B119" s="645"/>
    </row>
    <row r="120" spans="1:3" s="464" customFormat="1" x14ac:dyDescent="0.25">
      <c r="A120" s="132" t="s">
        <v>147</v>
      </c>
      <c r="B120" s="645"/>
    </row>
    <row r="122" spans="1:3" x14ac:dyDescent="0.25">
      <c r="B122" s="25"/>
    </row>
    <row r="123" spans="1:3" x14ac:dyDescent="0.25">
      <c r="B123" s="25"/>
    </row>
    <row r="124" spans="1:3" x14ac:dyDescent="0.25">
      <c r="B124" s="25"/>
    </row>
    <row r="125" spans="1:3" x14ac:dyDescent="0.25">
      <c r="B125" s="25"/>
    </row>
    <row r="126" spans="1:3" x14ac:dyDescent="0.25">
      <c r="B126" s="25"/>
    </row>
    <row r="127" spans="1:3" x14ac:dyDescent="0.25">
      <c r="B127" s="25"/>
    </row>
    <row r="128" spans="1:3"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row r="196" spans="2:2" x14ac:dyDescent="0.25">
      <c r="B196" s="25"/>
    </row>
  </sheetData>
  <mergeCells count="2">
    <mergeCell ref="F2:H2"/>
    <mergeCell ref="I2:K2"/>
  </mergeCells>
  <phoneticPr fontId="3" type="noConversion"/>
  <dataValidations count="1">
    <dataValidation type="decimal" allowBlank="1" showInputMessage="1" showErrorMessage="1" sqref="C17:K28 C33:K44 C52:K64 C69:K80 C85:K96 C6:K12" xr:uid="{00000000-0002-0000-2B00-000000000000}">
      <formula1>-99999999999999900000</formula1>
      <formula2>99999999999999900000</formula2>
    </dataValidation>
  </dataValidations>
  <printOptions horizontalCentered="1"/>
  <pageMargins left="0" right="0" top="0.78740157480314965" bottom="0.39370078740157483" header="0.51181102362204722" footer="0.39370078740157483"/>
  <pageSetup paperSize="9" scale="87" fitToHeight="2" orientation="portrait"/>
  <headerFooter alignWithMargins="0"/>
  <rowBreaks count="1" manualBreakCount="1">
    <brk id="66" max="10"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pageSetUpPr fitToPage="1"/>
  </sheetPr>
  <dimension ref="A1:I70"/>
  <sheetViews>
    <sheetView showGridLines="0" zoomScaleNormal="100" workbookViewId="0">
      <pane xSplit="2" ySplit="3" topLeftCell="C4" activePane="bottomRight" state="frozen"/>
      <selection pane="topRight"/>
      <selection pane="bottomLeft"/>
      <selection pane="bottomRight" activeCell="A4" sqref="A4"/>
    </sheetView>
  </sheetViews>
  <sheetFormatPr defaultRowHeight="12.75" x14ac:dyDescent="0.25"/>
  <cols>
    <col min="1" max="1" width="38.7109375" style="25" customWidth="1"/>
    <col min="2" max="2" width="3" style="102" customWidth="1"/>
    <col min="3" max="3" width="4.140625" style="102" customWidth="1"/>
    <col min="4" max="4" width="9.28515625" style="25" customWidth="1"/>
    <col min="5" max="5" width="9.7109375" style="25" customWidth="1"/>
    <col min="6" max="9" width="9.28515625" style="25" customWidth="1"/>
    <col min="10" max="10" width="9.7109375" style="25" customWidth="1"/>
    <col min="11" max="11" width="9.42578125" style="25" customWidth="1"/>
    <col min="12" max="12" width="9.7109375" style="25" customWidth="1"/>
    <col min="13" max="15" width="9.42578125" style="25" customWidth="1"/>
    <col min="16" max="16" width="9.7109375" style="25" customWidth="1"/>
    <col min="17" max="19" width="9.42578125" style="25" customWidth="1"/>
    <col min="20" max="21" width="9.7109375" style="25" customWidth="1"/>
    <col min="22" max="16384" width="9.140625" style="25"/>
  </cols>
  <sheetData>
    <row r="1" spans="1:9" ht="13.5" customHeight="1" x14ac:dyDescent="0.25">
      <c r="A1" s="23" t="str">
        <f>muni&amp;" - "&amp;TableA23</f>
        <v>EC101 Dr Beyers Naude - Supporting Table SA23 Salaries, allowances &amp; benefits (political office bearers/councillors/senior managers)</v>
      </c>
      <c r="B1" s="23"/>
      <c r="C1" s="23"/>
      <c r="D1" s="23"/>
      <c r="E1" s="23"/>
      <c r="F1" s="23"/>
      <c r="G1" s="23"/>
      <c r="H1" s="23"/>
      <c r="I1" s="23"/>
    </row>
    <row r="2" spans="1:9" ht="24.75" customHeight="1" x14ac:dyDescent="0.25">
      <c r="A2" s="614" t="s">
        <v>284</v>
      </c>
      <c r="B2" s="220" t="str">
        <f>head27</f>
        <v>Ref</v>
      </c>
      <c r="C2" s="1956" t="s">
        <v>1991</v>
      </c>
      <c r="D2" s="1934" t="s">
        <v>93</v>
      </c>
      <c r="E2" s="1240" t="s">
        <v>1993</v>
      </c>
      <c r="F2" s="1934" t="s">
        <v>94</v>
      </c>
      <c r="G2" s="1934" t="s">
        <v>656</v>
      </c>
      <c r="H2" s="519" t="s">
        <v>847</v>
      </c>
      <c r="I2" s="519" t="s">
        <v>848</v>
      </c>
    </row>
    <row r="3" spans="1:9" ht="29.25" customHeight="1" x14ac:dyDescent="0.25">
      <c r="A3" s="53" t="s">
        <v>674</v>
      </c>
      <c r="B3" s="878"/>
      <c r="C3" s="1957"/>
      <c r="D3" s="1935"/>
      <c r="E3" s="1239" t="s">
        <v>1992</v>
      </c>
      <c r="F3" s="1935"/>
      <c r="G3" s="1935"/>
      <c r="H3" s="628"/>
      <c r="I3" s="628" t="s">
        <v>1593</v>
      </c>
    </row>
    <row r="4" spans="1:9" ht="11.25" customHeight="1" x14ac:dyDescent="0.25">
      <c r="A4" s="54" t="s">
        <v>92</v>
      </c>
      <c r="B4" s="55">
        <v>3</v>
      </c>
      <c r="C4" s="520"/>
      <c r="D4" s="205"/>
      <c r="E4" s="205"/>
      <c r="F4" s="205"/>
      <c r="G4" s="205"/>
      <c r="H4" s="206"/>
      <c r="I4" s="521"/>
    </row>
    <row r="5" spans="1:9" ht="11.25" customHeight="1" x14ac:dyDescent="0.25">
      <c r="A5" s="63" t="s">
        <v>626</v>
      </c>
      <c r="B5" s="55">
        <v>4</v>
      </c>
      <c r="C5" s="1643"/>
      <c r="D5" s="1354"/>
      <c r="E5" s="1354"/>
      <c r="F5" s="1354"/>
      <c r="G5" s="931"/>
      <c r="H5" s="932"/>
      <c r="I5" s="521">
        <f t="shared" ref="I5:I10" si="0">SUM(D5:F5)</f>
        <v>0</v>
      </c>
    </row>
    <row r="6" spans="1:9" ht="11.25" customHeight="1" x14ac:dyDescent="0.25">
      <c r="A6" s="63" t="s">
        <v>1153</v>
      </c>
      <c r="B6" s="55"/>
      <c r="C6" s="1643"/>
      <c r="D6" s="1354"/>
      <c r="E6" s="1354"/>
      <c r="F6" s="1354"/>
      <c r="G6" s="931"/>
      <c r="H6" s="932"/>
      <c r="I6" s="521">
        <f t="shared" si="0"/>
        <v>0</v>
      </c>
    </row>
    <row r="7" spans="1:9" ht="11.25" customHeight="1" x14ac:dyDescent="0.25">
      <c r="A7" s="63" t="s">
        <v>627</v>
      </c>
      <c r="B7" s="55"/>
      <c r="C7" s="1643"/>
      <c r="D7" s="1354"/>
      <c r="E7" s="1354"/>
      <c r="F7" s="1354"/>
      <c r="G7" s="931"/>
      <c r="H7" s="932"/>
      <c r="I7" s="521">
        <f t="shared" si="0"/>
        <v>0</v>
      </c>
    </row>
    <row r="8" spans="1:9" ht="11.25" customHeight="1" x14ac:dyDescent="0.25">
      <c r="A8" s="63" t="s">
        <v>235</v>
      </c>
      <c r="B8" s="55"/>
      <c r="C8" s="1643"/>
      <c r="D8" s="1354"/>
      <c r="E8" s="1354"/>
      <c r="F8" s="1354"/>
      <c r="G8" s="931"/>
      <c r="H8" s="932"/>
      <c r="I8" s="521">
        <f t="shared" si="0"/>
        <v>0</v>
      </c>
    </row>
    <row r="9" spans="1:9" ht="11.25" customHeight="1" x14ac:dyDescent="0.25">
      <c r="A9" s="63" t="s">
        <v>394</v>
      </c>
      <c r="B9" s="55"/>
      <c r="C9" s="1643"/>
      <c r="D9" s="1354"/>
      <c r="E9" s="1354"/>
      <c r="F9" s="1354"/>
      <c r="G9" s="931"/>
      <c r="H9" s="932"/>
      <c r="I9" s="521">
        <f t="shared" si="0"/>
        <v>0</v>
      </c>
    </row>
    <row r="10" spans="1:9" ht="11.25" customHeight="1" x14ac:dyDescent="0.25">
      <c r="A10" s="63" t="s">
        <v>395</v>
      </c>
      <c r="B10" s="55"/>
      <c r="C10" s="1643"/>
      <c r="D10" s="1354"/>
      <c r="E10" s="1354"/>
      <c r="F10" s="1354"/>
      <c r="G10" s="931"/>
      <c r="H10" s="932"/>
      <c r="I10" s="521">
        <f t="shared" si="0"/>
        <v>0</v>
      </c>
    </row>
    <row r="11" spans="1:9" ht="11.25" customHeight="1" x14ac:dyDescent="0.25">
      <c r="A11" s="175" t="str">
        <f>"Total "&amp;A4</f>
        <v>Total Councillors</v>
      </c>
      <c r="B11" s="176">
        <v>8</v>
      </c>
      <c r="C11" s="522">
        <f t="shared" ref="C11:I11" si="1">SUM(C5:C10)</f>
        <v>0</v>
      </c>
      <c r="D11" s="523">
        <f t="shared" si="1"/>
        <v>0</v>
      </c>
      <c r="E11" s="523">
        <f t="shared" si="1"/>
        <v>0</v>
      </c>
      <c r="F11" s="523">
        <f t="shared" si="1"/>
        <v>0</v>
      </c>
      <c r="G11" s="523"/>
      <c r="H11" s="526"/>
      <c r="I11" s="524">
        <f t="shared" si="1"/>
        <v>0</v>
      </c>
    </row>
    <row r="12" spans="1:9" x14ac:dyDescent="0.25">
      <c r="A12" s="74"/>
      <c r="B12" s="55"/>
      <c r="C12" s="520"/>
      <c r="D12" s="205"/>
      <c r="E12" s="205"/>
      <c r="F12" s="205"/>
      <c r="G12" s="205"/>
      <c r="H12" s="206"/>
      <c r="I12" s="521"/>
    </row>
    <row r="13" spans="1:9" ht="11.25" customHeight="1" x14ac:dyDescent="0.25">
      <c r="A13" s="54" t="s">
        <v>1151</v>
      </c>
      <c r="B13" s="55">
        <v>5</v>
      </c>
      <c r="C13" s="520"/>
      <c r="D13" s="205"/>
      <c r="E13" s="205"/>
      <c r="F13" s="205"/>
      <c r="G13" s="205"/>
      <c r="H13" s="206"/>
      <c r="I13" s="521"/>
    </row>
    <row r="14" spans="1:9" ht="11.25" customHeight="1" x14ac:dyDescent="0.25">
      <c r="A14" s="63" t="s">
        <v>95</v>
      </c>
      <c r="B14" s="55"/>
      <c r="C14" s="1643"/>
      <c r="D14" s="1354"/>
      <c r="E14" s="1354"/>
      <c r="F14" s="1354"/>
      <c r="G14" s="1354"/>
      <c r="H14" s="932"/>
      <c r="I14" s="521">
        <f t="shared" ref="I14:I19" si="2">SUM(D14:H14)</f>
        <v>0</v>
      </c>
    </row>
    <row r="15" spans="1:9" ht="11.25" customHeight="1" x14ac:dyDescent="0.25">
      <c r="A15" s="63" t="s">
        <v>96</v>
      </c>
      <c r="B15" s="55"/>
      <c r="C15" s="1643"/>
      <c r="D15" s="1354"/>
      <c r="E15" s="1354"/>
      <c r="F15" s="1354"/>
      <c r="G15" s="1354"/>
      <c r="H15" s="932"/>
      <c r="I15" s="521">
        <f t="shared" si="2"/>
        <v>0</v>
      </c>
    </row>
    <row r="16" spans="1:9" ht="11.25" customHeight="1" x14ac:dyDescent="0.25">
      <c r="A16" s="1369"/>
      <c r="B16" s="55"/>
      <c r="C16" s="1643"/>
      <c r="D16" s="1354"/>
      <c r="E16" s="1354"/>
      <c r="F16" s="1354"/>
      <c r="G16" s="1354"/>
      <c r="H16" s="932"/>
      <c r="I16" s="521">
        <f t="shared" si="2"/>
        <v>0</v>
      </c>
    </row>
    <row r="17" spans="1:9" ht="11.25" customHeight="1" x14ac:dyDescent="0.25">
      <c r="A17" s="1369"/>
      <c r="B17" s="55"/>
      <c r="C17" s="1643"/>
      <c r="D17" s="1354"/>
      <c r="E17" s="1354"/>
      <c r="F17" s="1354"/>
      <c r="G17" s="1354"/>
      <c r="H17" s="932"/>
      <c r="I17" s="521">
        <f t="shared" si="2"/>
        <v>0</v>
      </c>
    </row>
    <row r="18" spans="1:9" ht="11.25" customHeight="1" x14ac:dyDescent="0.25">
      <c r="A18" s="1369"/>
      <c r="B18" s="55"/>
      <c r="C18" s="1643"/>
      <c r="D18" s="1354"/>
      <c r="E18" s="1354"/>
      <c r="F18" s="1354"/>
      <c r="G18" s="1354"/>
      <c r="H18" s="932"/>
      <c r="I18" s="521">
        <f t="shared" si="2"/>
        <v>0</v>
      </c>
    </row>
    <row r="19" spans="1:9" ht="11.25" customHeight="1" x14ac:dyDescent="0.25">
      <c r="A19" s="1369"/>
      <c r="B19" s="55"/>
      <c r="C19" s="1643"/>
      <c r="D19" s="1354"/>
      <c r="E19" s="1354"/>
      <c r="F19" s="1354"/>
      <c r="G19" s="1354"/>
      <c r="H19" s="932"/>
      <c r="I19" s="521">
        <f t="shared" si="2"/>
        <v>0</v>
      </c>
    </row>
    <row r="20" spans="1:9" ht="4.9000000000000004" customHeight="1" x14ac:dyDescent="0.25">
      <c r="A20" s="74"/>
      <c r="B20" s="55"/>
      <c r="C20" s="1008"/>
      <c r="D20" s="1009"/>
      <c r="E20" s="1009"/>
      <c r="F20" s="1009"/>
      <c r="G20" s="1009"/>
      <c r="H20" s="1010"/>
      <c r="I20" s="521"/>
    </row>
    <row r="21" spans="1:9" ht="11.25" customHeight="1" x14ac:dyDescent="0.25">
      <c r="A21" s="525" t="s">
        <v>275</v>
      </c>
      <c r="B21" s="55"/>
      <c r="C21" s="520"/>
      <c r="D21" s="205"/>
      <c r="E21" s="205"/>
      <c r="F21" s="205"/>
      <c r="G21" s="205"/>
      <c r="H21" s="206"/>
      <c r="I21" s="521"/>
    </row>
    <row r="22" spans="1:9" ht="11.25" customHeight="1" x14ac:dyDescent="0.25">
      <c r="A22" s="1369"/>
      <c r="B22" s="55"/>
      <c r="C22" s="1643"/>
      <c r="D22" s="1354"/>
      <c r="E22" s="1354"/>
      <c r="F22" s="1354"/>
      <c r="G22" s="1354"/>
      <c r="H22" s="932"/>
      <c r="I22" s="521">
        <f>SUM(D22:H22)</f>
        <v>0</v>
      </c>
    </row>
    <row r="23" spans="1:9" ht="11.25" customHeight="1" x14ac:dyDescent="0.25">
      <c r="A23" s="1369"/>
      <c r="B23" s="55"/>
      <c r="C23" s="1643"/>
      <c r="D23" s="1354"/>
      <c r="E23" s="1354"/>
      <c r="F23" s="1354"/>
      <c r="G23" s="1354"/>
      <c r="H23" s="932"/>
      <c r="I23" s="521">
        <f t="shared" ref="I23:I32" si="3">SUM(D23:H23)</f>
        <v>0</v>
      </c>
    </row>
    <row r="24" spans="1:9" ht="11.25" customHeight="1" x14ac:dyDescent="0.25">
      <c r="A24" s="1369"/>
      <c r="B24" s="55"/>
      <c r="C24" s="1643"/>
      <c r="D24" s="1354"/>
      <c r="E24" s="1354"/>
      <c r="F24" s="1354"/>
      <c r="G24" s="1354"/>
      <c r="H24" s="932"/>
      <c r="I24" s="521">
        <f t="shared" si="3"/>
        <v>0</v>
      </c>
    </row>
    <row r="25" spans="1:9" ht="11.25" customHeight="1" x14ac:dyDescent="0.25">
      <c r="A25" s="1369"/>
      <c r="B25" s="55"/>
      <c r="C25" s="1643"/>
      <c r="D25" s="1354"/>
      <c r="E25" s="1354"/>
      <c r="F25" s="1354"/>
      <c r="G25" s="1354"/>
      <c r="H25" s="932"/>
      <c r="I25" s="521">
        <f t="shared" si="3"/>
        <v>0</v>
      </c>
    </row>
    <row r="26" spans="1:9" ht="11.25" customHeight="1" x14ac:dyDescent="0.25">
      <c r="A26" s="1369"/>
      <c r="B26" s="55"/>
      <c r="C26" s="1643"/>
      <c r="D26" s="1354"/>
      <c r="E26" s="1354"/>
      <c r="F26" s="1354"/>
      <c r="G26" s="1354"/>
      <c r="H26" s="932"/>
      <c r="I26" s="521">
        <f t="shared" si="3"/>
        <v>0</v>
      </c>
    </row>
    <row r="27" spans="1:9" ht="11.25" customHeight="1" x14ac:dyDescent="0.25">
      <c r="A27" s="1369"/>
      <c r="B27" s="55"/>
      <c r="C27" s="1643"/>
      <c r="D27" s="1354"/>
      <c r="E27" s="1354"/>
      <c r="F27" s="1354"/>
      <c r="G27" s="1354"/>
      <c r="H27" s="932"/>
      <c r="I27" s="521">
        <f t="shared" si="3"/>
        <v>0</v>
      </c>
    </row>
    <row r="28" spans="1:9" ht="11.25" customHeight="1" x14ac:dyDescent="0.25">
      <c r="A28" s="1369"/>
      <c r="B28" s="55"/>
      <c r="C28" s="1643"/>
      <c r="D28" s="1354"/>
      <c r="E28" s="1354"/>
      <c r="F28" s="1354"/>
      <c r="G28" s="1354"/>
      <c r="H28" s="932"/>
      <c r="I28" s="521">
        <f t="shared" si="3"/>
        <v>0</v>
      </c>
    </row>
    <row r="29" spans="1:9" ht="11.25" customHeight="1" x14ac:dyDescent="0.25">
      <c r="A29" s="1369"/>
      <c r="B29" s="55"/>
      <c r="C29" s="1643"/>
      <c r="D29" s="1354"/>
      <c r="E29" s="1354"/>
      <c r="F29" s="1354"/>
      <c r="G29" s="1354"/>
      <c r="H29" s="932"/>
      <c r="I29" s="521">
        <f t="shared" si="3"/>
        <v>0</v>
      </c>
    </row>
    <row r="30" spans="1:9" ht="11.25" customHeight="1" x14ac:dyDescent="0.25">
      <c r="A30" s="1369"/>
      <c r="B30" s="55"/>
      <c r="C30" s="1643"/>
      <c r="D30" s="1354"/>
      <c r="E30" s="1354"/>
      <c r="F30" s="1354"/>
      <c r="G30" s="1354"/>
      <c r="H30" s="932"/>
      <c r="I30" s="521">
        <f t="shared" si="3"/>
        <v>0</v>
      </c>
    </row>
    <row r="31" spans="1:9" ht="11.25" customHeight="1" x14ac:dyDescent="0.25">
      <c r="A31" s="1369"/>
      <c r="B31" s="55"/>
      <c r="C31" s="1643"/>
      <c r="D31" s="1354"/>
      <c r="E31" s="1354"/>
      <c r="F31" s="1354"/>
      <c r="G31" s="1354"/>
      <c r="H31" s="932"/>
      <c r="I31" s="521">
        <f t="shared" si="3"/>
        <v>0</v>
      </c>
    </row>
    <row r="32" spans="1:9" ht="11.25" customHeight="1" x14ac:dyDescent="0.25">
      <c r="A32" s="1369"/>
      <c r="B32" s="55"/>
      <c r="C32" s="1643"/>
      <c r="D32" s="1354"/>
      <c r="E32" s="1354"/>
      <c r="F32" s="1354"/>
      <c r="G32" s="1354"/>
      <c r="H32" s="932"/>
      <c r="I32" s="521">
        <f t="shared" si="3"/>
        <v>0</v>
      </c>
    </row>
    <row r="33" spans="1:9" ht="11.25" customHeight="1" x14ac:dyDescent="0.25">
      <c r="A33" s="1350"/>
      <c r="B33" s="55"/>
      <c r="C33" s="1643"/>
      <c r="D33" s="1354"/>
      <c r="E33" s="1354"/>
      <c r="F33" s="1354"/>
      <c r="G33" s="1354"/>
      <c r="H33" s="932"/>
      <c r="I33" s="521">
        <f>SUM(D33:H33)</f>
        <v>0</v>
      </c>
    </row>
    <row r="34" spans="1:9" ht="11.25" customHeight="1" x14ac:dyDescent="0.25">
      <c r="A34" s="1350"/>
      <c r="B34" s="55"/>
      <c r="C34" s="1643"/>
      <c r="D34" s="1354"/>
      <c r="E34" s="1354"/>
      <c r="F34" s="1354"/>
      <c r="G34" s="1354"/>
      <c r="H34" s="932"/>
      <c r="I34" s="521">
        <f>SUM(D34:H34)</f>
        <v>0</v>
      </c>
    </row>
    <row r="35" spans="1:9" ht="11.25" customHeight="1" x14ac:dyDescent="0.25">
      <c r="A35" s="175" t="str">
        <f>"Total "&amp;A13</f>
        <v>Total Senior Managers of the Municipality</v>
      </c>
      <c r="B35" s="176" t="s">
        <v>2018</v>
      </c>
      <c r="C35" s="522">
        <f>SUM(C14:C34)</f>
        <v>0</v>
      </c>
      <c r="D35" s="523">
        <f>SUM(D14:D34)</f>
        <v>0</v>
      </c>
      <c r="E35" s="523">
        <f>SUM(E14:E34)</f>
        <v>0</v>
      </c>
      <c r="F35" s="523">
        <f>SUM(F14:F34)</f>
        <v>0</v>
      </c>
      <c r="G35" s="523">
        <f>SUM(G14:G34)</f>
        <v>0</v>
      </c>
      <c r="H35" s="526"/>
      <c r="I35" s="524">
        <f>SUM(I14:I34)</f>
        <v>0</v>
      </c>
    </row>
    <row r="36" spans="1:9" x14ac:dyDescent="0.25">
      <c r="A36" s="74"/>
      <c r="B36" s="55"/>
      <c r="C36" s="520"/>
      <c r="D36" s="205"/>
      <c r="E36" s="205"/>
      <c r="F36" s="205"/>
      <c r="G36" s="205"/>
      <c r="H36" s="206"/>
      <c r="I36" s="521"/>
    </row>
    <row r="37" spans="1:9" ht="11.25" customHeight="1" x14ac:dyDescent="0.25">
      <c r="A37" s="54" t="s">
        <v>657</v>
      </c>
      <c r="B37" s="55" t="s">
        <v>1995</v>
      </c>
      <c r="C37" s="520"/>
      <c r="D37" s="205"/>
      <c r="E37" s="205"/>
      <c r="F37" s="205"/>
      <c r="G37" s="205"/>
      <c r="H37" s="206"/>
      <c r="I37" s="521"/>
    </row>
    <row r="38" spans="1:9" ht="11.25" customHeight="1" x14ac:dyDescent="0.25">
      <c r="A38" s="63" t="s">
        <v>97</v>
      </c>
      <c r="B38" s="55"/>
      <c r="C38" s="520"/>
      <c r="D38" s="205"/>
      <c r="E38" s="205"/>
      <c r="F38" s="205"/>
      <c r="G38" s="205"/>
      <c r="H38" s="206"/>
      <c r="I38" s="521"/>
    </row>
    <row r="39" spans="1:9" ht="11.25" customHeight="1" x14ac:dyDescent="0.25">
      <c r="A39" s="1369"/>
      <c r="B39" s="55"/>
      <c r="C39" s="1643"/>
      <c r="D39" s="1354"/>
      <c r="E39" s="1354"/>
      <c r="F39" s="1354"/>
      <c r="G39" s="1354"/>
      <c r="H39" s="932"/>
      <c r="I39" s="521">
        <f>SUM(D39:G39)</f>
        <v>0</v>
      </c>
    </row>
    <row r="40" spans="1:9" ht="11.25" customHeight="1" x14ac:dyDescent="0.25">
      <c r="A40" s="1369"/>
      <c r="B40" s="55"/>
      <c r="C40" s="1643"/>
      <c r="D40" s="1354"/>
      <c r="E40" s="1354"/>
      <c r="F40" s="1354"/>
      <c r="G40" s="1354"/>
      <c r="H40" s="932"/>
      <c r="I40" s="521">
        <f t="shared" ref="I40:I54" si="4">SUM(D40:G40)</f>
        <v>0</v>
      </c>
    </row>
    <row r="41" spans="1:9" ht="11.25" customHeight="1" x14ac:dyDescent="0.25">
      <c r="A41" s="1369"/>
      <c r="B41" s="55"/>
      <c r="C41" s="1643"/>
      <c r="D41" s="1354"/>
      <c r="E41" s="1354"/>
      <c r="F41" s="1354"/>
      <c r="G41" s="1354"/>
      <c r="H41" s="932"/>
      <c r="I41" s="521">
        <f t="shared" si="4"/>
        <v>0</v>
      </c>
    </row>
    <row r="42" spans="1:9" ht="11.25" customHeight="1" x14ac:dyDescent="0.25">
      <c r="A42" s="1369"/>
      <c r="B42" s="55"/>
      <c r="C42" s="1643"/>
      <c r="D42" s="1354"/>
      <c r="E42" s="1354"/>
      <c r="F42" s="1354"/>
      <c r="G42" s="1354"/>
      <c r="H42" s="932"/>
      <c r="I42" s="521">
        <f t="shared" si="4"/>
        <v>0</v>
      </c>
    </row>
    <row r="43" spans="1:9" ht="11.25" customHeight="1" x14ac:dyDescent="0.25">
      <c r="A43" s="1369"/>
      <c r="B43" s="55"/>
      <c r="C43" s="1643"/>
      <c r="D43" s="1354"/>
      <c r="E43" s="1354"/>
      <c r="F43" s="1354"/>
      <c r="G43" s="1354"/>
      <c r="H43" s="932"/>
      <c r="I43" s="521">
        <f t="shared" si="4"/>
        <v>0</v>
      </c>
    </row>
    <row r="44" spans="1:9" ht="11.25" customHeight="1" x14ac:dyDescent="0.25">
      <c r="A44" s="1369"/>
      <c r="B44" s="55"/>
      <c r="C44" s="1643"/>
      <c r="D44" s="1354"/>
      <c r="E44" s="1354"/>
      <c r="F44" s="1354"/>
      <c r="G44" s="1354"/>
      <c r="H44" s="932"/>
      <c r="I44" s="521">
        <f t="shared" si="4"/>
        <v>0</v>
      </c>
    </row>
    <row r="45" spans="1:9" ht="11.25" customHeight="1" x14ac:dyDescent="0.25">
      <c r="A45" s="1369"/>
      <c r="B45" s="55"/>
      <c r="C45" s="1643"/>
      <c r="D45" s="1354"/>
      <c r="E45" s="1354"/>
      <c r="F45" s="1354"/>
      <c r="G45" s="1354"/>
      <c r="H45" s="932"/>
      <c r="I45" s="521">
        <f t="shared" si="4"/>
        <v>0</v>
      </c>
    </row>
    <row r="46" spans="1:9" ht="11.25" customHeight="1" x14ac:dyDescent="0.25">
      <c r="A46" s="1369"/>
      <c r="B46" s="55"/>
      <c r="C46" s="1643"/>
      <c r="D46" s="1354"/>
      <c r="E46" s="1354"/>
      <c r="F46" s="1354"/>
      <c r="G46" s="1354"/>
      <c r="H46" s="932"/>
      <c r="I46" s="521">
        <f t="shared" si="4"/>
        <v>0</v>
      </c>
    </row>
    <row r="47" spans="1:9" ht="11.25" customHeight="1" x14ac:dyDescent="0.25">
      <c r="A47" s="1369"/>
      <c r="B47" s="55"/>
      <c r="C47" s="1643"/>
      <c r="D47" s="1354"/>
      <c r="E47" s="1354"/>
      <c r="F47" s="1354"/>
      <c r="G47" s="1354"/>
      <c r="H47" s="932"/>
      <c r="I47" s="521">
        <f t="shared" si="4"/>
        <v>0</v>
      </c>
    </row>
    <row r="48" spans="1:9" ht="11.25" customHeight="1" x14ac:dyDescent="0.25">
      <c r="A48" s="1369"/>
      <c r="B48" s="55"/>
      <c r="C48" s="1643"/>
      <c r="D48" s="1354"/>
      <c r="E48" s="1354"/>
      <c r="F48" s="1354"/>
      <c r="G48" s="1354"/>
      <c r="H48" s="932"/>
      <c r="I48" s="521">
        <f t="shared" si="4"/>
        <v>0</v>
      </c>
    </row>
    <row r="49" spans="1:9" ht="11.25" customHeight="1" x14ac:dyDescent="0.25">
      <c r="A49" s="1369"/>
      <c r="B49" s="55"/>
      <c r="C49" s="1643"/>
      <c r="D49" s="1354"/>
      <c r="E49" s="1354"/>
      <c r="F49" s="1354"/>
      <c r="G49" s="1354"/>
      <c r="H49" s="932"/>
      <c r="I49" s="521">
        <f t="shared" si="4"/>
        <v>0</v>
      </c>
    </row>
    <row r="50" spans="1:9" ht="11.25" customHeight="1" x14ac:dyDescent="0.25">
      <c r="A50" s="1369"/>
      <c r="B50" s="55"/>
      <c r="C50" s="1643"/>
      <c r="D50" s="1354"/>
      <c r="E50" s="1354"/>
      <c r="F50" s="1354"/>
      <c r="G50" s="1354"/>
      <c r="H50" s="932"/>
      <c r="I50" s="521">
        <f t="shared" si="4"/>
        <v>0</v>
      </c>
    </row>
    <row r="51" spans="1:9" ht="11.25" customHeight="1" x14ac:dyDescent="0.25">
      <c r="A51" s="1369"/>
      <c r="B51" s="55"/>
      <c r="C51" s="1643"/>
      <c r="D51" s="1354"/>
      <c r="E51" s="1354"/>
      <c r="F51" s="1354"/>
      <c r="G51" s="1354"/>
      <c r="H51" s="932"/>
      <c r="I51" s="521">
        <f t="shared" si="4"/>
        <v>0</v>
      </c>
    </row>
    <row r="52" spans="1:9" ht="11.25" customHeight="1" x14ac:dyDescent="0.25">
      <c r="A52" s="1369"/>
      <c r="B52" s="55"/>
      <c r="C52" s="1643"/>
      <c r="D52" s="1354"/>
      <c r="E52" s="1354"/>
      <c r="F52" s="1354"/>
      <c r="G52" s="1354"/>
      <c r="H52" s="932"/>
      <c r="I52" s="521">
        <f t="shared" si="4"/>
        <v>0</v>
      </c>
    </row>
    <row r="53" spans="1:9" ht="11.25" customHeight="1" x14ac:dyDescent="0.25">
      <c r="A53" s="1369"/>
      <c r="B53" s="55"/>
      <c r="C53" s="1643"/>
      <c r="D53" s="1354"/>
      <c r="E53" s="1354"/>
      <c r="F53" s="1354"/>
      <c r="G53" s="1354"/>
      <c r="H53" s="932"/>
      <c r="I53" s="521">
        <f t="shared" si="4"/>
        <v>0</v>
      </c>
    </row>
    <row r="54" spans="1:9" ht="11.25" customHeight="1" x14ac:dyDescent="0.25">
      <c r="A54" s="1369"/>
      <c r="B54" s="55"/>
      <c r="C54" s="1643"/>
      <c r="D54" s="1354"/>
      <c r="E54" s="1354"/>
      <c r="F54" s="1354"/>
      <c r="G54" s="1354"/>
      <c r="H54" s="932"/>
      <c r="I54" s="521">
        <f t="shared" si="4"/>
        <v>0</v>
      </c>
    </row>
    <row r="55" spans="1:9" ht="11.25" customHeight="1" x14ac:dyDescent="0.25">
      <c r="A55" s="175" t="s">
        <v>276</v>
      </c>
      <c r="B55" s="176" t="s">
        <v>2018</v>
      </c>
      <c r="C55" s="522">
        <f>SUM(C38:C54)</f>
        <v>0</v>
      </c>
      <c r="D55" s="523">
        <f t="shared" ref="D55:I55" si="5">SUM(D39:D54)</f>
        <v>0</v>
      </c>
      <c r="E55" s="523">
        <f t="shared" si="5"/>
        <v>0</v>
      </c>
      <c r="F55" s="523">
        <f t="shared" si="5"/>
        <v>0</v>
      </c>
      <c r="G55" s="523">
        <f t="shared" si="5"/>
        <v>0</v>
      </c>
      <c r="H55" s="526"/>
      <c r="I55" s="524">
        <f t="shared" si="5"/>
        <v>0</v>
      </c>
    </row>
    <row r="56" spans="1:9" x14ac:dyDescent="0.25">
      <c r="A56" s="74"/>
      <c r="B56" s="55"/>
      <c r="C56" s="520"/>
      <c r="D56" s="205"/>
      <c r="E56" s="205"/>
      <c r="F56" s="205"/>
      <c r="G56" s="205"/>
      <c r="H56" s="206"/>
      <c r="I56" s="521"/>
    </row>
    <row r="57" spans="1:9" s="488" customFormat="1" ht="25.5" x14ac:dyDescent="0.2">
      <c r="A57" s="527" t="s">
        <v>236</v>
      </c>
      <c r="B57" s="492">
        <v>10</v>
      </c>
      <c r="C57" s="528">
        <f t="shared" ref="C57:I57" si="6">C11+C35+C55</f>
        <v>0</v>
      </c>
      <c r="D57" s="529">
        <f t="shared" si="6"/>
        <v>0</v>
      </c>
      <c r="E57" s="529">
        <f t="shared" si="6"/>
        <v>0</v>
      </c>
      <c r="F57" s="529">
        <f t="shared" si="6"/>
        <v>0</v>
      </c>
      <c r="G57" s="529">
        <f t="shared" si="6"/>
        <v>0</v>
      </c>
      <c r="H57" s="530"/>
      <c r="I57" s="531">
        <f t="shared" si="6"/>
        <v>0</v>
      </c>
    </row>
    <row r="58" spans="1:9" ht="4.9000000000000004" customHeight="1" x14ac:dyDescent="0.25">
      <c r="D58" s="148"/>
      <c r="E58" s="148"/>
      <c r="F58" s="148"/>
      <c r="G58" s="148"/>
      <c r="H58" s="148"/>
      <c r="I58" s="148"/>
    </row>
    <row r="59" spans="1:9" s="464" customFormat="1" x14ac:dyDescent="0.25">
      <c r="A59" s="101" t="str">
        <f>head27a</f>
        <v>References</v>
      </c>
      <c r="B59" s="645"/>
      <c r="C59" s="645"/>
      <c r="D59" s="668"/>
      <c r="E59" s="668"/>
      <c r="F59" s="668"/>
      <c r="G59" s="668"/>
      <c r="H59" s="668"/>
      <c r="I59" s="668"/>
    </row>
    <row r="60" spans="1:9" s="464" customFormat="1" x14ac:dyDescent="0.25">
      <c r="A60" s="132" t="s">
        <v>846</v>
      </c>
      <c r="B60" s="645"/>
      <c r="C60" s="645"/>
    </row>
    <row r="61" spans="1:9" s="464" customFormat="1" x14ac:dyDescent="0.25">
      <c r="A61" s="132" t="s">
        <v>1996</v>
      </c>
      <c r="B61" s="645"/>
      <c r="C61" s="645"/>
    </row>
    <row r="62" spans="1:9" s="464" customFormat="1" x14ac:dyDescent="0.25">
      <c r="A62" s="132" t="s">
        <v>1997</v>
      </c>
      <c r="B62" s="645"/>
      <c r="C62" s="645"/>
    </row>
    <row r="63" spans="1:9" s="464" customFormat="1" x14ac:dyDescent="0.25">
      <c r="A63" s="132" t="s">
        <v>1998</v>
      </c>
      <c r="B63" s="645"/>
      <c r="C63" s="645"/>
    </row>
    <row r="64" spans="1:9" s="464" customFormat="1" x14ac:dyDescent="0.25">
      <c r="A64" s="132" t="s">
        <v>393</v>
      </c>
      <c r="B64" s="645"/>
      <c r="C64" s="645"/>
    </row>
    <row r="65" spans="1:3" s="464" customFormat="1" x14ac:dyDescent="0.25">
      <c r="A65" s="132" t="s">
        <v>1999</v>
      </c>
      <c r="B65" s="645"/>
      <c r="C65" s="645"/>
    </row>
    <row r="66" spans="1:3" s="464" customFormat="1" x14ac:dyDescent="0.25">
      <c r="A66" s="132" t="s">
        <v>2000</v>
      </c>
      <c r="B66" s="645"/>
      <c r="C66" s="645"/>
    </row>
    <row r="67" spans="1:3" s="464" customFormat="1" x14ac:dyDescent="0.25">
      <c r="A67" s="132" t="s">
        <v>2001</v>
      </c>
      <c r="B67" s="645"/>
      <c r="C67" s="645"/>
    </row>
    <row r="68" spans="1:3" s="464" customFormat="1" x14ac:dyDescent="0.25">
      <c r="A68" s="132" t="s">
        <v>2002</v>
      </c>
      <c r="B68" s="645"/>
      <c r="C68" s="645"/>
    </row>
    <row r="69" spans="1:3" s="464" customFormat="1" x14ac:dyDescent="0.25">
      <c r="A69" s="132" t="s">
        <v>2003</v>
      </c>
      <c r="B69" s="645"/>
      <c r="C69" s="645"/>
    </row>
    <row r="70" spans="1:3" s="464" customFormat="1" x14ac:dyDescent="0.25">
      <c r="A70" s="132" t="s">
        <v>2017</v>
      </c>
      <c r="B70" s="645"/>
      <c r="C70" s="645"/>
    </row>
  </sheetData>
  <mergeCells count="4">
    <mergeCell ref="C2:C3"/>
    <mergeCell ref="F2:F3"/>
    <mergeCell ref="D2:D3"/>
    <mergeCell ref="G2:G3"/>
  </mergeCells>
  <phoneticPr fontId="3" type="noConversion"/>
  <dataValidations count="2">
    <dataValidation type="whole" allowBlank="1" showInputMessage="1" showErrorMessage="1" sqref="C14:C19 C22:C34 C39:C54 C5:C10" xr:uid="{00000000-0002-0000-2C00-000000000000}">
      <formula1>-99999999999</formula1>
      <formula2>999999999999</formula2>
    </dataValidation>
    <dataValidation type="decimal" allowBlank="1" showInputMessage="1" showErrorMessage="1" sqref="D5:F10 D14:H19 D22:H34 D39:H54" xr:uid="{00000000-0002-0000-2C00-000001000000}">
      <formula1>-99999999999999900000</formula1>
      <formula2>99999999999999900000</formula2>
    </dataValidation>
  </dataValidations>
  <printOptions horizontalCentered="1"/>
  <pageMargins left="0" right="0" top="0.78740157480314965" bottom="0.59055118110236227" header="0.51181102362204722" footer="0.43307086614173229"/>
  <pageSetup paperSize="9" scale="90" orientation="portrait"/>
  <headerFooter alignWithMargins="0"/>
  <ignoredErrors>
    <ignoredError sqref="E3 I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pageSetUpPr fitToPage="1"/>
  </sheetPr>
  <dimension ref="A1:K53"/>
  <sheetViews>
    <sheetView showGridLines="0" zoomScaleNormal="100" workbookViewId="0">
      <pane ySplit="3" topLeftCell="A4" activePane="bottomLeft" state="frozen"/>
      <selection pane="bottomLeft"/>
    </sheetView>
  </sheetViews>
  <sheetFormatPr defaultRowHeight="12.75" x14ac:dyDescent="0.25"/>
  <cols>
    <col min="1" max="1" width="37.7109375" style="25" customWidth="1"/>
    <col min="2" max="2" width="3.42578125" style="102" customWidth="1"/>
    <col min="3" max="11" width="8.710937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1" ht="13.5" customHeight="1" x14ac:dyDescent="0.25">
      <c r="A1" s="23" t="str">
        <f>muni&amp;" - "&amp;TableA24</f>
        <v>EC101 Dr Beyers Naude - Supporting Table SA24 Summary of personnel numbers</v>
      </c>
      <c r="B1" s="23"/>
      <c r="C1" s="23"/>
      <c r="D1" s="23"/>
      <c r="E1" s="23"/>
      <c r="F1" s="23"/>
      <c r="G1" s="23"/>
      <c r="H1" s="23"/>
      <c r="I1" s="23"/>
      <c r="J1" s="23"/>
      <c r="K1" s="23"/>
    </row>
    <row r="2" spans="1:11" ht="28.5" customHeight="1" x14ac:dyDescent="0.25">
      <c r="A2" s="614" t="s">
        <v>588</v>
      </c>
      <c r="B2" s="220" t="str">
        <f>head27</f>
        <v>Ref</v>
      </c>
      <c r="C2" s="1965" t="str">
        <f>Head1</f>
        <v>2017/18</v>
      </c>
      <c r="D2" s="1966"/>
      <c r="E2" s="1967"/>
      <c r="F2" s="1907" t="str">
        <f>Head2</f>
        <v>Current Year 2018/19</v>
      </c>
      <c r="G2" s="1908"/>
      <c r="H2" s="1908"/>
      <c r="I2" s="1904" t="str">
        <f>Head9</f>
        <v>Budget Year 2019/20</v>
      </c>
      <c r="J2" s="1905"/>
      <c r="K2" s="1906"/>
    </row>
    <row r="3" spans="1:11" ht="25.5" x14ac:dyDescent="0.25">
      <c r="A3" s="53" t="s">
        <v>1489</v>
      </c>
      <c r="B3" s="615" t="s">
        <v>1721</v>
      </c>
      <c r="C3" s="203" t="s">
        <v>382</v>
      </c>
      <c r="D3" s="627" t="s">
        <v>831</v>
      </c>
      <c r="E3" s="204" t="s">
        <v>383</v>
      </c>
      <c r="F3" s="203" t="s">
        <v>382</v>
      </c>
      <c r="G3" s="627" t="s">
        <v>831</v>
      </c>
      <c r="H3" s="204" t="s">
        <v>383</v>
      </c>
      <c r="I3" s="203" t="s">
        <v>382</v>
      </c>
      <c r="J3" s="627" t="s">
        <v>831</v>
      </c>
      <c r="K3" s="204" t="s">
        <v>383</v>
      </c>
    </row>
    <row r="4" spans="1:11" x14ac:dyDescent="0.25">
      <c r="A4" s="118" t="s">
        <v>384</v>
      </c>
      <c r="B4" s="55"/>
      <c r="C4" s="205"/>
      <c r="D4" s="205"/>
      <c r="E4" s="532"/>
      <c r="F4" s="533"/>
      <c r="G4" s="205"/>
      <c r="H4" s="534"/>
      <c r="I4" s="206"/>
      <c r="J4" s="205"/>
      <c r="K4" s="532"/>
    </row>
    <row r="5" spans="1:11" ht="11.25" customHeight="1" x14ac:dyDescent="0.25">
      <c r="A5" s="63" t="s">
        <v>793</v>
      </c>
      <c r="B5" s="55"/>
      <c r="C5" s="1354"/>
      <c r="D5" s="1354"/>
      <c r="E5" s="1355"/>
      <c r="F5" s="1353"/>
      <c r="G5" s="1354"/>
      <c r="H5" s="1565"/>
      <c r="I5" s="1356"/>
      <c r="J5" s="1354"/>
      <c r="K5" s="1355"/>
    </row>
    <row r="6" spans="1:11" ht="11.25" customHeight="1" x14ac:dyDescent="0.25">
      <c r="A6" s="63" t="s">
        <v>1255</v>
      </c>
      <c r="B6" s="55">
        <v>4</v>
      </c>
      <c r="C6" s="1354"/>
      <c r="D6" s="1354"/>
      <c r="E6" s="1355"/>
      <c r="F6" s="1353"/>
      <c r="G6" s="1354"/>
      <c r="H6" s="1565"/>
      <c r="I6" s="1356"/>
      <c r="J6" s="1354"/>
      <c r="K6" s="1355"/>
    </row>
    <row r="7" spans="1:11" ht="11.25" customHeight="1" x14ac:dyDescent="0.25">
      <c r="A7" s="118" t="s">
        <v>1256</v>
      </c>
      <c r="B7" s="55">
        <v>5</v>
      </c>
      <c r="C7" s="1354"/>
      <c r="D7" s="1354"/>
      <c r="E7" s="1355"/>
      <c r="F7" s="1353"/>
      <c r="G7" s="1354"/>
      <c r="H7" s="1565"/>
      <c r="I7" s="1356"/>
      <c r="J7" s="1354"/>
      <c r="K7" s="1355"/>
    </row>
    <row r="8" spans="1:11" ht="11.25" customHeight="1" x14ac:dyDescent="0.25">
      <c r="A8" s="63" t="s">
        <v>1257</v>
      </c>
      <c r="B8" s="55">
        <v>3</v>
      </c>
      <c r="C8" s="1354"/>
      <c r="D8" s="1354"/>
      <c r="E8" s="1355"/>
      <c r="F8" s="1353"/>
      <c r="G8" s="1354"/>
      <c r="H8" s="1565"/>
      <c r="I8" s="1356"/>
      <c r="J8" s="1354"/>
      <c r="K8" s="1355"/>
    </row>
    <row r="9" spans="1:11" ht="11.25" customHeight="1" x14ac:dyDescent="0.25">
      <c r="A9" s="63" t="s">
        <v>490</v>
      </c>
      <c r="B9" s="55">
        <v>7</v>
      </c>
      <c r="C9" s="1354"/>
      <c r="D9" s="1354"/>
      <c r="E9" s="1355"/>
      <c r="F9" s="1353"/>
      <c r="G9" s="1354"/>
      <c r="H9" s="1565"/>
      <c r="I9" s="1356"/>
      <c r="J9" s="1354"/>
      <c r="K9" s="1355"/>
    </row>
    <row r="10" spans="1:11" ht="11.25" customHeight="1" x14ac:dyDescent="0.25">
      <c r="A10" s="63" t="s">
        <v>1258</v>
      </c>
      <c r="B10" s="55"/>
      <c r="C10" s="707">
        <f>SUM(C11:C19)</f>
        <v>0</v>
      </c>
      <c r="D10" s="707">
        <f t="shared" ref="D10:K10" si="0">SUM(D11:D19)</f>
        <v>0</v>
      </c>
      <c r="E10" s="708">
        <f t="shared" si="0"/>
        <v>0</v>
      </c>
      <c r="F10" s="709">
        <f t="shared" si="0"/>
        <v>0</v>
      </c>
      <c r="G10" s="707">
        <f t="shared" si="0"/>
        <v>0</v>
      </c>
      <c r="H10" s="710">
        <f t="shared" si="0"/>
        <v>0</v>
      </c>
      <c r="I10" s="711">
        <f t="shared" si="0"/>
        <v>0</v>
      </c>
      <c r="J10" s="707">
        <f t="shared" si="0"/>
        <v>0</v>
      </c>
      <c r="K10" s="708">
        <f t="shared" si="0"/>
        <v>0</v>
      </c>
    </row>
    <row r="11" spans="1:11" ht="11.25" customHeight="1" x14ac:dyDescent="0.25">
      <c r="A11" s="744" t="s">
        <v>1600</v>
      </c>
      <c r="B11" s="55"/>
      <c r="C11" s="1354"/>
      <c r="D11" s="1354"/>
      <c r="E11" s="1355"/>
      <c r="F11" s="1353"/>
      <c r="G11" s="1354"/>
      <c r="H11" s="1565"/>
      <c r="I11" s="1356"/>
      <c r="J11" s="1354"/>
      <c r="K11" s="1355"/>
    </row>
    <row r="12" spans="1:11" ht="11.25" customHeight="1" x14ac:dyDescent="0.25">
      <c r="A12" s="744" t="s">
        <v>1259</v>
      </c>
      <c r="B12" s="55"/>
      <c r="C12" s="1354"/>
      <c r="D12" s="1354"/>
      <c r="E12" s="1355"/>
      <c r="F12" s="1353"/>
      <c r="G12" s="1354"/>
      <c r="H12" s="1565"/>
      <c r="I12" s="1356"/>
      <c r="J12" s="1354"/>
      <c r="K12" s="1355"/>
    </row>
    <row r="13" spans="1:11" ht="11.25" customHeight="1" x14ac:dyDescent="0.25">
      <c r="A13" s="744" t="s">
        <v>287</v>
      </c>
      <c r="B13" s="55"/>
      <c r="C13" s="1354"/>
      <c r="D13" s="1354"/>
      <c r="E13" s="1355"/>
      <c r="F13" s="1353"/>
      <c r="G13" s="1354"/>
      <c r="H13" s="1565"/>
      <c r="I13" s="1356"/>
      <c r="J13" s="1354"/>
      <c r="K13" s="1355"/>
    </row>
    <row r="14" spans="1:11" ht="11.25" customHeight="1" x14ac:dyDescent="0.25">
      <c r="A14" s="744" t="s">
        <v>638</v>
      </c>
      <c r="B14" s="55"/>
      <c r="C14" s="1354"/>
      <c r="D14" s="1354"/>
      <c r="E14" s="1355"/>
      <c r="F14" s="1353"/>
      <c r="G14" s="1354"/>
      <c r="H14" s="1565"/>
      <c r="I14" s="1356"/>
      <c r="J14" s="1354"/>
      <c r="K14" s="1355"/>
    </row>
    <row r="15" spans="1:11" ht="11.25" customHeight="1" x14ac:dyDescent="0.25">
      <c r="A15" s="744" t="s">
        <v>560</v>
      </c>
      <c r="B15" s="55"/>
      <c r="C15" s="1354"/>
      <c r="D15" s="1354"/>
      <c r="E15" s="1355"/>
      <c r="F15" s="1353"/>
      <c r="G15" s="1354"/>
      <c r="H15" s="1565"/>
      <c r="I15" s="1356"/>
      <c r="J15" s="1354"/>
      <c r="K15" s="1355"/>
    </row>
    <row r="16" spans="1:11" ht="11.25" customHeight="1" x14ac:dyDescent="0.25">
      <c r="A16" s="744" t="s">
        <v>835</v>
      </c>
      <c r="B16" s="55"/>
      <c r="C16" s="1354"/>
      <c r="D16" s="1354"/>
      <c r="E16" s="1355"/>
      <c r="F16" s="1353"/>
      <c r="G16" s="1354"/>
      <c r="H16" s="1565"/>
      <c r="I16" s="1356"/>
      <c r="J16" s="1354"/>
      <c r="K16" s="1355"/>
    </row>
    <row r="17" spans="1:11" ht="11.25" customHeight="1" x14ac:dyDescent="0.25">
      <c r="A17" s="744" t="s">
        <v>836</v>
      </c>
      <c r="B17" s="55"/>
      <c r="C17" s="1354"/>
      <c r="D17" s="1354"/>
      <c r="E17" s="1355"/>
      <c r="F17" s="1353"/>
      <c r="G17" s="1354"/>
      <c r="H17" s="1565"/>
      <c r="I17" s="1356"/>
      <c r="J17" s="1354"/>
      <c r="K17" s="1355"/>
    </row>
    <row r="18" spans="1:11" ht="11.25" customHeight="1" x14ac:dyDescent="0.25">
      <c r="A18" s="744" t="s">
        <v>1139</v>
      </c>
      <c r="B18" s="55"/>
      <c r="C18" s="1354"/>
      <c r="D18" s="1354"/>
      <c r="E18" s="1355"/>
      <c r="F18" s="1353"/>
      <c r="G18" s="1354"/>
      <c r="H18" s="1565"/>
      <c r="I18" s="1356"/>
      <c r="J18" s="1354"/>
      <c r="K18" s="1355"/>
    </row>
    <row r="19" spans="1:11" ht="11.25" customHeight="1" x14ac:dyDescent="0.25">
      <c r="A19" s="744" t="s">
        <v>246</v>
      </c>
      <c r="B19" s="55"/>
      <c r="C19" s="1354"/>
      <c r="D19" s="1354"/>
      <c r="E19" s="1355"/>
      <c r="F19" s="1353"/>
      <c r="G19" s="1354"/>
      <c r="H19" s="1565"/>
      <c r="I19" s="1356"/>
      <c r="J19" s="1354"/>
      <c r="K19" s="1355"/>
    </row>
    <row r="20" spans="1:11" ht="11.25" customHeight="1" x14ac:dyDescent="0.25">
      <c r="A20" s="63" t="s">
        <v>1260</v>
      </c>
      <c r="B20" s="55"/>
      <c r="C20" s="707">
        <f>SUM(C21:C29)</f>
        <v>0</v>
      </c>
      <c r="D20" s="707">
        <f t="shared" ref="D20:K20" si="1">SUM(D21:D29)</f>
        <v>0</v>
      </c>
      <c r="E20" s="708">
        <f t="shared" si="1"/>
        <v>0</v>
      </c>
      <c r="F20" s="709">
        <f t="shared" si="1"/>
        <v>0</v>
      </c>
      <c r="G20" s="707">
        <f t="shared" si="1"/>
        <v>0</v>
      </c>
      <c r="H20" s="710">
        <f t="shared" si="1"/>
        <v>0</v>
      </c>
      <c r="I20" s="711">
        <f t="shared" si="1"/>
        <v>0</v>
      </c>
      <c r="J20" s="707">
        <f t="shared" si="1"/>
        <v>0</v>
      </c>
      <c r="K20" s="708">
        <f t="shared" si="1"/>
        <v>0</v>
      </c>
    </row>
    <row r="21" spans="1:11" ht="11.25" customHeight="1" x14ac:dyDescent="0.25">
      <c r="A21" s="744" t="s">
        <v>1600</v>
      </c>
      <c r="B21" s="55"/>
      <c r="C21" s="1354"/>
      <c r="D21" s="1354"/>
      <c r="E21" s="1355"/>
      <c r="F21" s="1353"/>
      <c r="G21" s="1354"/>
      <c r="H21" s="1565"/>
      <c r="I21" s="1356"/>
      <c r="J21" s="1354"/>
      <c r="K21" s="1355"/>
    </row>
    <row r="22" spans="1:11" ht="11.25" customHeight="1" x14ac:dyDescent="0.25">
      <c r="A22" s="744" t="s">
        <v>1259</v>
      </c>
      <c r="B22" s="55"/>
      <c r="C22" s="1354"/>
      <c r="D22" s="1354"/>
      <c r="E22" s="1355"/>
      <c r="F22" s="1353"/>
      <c r="G22" s="1354"/>
      <c r="H22" s="1565"/>
      <c r="I22" s="1356"/>
      <c r="J22" s="1354"/>
      <c r="K22" s="1355"/>
    </row>
    <row r="23" spans="1:11" ht="11.25" customHeight="1" x14ac:dyDescent="0.25">
      <c r="A23" s="744" t="s">
        <v>287</v>
      </c>
      <c r="B23" s="55"/>
      <c r="C23" s="1354"/>
      <c r="D23" s="1354"/>
      <c r="E23" s="1355"/>
      <c r="F23" s="1353"/>
      <c r="G23" s="1354"/>
      <c r="H23" s="1565"/>
      <c r="I23" s="1356"/>
      <c r="J23" s="1354"/>
      <c r="K23" s="1355"/>
    </row>
    <row r="24" spans="1:11" ht="11.25" customHeight="1" x14ac:dyDescent="0.25">
      <c r="A24" s="744" t="s">
        <v>638</v>
      </c>
      <c r="B24" s="55"/>
      <c r="C24" s="1354"/>
      <c r="D24" s="1354"/>
      <c r="E24" s="1355"/>
      <c r="F24" s="1353"/>
      <c r="G24" s="1354"/>
      <c r="H24" s="1565"/>
      <c r="I24" s="1356"/>
      <c r="J24" s="1354"/>
      <c r="K24" s="1355"/>
    </row>
    <row r="25" spans="1:11" ht="11.25" customHeight="1" x14ac:dyDescent="0.25">
      <c r="A25" s="744" t="s">
        <v>560</v>
      </c>
      <c r="B25" s="55"/>
      <c r="C25" s="1354"/>
      <c r="D25" s="1354"/>
      <c r="E25" s="1355"/>
      <c r="F25" s="1353"/>
      <c r="G25" s="1354"/>
      <c r="H25" s="1565"/>
      <c r="I25" s="1356"/>
      <c r="J25" s="1354"/>
      <c r="K25" s="1355"/>
    </row>
    <row r="26" spans="1:11" ht="11.25" customHeight="1" x14ac:dyDescent="0.25">
      <c r="A26" s="744" t="s">
        <v>835</v>
      </c>
      <c r="B26" s="55"/>
      <c r="C26" s="1354"/>
      <c r="D26" s="1354"/>
      <c r="E26" s="1355"/>
      <c r="F26" s="1353"/>
      <c r="G26" s="1354"/>
      <c r="H26" s="1565"/>
      <c r="I26" s="1356"/>
      <c r="J26" s="1354"/>
      <c r="K26" s="1355"/>
    </row>
    <row r="27" spans="1:11" ht="11.25" customHeight="1" x14ac:dyDescent="0.25">
      <c r="A27" s="744" t="s">
        <v>836</v>
      </c>
      <c r="B27" s="55"/>
      <c r="C27" s="1354"/>
      <c r="D27" s="1354"/>
      <c r="E27" s="1355"/>
      <c r="F27" s="1353"/>
      <c r="G27" s="1354"/>
      <c r="H27" s="1565"/>
      <c r="I27" s="1356"/>
      <c r="J27" s="1354"/>
      <c r="K27" s="1355"/>
    </row>
    <row r="28" spans="1:11" ht="11.25" customHeight="1" x14ac:dyDescent="0.25">
      <c r="A28" s="744" t="s">
        <v>1139</v>
      </c>
      <c r="B28" s="55"/>
      <c r="C28" s="1354"/>
      <c r="D28" s="1354"/>
      <c r="E28" s="1355"/>
      <c r="F28" s="1353"/>
      <c r="G28" s="1354"/>
      <c r="H28" s="1565"/>
      <c r="I28" s="1356"/>
      <c r="J28" s="1354"/>
      <c r="K28" s="1355"/>
    </row>
    <row r="29" spans="1:11" ht="11.25" customHeight="1" x14ac:dyDescent="0.25">
      <c r="A29" s="744" t="s">
        <v>246</v>
      </c>
      <c r="B29" s="55"/>
      <c r="C29" s="1354"/>
      <c r="D29" s="1354"/>
      <c r="E29" s="1355"/>
      <c r="F29" s="1353"/>
      <c r="G29" s="1354"/>
      <c r="H29" s="1565"/>
      <c r="I29" s="1356"/>
      <c r="J29" s="1354"/>
      <c r="K29" s="1355"/>
    </row>
    <row r="30" spans="1:11" ht="11.25" customHeight="1" x14ac:dyDescent="0.25">
      <c r="A30" s="63" t="s">
        <v>1261</v>
      </c>
      <c r="B30" s="55"/>
      <c r="C30" s="1354"/>
      <c r="D30" s="1354"/>
      <c r="E30" s="1355"/>
      <c r="F30" s="1353"/>
      <c r="G30" s="1354"/>
      <c r="H30" s="1565"/>
      <c r="I30" s="1356"/>
      <c r="J30" s="1354"/>
      <c r="K30" s="1355"/>
    </row>
    <row r="31" spans="1:11" ht="11.25" customHeight="1" x14ac:dyDescent="0.25">
      <c r="A31" s="63" t="s">
        <v>1262</v>
      </c>
      <c r="B31" s="55"/>
      <c r="C31" s="1354"/>
      <c r="D31" s="1354"/>
      <c r="E31" s="1355"/>
      <c r="F31" s="1353"/>
      <c r="G31" s="1354"/>
      <c r="H31" s="1565"/>
      <c r="I31" s="1356"/>
      <c r="J31" s="1354"/>
      <c r="K31" s="1355"/>
    </row>
    <row r="32" spans="1:11" ht="11.25" customHeight="1" x14ac:dyDescent="0.25">
      <c r="A32" s="63" t="s">
        <v>708</v>
      </c>
      <c r="B32" s="55"/>
      <c r="C32" s="1354"/>
      <c r="D32" s="1354"/>
      <c r="E32" s="1355"/>
      <c r="F32" s="1353"/>
      <c r="G32" s="1354"/>
      <c r="H32" s="1565"/>
      <c r="I32" s="1356"/>
      <c r="J32" s="1354"/>
      <c r="K32" s="1355"/>
    </row>
    <row r="33" spans="1:11" ht="11.25" customHeight="1" x14ac:dyDescent="0.25">
      <c r="A33" s="63" t="s">
        <v>1263</v>
      </c>
      <c r="B33" s="55"/>
      <c r="C33" s="1354"/>
      <c r="D33" s="1354"/>
      <c r="E33" s="1355"/>
      <c r="F33" s="1353"/>
      <c r="G33" s="1354"/>
      <c r="H33" s="1565"/>
      <c r="I33" s="1356"/>
      <c r="J33" s="1354"/>
      <c r="K33" s="1355"/>
    </row>
    <row r="34" spans="1:11" ht="11.25" customHeight="1" x14ac:dyDescent="0.25">
      <c r="A34" s="63" t="s">
        <v>1264</v>
      </c>
      <c r="B34" s="55"/>
      <c r="C34" s="1354"/>
      <c r="D34" s="1354"/>
      <c r="E34" s="1355"/>
      <c r="F34" s="1353"/>
      <c r="G34" s="1354"/>
      <c r="H34" s="1565"/>
      <c r="I34" s="1356"/>
      <c r="J34" s="1354"/>
      <c r="K34" s="1355"/>
    </row>
    <row r="35" spans="1:11" ht="11.25" customHeight="1" x14ac:dyDescent="0.25">
      <c r="A35" s="63" t="s">
        <v>1265</v>
      </c>
      <c r="B35" s="55"/>
      <c r="C35" s="1354"/>
      <c r="D35" s="1354"/>
      <c r="E35" s="1355"/>
      <c r="F35" s="1353"/>
      <c r="G35" s="1354"/>
      <c r="H35" s="1565"/>
      <c r="I35" s="1356"/>
      <c r="J35" s="1354"/>
      <c r="K35" s="1355"/>
    </row>
    <row r="36" spans="1:11" ht="11.25" customHeight="1" x14ac:dyDescent="0.25">
      <c r="A36" s="92" t="s">
        <v>586</v>
      </c>
      <c r="B36" s="55">
        <v>9</v>
      </c>
      <c r="C36" s="537">
        <f>SUM(C5:C9)+SUM(C11:C19)+SUM(C21:C35)</f>
        <v>0</v>
      </c>
      <c r="D36" s="537">
        <f t="shared" ref="D36:K36" si="2">SUM(D5:D9)+SUM(D11:D19)+SUM(D21:D35)</f>
        <v>0</v>
      </c>
      <c r="E36" s="748">
        <f t="shared" si="2"/>
        <v>0</v>
      </c>
      <c r="F36" s="749">
        <f t="shared" si="2"/>
        <v>0</v>
      </c>
      <c r="G36" s="537">
        <f t="shared" si="2"/>
        <v>0</v>
      </c>
      <c r="H36" s="538">
        <f>SUM(H5:H9)+SUM(H11:H19)+SUM(H21:H35)</f>
        <v>0</v>
      </c>
      <c r="I36" s="750">
        <f t="shared" si="2"/>
        <v>0</v>
      </c>
      <c r="J36" s="537">
        <f t="shared" si="2"/>
        <v>0</v>
      </c>
      <c r="K36" s="538">
        <f t="shared" si="2"/>
        <v>0</v>
      </c>
    </row>
    <row r="37" spans="1:11" ht="11.25" customHeight="1" x14ac:dyDescent="0.25">
      <c r="A37" s="189" t="s">
        <v>807</v>
      </c>
      <c r="B37" s="55"/>
      <c r="C37" s="535"/>
      <c r="D37" s="751"/>
      <c r="E37" s="752"/>
      <c r="F37" s="753">
        <f t="shared" ref="F37:K37" si="3">IF(ISERROR((F36/C36)-1),0,((F36/C36)-1))</f>
        <v>0</v>
      </c>
      <c r="G37" s="754">
        <f t="shared" si="3"/>
        <v>0</v>
      </c>
      <c r="H37" s="755">
        <f t="shared" si="3"/>
        <v>0</v>
      </c>
      <c r="I37" s="756">
        <f t="shared" si="3"/>
        <v>0</v>
      </c>
      <c r="J37" s="754">
        <f t="shared" si="3"/>
        <v>0</v>
      </c>
      <c r="K37" s="757">
        <f t="shared" si="3"/>
        <v>0</v>
      </c>
    </row>
    <row r="38" spans="1:11" ht="3.75" customHeight="1" x14ac:dyDescent="0.25">
      <c r="A38" s="189"/>
      <c r="B38" s="55"/>
      <c r="C38" s="535"/>
      <c r="D38" s="754"/>
      <c r="E38" s="757"/>
      <c r="F38" s="753"/>
      <c r="G38" s="754"/>
      <c r="H38" s="755"/>
      <c r="I38" s="756"/>
      <c r="J38" s="754"/>
      <c r="K38" s="757"/>
    </row>
    <row r="39" spans="1:11" ht="11.25" customHeight="1" x14ac:dyDescent="0.25">
      <c r="A39" s="118" t="s">
        <v>1266</v>
      </c>
      <c r="B39" s="55" t="s">
        <v>2031</v>
      </c>
      <c r="C39" s="1560"/>
      <c r="D39" s="1644"/>
      <c r="E39" s="1645"/>
      <c r="F39" s="1646"/>
      <c r="G39" s="1647"/>
      <c r="H39" s="1648"/>
      <c r="I39" s="1649"/>
      <c r="J39" s="1647"/>
      <c r="K39" s="1650"/>
    </row>
    <row r="40" spans="1:11" ht="11.25" customHeight="1" x14ac:dyDescent="0.25">
      <c r="A40" s="63" t="s">
        <v>1267</v>
      </c>
      <c r="B40" s="55" t="s">
        <v>2032</v>
      </c>
      <c r="C40" s="1560"/>
      <c r="D40" s="1644"/>
      <c r="E40" s="1645"/>
      <c r="F40" s="1646"/>
      <c r="G40" s="1647"/>
      <c r="H40" s="1648"/>
      <c r="I40" s="1649"/>
      <c r="J40" s="1647"/>
      <c r="K40" s="1650"/>
    </row>
    <row r="41" spans="1:11" ht="11.25" customHeight="1" x14ac:dyDescent="0.25">
      <c r="A41" s="758" t="s">
        <v>1268</v>
      </c>
      <c r="B41" s="179" t="s">
        <v>2032</v>
      </c>
      <c r="C41" s="1651"/>
      <c r="D41" s="1652"/>
      <c r="E41" s="1653"/>
      <c r="F41" s="1654"/>
      <c r="G41" s="1655"/>
      <c r="H41" s="1656"/>
      <c r="I41" s="1657"/>
      <c r="J41" s="1655"/>
      <c r="K41" s="1658"/>
    </row>
    <row r="42" spans="1:11" ht="11.25" customHeight="1" x14ac:dyDescent="0.25">
      <c r="C42" s="148"/>
      <c r="D42" s="148"/>
      <c r="E42" s="148"/>
      <c r="F42" s="148"/>
      <c r="G42" s="148"/>
      <c r="H42" s="148"/>
      <c r="I42" s="148"/>
      <c r="J42" s="148"/>
      <c r="K42" s="148"/>
    </row>
    <row r="43" spans="1:11" ht="11.25" customHeight="1" x14ac:dyDescent="0.25">
      <c r="A43" s="101" t="str">
        <f>head27a</f>
        <v>References</v>
      </c>
      <c r="B43" s="645"/>
      <c r="C43" s="668"/>
      <c r="D43" s="668"/>
      <c r="E43" s="668"/>
      <c r="F43" s="668"/>
      <c r="G43" s="668"/>
      <c r="H43" s="668"/>
      <c r="I43" s="668"/>
      <c r="J43" s="668"/>
      <c r="K43" s="668"/>
    </row>
    <row r="44" spans="1:11" ht="11.25" customHeight="1" x14ac:dyDescent="0.25">
      <c r="A44" s="106" t="s">
        <v>1722</v>
      </c>
      <c r="B44" s="645"/>
      <c r="C44" s="668"/>
      <c r="D44" s="668"/>
      <c r="E44" s="668"/>
      <c r="F44" s="668"/>
      <c r="G44" s="668"/>
      <c r="H44" s="668"/>
      <c r="I44" s="668"/>
      <c r="J44" s="668"/>
      <c r="K44" s="668"/>
    </row>
    <row r="45" spans="1:11" ht="11.25" customHeight="1" x14ac:dyDescent="0.25">
      <c r="A45" s="132" t="s">
        <v>1723</v>
      </c>
      <c r="B45" s="645"/>
      <c r="C45" s="464"/>
      <c r="D45" s="464"/>
      <c r="E45" s="464"/>
      <c r="F45" s="464"/>
      <c r="G45" s="464"/>
      <c r="H45" s="464"/>
      <c r="I45" s="464"/>
      <c r="J45" s="464"/>
      <c r="K45" s="464"/>
    </row>
    <row r="46" spans="1:11" ht="11.25" customHeight="1" x14ac:dyDescent="0.25">
      <c r="A46" s="132" t="s">
        <v>1724</v>
      </c>
      <c r="B46" s="645"/>
      <c r="C46" s="464"/>
      <c r="D46" s="464"/>
      <c r="E46" s="464"/>
      <c r="F46" s="464"/>
      <c r="G46" s="464"/>
      <c r="H46" s="464"/>
      <c r="I46" s="464"/>
      <c r="J46" s="464"/>
      <c r="K46" s="464"/>
    </row>
    <row r="47" spans="1:11" ht="11.25" customHeight="1" x14ac:dyDescent="0.25">
      <c r="A47" s="132" t="s">
        <v>1725</v>
      </c>
      <c r="B47" s="645"/>
      <c r="C47" s="464"/>
      <c r="D47" s="464"/>
      <c r="E47" s="464"/>
      <c r="F47" s="464"/>
      <c r="G47" s="464"/>
      <c r="H47" s="464"/>
      <c r="I47" s="464"/>
      <c r="J47" s="464"/>
      <c r="K47" s="464"/>
    </row>
    <row r="48" spans="1:11" ht="11.25" customHeight="1" x14ac:dyDescent="0.25">
      <c r="A48" s="132" t="s">
        <v>1726</v>
      </c>
      <c r="B48" s="645"/>
      <c r="C48" s="464"/>
      <c r="D48" s="464"/>
      <c r="E48" s="464"/>
      <c r="F48" s="464"/>
      <c r="G48" s="464"/>
      <c r="H48" s="464"/>
      <c r="I48" s="464"/>
      <c r="J48" s="464"/>
      <c r="K48" s="464"/>
    </row>
    <row r="49" spans="1:11" ht="11.25" customHeight="1" x14ac:dyDescent="0.25">
      <c r="A49" s="132" t="s">
        <v>1727</v>
      </c>
      <c r="B49" s="645"/>
      <c r="C49" s="464"/>
      <c r="D49" s="464"/>
      <c r="E49" s="464"/>
      <c r="F49" s="464"/>
      <c r="G49" s="464"/>
      <c r="H49" s="464"/>
      <c r="I49" s="464"/>
      <c r="J49" s="464"/>
      <c r="K49" s="464"/>
    </row>
    <row r="50" spans="1:11" ht="11.25" customHeight="1" x14ac:dyDescent="0.25">
      <c r="A50" s="132" t="s">
        <v>1728</v>
      </c>
      <c r="B50" s="645"/>
      <c r="C50" s="464"/>
      <c r="D50" s="464"/>
      <c r="E50" s="464"/>
      <c r="F50" s="464"/>
      <c r="G50" s="464"/>
      <c r="H50" s="464"/>
      <c r="I50" s="464"/>
      <c r="J50" s="464"/>
      <c r="K50" s="464"/>
    </row>
    <row r="51" spans="1:11" ht="11.25" customHeight="1" x14ac:dyDescent="0.25">
      <c r="A51" s="132" t="s">
        <v>1729</v>
      </c>
      <c r="B51" s="645"/>
      <c r="C51" s="464"/>
      <c r="D51" s="464"/>
      <c r="E51" s="464"/>
      <c r="F51" s="464"/>
      <c r="G51" s="464"/>
      <c r="H51" s="464"/>
      <c r="I51" s="464"/>
      <c r="J51" s="464"/>
      <c r="K51" s="464"/>
    </row>
    <row r="52" spans="1:11" x14ac:dyDescent="0.25">
      <c r="A52" s="132" t="s">
        <v>2019</v>
      </c>
    </row>
    <row r="53" spans="1:11" x14ac:dyDescent="0.25">
      <c r="A53" s="132" t="s">
        <v>2030</v>
      </c>
    </row>
  </sheetData>
  <mergeCells count="3">
    <mergeCell ref="F2:H2"/>
    <mergeCell ref="I2:K2"/>
    <mergeCell ref="C2:E2"/>
  </mergeCells>
  <phoneticPr fontId="3" type="noConversion"/>
  <dataValidations count="1">
    <dataValidation type="decimal" allowBlank="1" showInputMessage="1" showErrorMessage="1" sqref="C5:K9 C11:K19 C21:K35 C39:K41" xr:uid="{00000000-0002-0000-2D00-000000000000}">
      <formula1>-99999999999999900000</formula1>
      <formula2>9999999999999990000</formula2>
    </dataValidation>
  </dataValidations>
  <printOptions horizontalCentered="1"/>
  <pageMargins left="0.36" right="0.14000000000000001" top="0.78740157480314965" bottom="0.59055118110236227" header="0.51181102362204722" footer="0.39"/>
  <pageSetup paperSize="9" scale="84"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pageSetUpPr fitToPage="1"/>
  </sheetPr>
  <dimension ref="A1:Q48"/>
  <sheetViews>
    <sheetView showGridLines="0" zoomScaleNormal="100" workbookViewId="0">
      <pane xSplit="2" ySplit="3" topLeftCell="C31" activePane="bottomRight" state="frozen"/>
      <selection pane="topRight"/>
      <selection pane="bottomLeft"/>
      <selection pane="bottomRight" activeCell="C38" sqref="C38:M38"/>
    </sheetView>
  </sheetViews>
  <sheetFormatPr defaultRowHeight="12.75" x14ac:dyDescent="0.25"/>
  <cols>
    <col min="1" max="1" width="30.7109375" style="25" customWidth="1"/>
    <col min="2" max="2" width="3" style="25" customWidth="1"/>
    <col min="3" max="3" width="10.28515625" style="25" bestFit="1" customWidth="1"/>
    <col min="4" max="14" width="8.28515625" style="25" customWidth="1"/>
    <col min="15" max="17" width="9.28515625" style="25" customWidth="1"/>
    <col min="18" max="16384" width="9.140625" style="25"/>
  </cols>
  <sheetData>
    <row r="1" spans="1:17" ht="13.5" customHeight="1" x14ac:dyDescent="0.25">
      <c r="A1" s="23" t="str">
        <f>muni&amp;" - "&amp; TableA25</f>
        <v>EC101 Dr Beyers Naude - Supporting Table SA25 Budgeted monthly revenue and expenditure</v>
      </c>
      <c r="B1" s="23"/>
      <c r="C1" s="23"/>
      <c r="D1" s="23"/>
      <c r="E1" s="23"/>
      <c r="F1" s="23"/>
      <c r="G1" s="23"/>
      <c r="H1" s="23"/>
      <c r="I1" s="23"/>
      <c r="J1" s="23"/>
      <c r="K1" s="23"/>
      <c r="L1" s="23"/>
      <c r="M1" s="23"/>
      <c r="N1" s="23"/>
      <c r="O1" s="23"/>
      <c r="P1" s="23"/>
      <c r="Q1" s="23"/>
    </row>
    <row r="2" spans="1:17" ht="28.5" customHeight="1" x14ac:dyDescent="0.25">
      <c r="A2" s="614" t="str">
        <f>desc</f>
        <v>Description</v>
      </c>
      <c r="B2" s="625" t="str">
        <f>head27</f>
        <v>Ref</v>
      </c>
      <c r="C2" s="1907" t="str">
        <f>Head9</f>
        <v>Budget Year 2019/20</v>
      </c>
      <c r="D2" s="1908"/>
      <c r="E2" s="1908"/>
      <c r="F2" s="1908"/>
      <c r="G2" s="1908"/>
      <c r="H2" s="1908"/>
      <c r="I2" s="1908"/>
      <c r="J2" s="1908"/>
      <c r="K2" s="1908"/>
      <c r="L2" s="1908"/>
      <c r="M2" s="1908"/>
      <c r="N2" s="1908"/>
      <c r="O2" s="1904" t="s">
        <v>1580</v>
      </c>
      <c r="P2" s="1905"/>
      <c r="Q2" s="1906"/>
    </row>
    <row r="3" spans="1:17" ht="25.5" x14ac:dyDescent="0.25">
      <c r="A3" s="621" t="s">
        <v>573</v>
      </c>
      <c r="B3" s="626"/>
      <c r="C3" s="1298" t="s">
        <v>629</v>
      </c>
      <c r="D3" s="585" t="s">
        <v>1252</v>
      </c>
      <c r="E3" s="585" t="s">
        <v>1253</v>
      </c>
      <c r="F3" s="585" t="s">
        <v>1254</v>
      </c>
      <c r="G3" s="585" t="s">
        <v>610</v>
      </c>
      <c r="H3" s="585" t="s">
        <v>611</v>
      </c>
      <c r="I3" s="585" t="s">
        <v>612</v>
      </c>
      <c r="J3" s="585" t="s">
        <v>613</v>
      </c>
      <c r="K3" s="585" t="s">
        <v>614</v>
      </c>
      <c r="L3" s="585" t="s">
        <v>615</v>
      </c>
      <c r="M3" s="585" t="s">
        <v>616</v>
      </c>
      <c r="N3" s="204" t="s">
        <v>617</v>
      </c>
      <c r="O3" s="141" t="str">
        <f>Head9</f>
        <v>Budget Year 2019/20</v>
      </c>
      <c r="P3" s="203" t="str">
        <f>Head10</f>
        <v>Budget Year +1 2020/21</v>
      </c>
      <c r="Q3" s="204" t="str">
        <f>Head11</f>
        <v>Budget Year +2 2021/22</v>
      </c>
    </row>
    <row r="4" spans="1:17" x14ac:dyDescent="0.25">
      <c r="A4" s="539" t="str">
        <f>'A4-FinPerf RE'!A4</f>
        <v>Revenue By Source</v>
      </c>
      <c r="B4" s="540"/>
      <c r="C4" s="174"/>
      <c r="D4" s="149"/>
      <c r="E4" s="149"/>
      <c r="F4" s="149"/>
      <c r="G4" s="149"/>
      <c r="H4" s="149"/>
      <c r="I4" s="149"/>
      <c r="J4" s="149"/>
      <c r="K4" s="149"/>
      <c r="L4" s="149"/>
      <c r="M4" s="149"/>
      <c r="N4" s="541"/>
      <c r="O4" s="151"/>
      <c r="P4" s="149"/>
      <c r="Q4" s="152"/>
    </row>
    <row r="5" spans="1:17" ht="11.25" customHeight="1" x14ac:dyDescent="0.25">
      <c r="A5" s="63" t="str">
        <f>'A4-FinPerf RE'!A5</f>
        <v>Property rates</v>
      </c>
      <c r="B5" s="542"/>
      <c r="C5" s="1316">
        <f>$O$5/12</f>
        <v>3416055.1858333331</v>
      </c>
      <c r="D5" s="1316">
        <f t="shared" ref="D5:M5" si="0">$O$5/12</f>
        <v>3416055.1858333331</v>
      </c>
      <c r="E5" s="1316">
        <f t="shared" si="0"/>
        <v>3416055.1858333331</v>
      </c>
      <c r="F5" s="1316">
        <f t="shared" si="0"/>
        <v>3416055.1858333331</v>
      </c>
      <c r="G5" s="1316">
        <f t="shared" si="0"/>
        <v>3416055.1858333331</v>
      </c>
      <c r="H5" s="1316">
        <f t="shared" si="0"/>
        <v>3416055.1858333331</v>
      </c>
      <c r="I5" s="1316">
        <f t="shared" si="0"/>
        <v>3416055.1858333331</v>
      </c>
      <c r="J5" s="1316">
        <f t="shared" si="0"/>
        <v>3416055.1858333331</v>
      </c>
      <c r="K5" s="1316">
        <f t="shared" si="0"/>
        <v>3416055.1858333331</v>
      </c>
      <c r="L5" s="1316">
        <f t="shared" si="0"/>
        <v>3416055.1858333331</v>
      </c>
      <c r="M5" s="1316">
        <f t="shared" si="0"/>
        <v>3416055.1858333331</v>
      </c>
      <c r="N5" s="333">
        <f t="shared" ref="N5:N20" si="1">O5-SUM(C5:M5)</f>
        <v>3416055.18583332</v>
      </c>
      <c r="O5" s="78">
        <f>'A4-FinPerf RE'!J5</f>
        <v>40992662.229999997</v>
      </c>
      <c r="P5" s="76">
        <f>'A4-FinPerf RE'!K5</f>
        <v>43452221.963799998</v>
      </c>
      <c r="Q5" s="77">
        <f>'A4-FinPerf RE'!L5</f>
        <v>46059355.281628005</v>
      </c>
    </row>
    <row r="6" spans="1:17" ht="11.25" customHeight="1" x14ac:dyDescent="0.25">
      <c r="A6" s="63" t="str">
        <f>'A4-FinPerf RE'!A6</f>
        <v>Service charges - electricity revenue</v>
      </c>
      <c r="B6" s="542"/>
      <c r="C6" s="1316">
        <f>$O$6/12</f>
        <v>10836318.083333334</v>
      </c>
      <c r="D6" s="1316">
        <f t="shared" ref="D6:M6" si="2">$O$6/12</f>
        <v>10836318.083333334</v>
      </c>
      <c r="E6" s="1316">
        <f t="shared" si="2"/>
        <v>10836318.083333334</v>
      </c>
      <c r="F6" s="1316">
        <f t="shared" si="2"/>
        <v>10836318.083333334</v>
      </c>
      <c r="G6" s="1316">
        <f t="shared" si="2"/>
        <v>10836318.083333334</v>
      </c>
      <c r="H6" s="1316">
        <f t="shared" si="2"/>
        <v>10836318.083333334</v>
      </c>
      <c r="I6" s="1316">
        <f t="shared" si="2"/>
        <v>10836318.083333334</v>
      </c>
      <c r="J6" s="1316">
        <f t="shared" si="2"/>
        <v>10836318.083333334</v>
      </c>
      <c r="K6" s="1316">
        <f t="shared" si="2"/>
        <v>10836318.083333334</v>
      </c>
      <c r="L6" s="1316">
        <f t="shared" si="2"/>
        <v>10836318.083333334</v>
      </c>
      <c r="M6" s="1316">
        <f t="shared" si="2"/>
        <v>10836318.083333334</v>
      </c>
      <c r="N6" s="333">
        <f t="shared" si="1"/>
        <v>10836318.083333343</v>
      </c>
      <c r="O6" s="78">
        <f>'A4-FinPerf RE'!J6</f>
        <v>130035817</v>
      </c>
      <c r="P6" s="76">
        <f>'A4-FinPerf RE'!K6</f>
        <v>137837966.02000001</v>
      </c>
      <c r="Q6" s="77">
        <f>'A4-FinPerf RE'!L6</f>
        <v>146108243.98120001</v>
      </c>
    </row>
    <row r="7" spans="1:17" ht="11.25" customHeight="1" x14ac:dyDescent="0.25">
      <c r="A7" s="63" t="str">
        <f>'A4-FinPerf RE'!A7</f>
        <v>Service charges - water revenue</v>
      </c>
      <c r="B7" s="542"/>
      <c r="C7" s="1316">
        <f>$O$7/12</f>
        <v>2295284.6666666665</v>
      </c>
      <c r="D7" s="1316">
        <f t="shared" ref="D7:M7" si="3">$O$7/12</f>
        <v>2295284.6666666665</v>
      </c>
      <c r="E7" s="1316">
        <f t="shared" si="3"/>
        <v>2295284.6666666665</v>
      </c>
      <c r="F7" s="1316">
        <f t="shared" si="3"/>
        <v>2295284.6666666665</v>
      </c>
      <c r="G7" s="1316">
        <f t="shared" si="3"/>
        <v>2295284.6666666665</v>
      </c>
      <c r="H7" s="1316">
        <f t="shared" si="3"/>
        <v>2295284.6666666665</v>
      </c>
      <c r="I7" s="1316">
        <f t="shared" si="3"/>
        <v>2295284.6666666665</v>
      </c>
      <c r="J7" s="1316">
        <f t="shared" si="3"/>
        <v>2295284.6666666665</v>
      </c>
      <c r="K7" s="1316">
        <f t="shared" si="3"/>
        <v>2295284.6666666665</v>
      </c>
      <c r="L7" s="1316">
        <f t="shared" si="3"/>
        <v>2295284.6666666665</v>
      </c>
      <c r="M7" s="1316">
        <f t="shared" si="3"/>
        <v>2295284.6666666665</v>
      </c>
      <c r="N7" s="333">
        <f t="shared" si="1"/>
        <v>2295284.6666666642</v>
      </c>
      <c r="O7" s="78">
        <f>'A4-FinPerf RE'!J7</f>
        <v>27543416</v>
      </c>
      <c r="P7" s="76">
        <f>'A4-FinPerf RE'!K7</f>
        <v>29196020.960000001</v>
      </c>
      <c r="Q7" s="77">
        <f>'A4-FinPerf RE'!L7</f>
        <v>30947782.217599995</v>
      </c>
    </row>
    <row r="8" spans="1:17" ht="11.25" customHeight="1" x14ac:dyDescent="0.25">
      <c r="A8" s="63" t="str">
        <f>'A4-FinPerf RE'!A8</f>
        <v>Service charges - sanitation revenue</v>
      </c>
      <c r="B8" s="542"/>
      <c r="C8" s="1316">
        <f>$O$8/12</f>
        <v>1365452.6666666667</v>
      </c>
      <c r="D8" s="1316">
        <f t="shared" ref="D8:M8" si="4">$O$8/12</f>
        <v>1365452.6666666667</v>
      </c>
      <c r="E8" s="1316">
        <f t="shared" si="4"/>
        <v>1365452.6666666667</v>
      </c>
      <c r="F8" s="1316">
        <f t="shared" si="4"/>
        <v>1365452.6666666667</v>
      </c>
      <c r="G8" s="1316">
        <f t="shared" si="4"/>
        <v>1365452.6666666667</v>
      </c>
      <c r="H8" s="1316">
        <f t="shared" si="4"/>
        <v>1365452.6666666667</v>
      </c>
      <c r="I8" s="1316">
        <f t="shared" si="4"/>
        <v>1365452.6666666667</v>
      </c>
      <c r="J8" s="1316">
        <f t="shared" si="4"/>
        <v>1365452.6666666667</v>
      </c>
      <c r="K8" s="1316">
        <f t="shared" si="4"/>
        <v>1365452.6666666667</v>
      </c>
      <c r="L8" s="1316">
        <f t="shared" si="4"/>
        <v>1365452.6666666667</v>
      </c>
      <c r="M8" s="1316">
        <f t="shared" si="4"/>
        <v>1365452.6666666667</v>
      </c>
      <c r="N8" s="333">
        <f t="shared" si="1"/>
        <v>1365452.6666666679</v>
      </c>
      <c r="O8" s="78">
        <f>'A4-FinPerf RE'!J8</f>
        <v>16385432</v>
      </c>
      <c r="P8" s="76">
        <f>'A4-FinPerf RE'!K8</f>
        <v>17368557.920000002</v>
      </c>
      <c r="Q8" s="77">
        <f>'A4-FinPerf RE'!L8</f>
        <v>18410671.395200003</v>
      </c>
    </row>
    <row r="9" spans="1:17" ht="11.25" customHeight="1" x14ac:dyDescent="0.25">
      <c r="A9" s="63" t="str">
        <f>'A4-FinPerf RE'!A9</f>
        <v>Service charges - refuse revenue</v>
      </c>
      <c r="B9" s="542"/>
      <c r="C9" s="1316">
        <f>O9/12</f>
        <v>1908876.25</v>
      </c>
      <c r="D9" s="1316">
        <v>1908876.25</v>
      </c>
      <c r="E9" s="1316">
        <v>1908876.25</v>
      </c>
      <c r="F9" s="1316">
        <v>1908876.25</v>
      </c>
      <c r="G9" s="1316">
        <v>1908876.25</v>
      </c>
      <c r="H9" s="1316">
        <v>1908876.25</v>
      </c>
      <c r="I9" s="1316">
        <v>1908876.25</v>
      </c>
      <c r="J9" s="1316">
        <v>1908876.25</v>
      </c>
      <c r="K9" s="1316">
        <v>1908876.25</v>
      </c>
      <c r="L9" s="1316">
        <v>1908876.25</v>
      </c>
      <c r="M9" s="1316">
        <v>1908876.25</v>
      </c>
      <c r="N9" s="333">
        <f t="shared" si="1"/>
        <v>1908876.25</v>
      </c>
      <c r="O9" s="78">
        <f>'A4-FinPerf RE'!J9</f>
        <v>22906515</v>
      </c>
      <c r="P9" s="76">
        <f>'A4-FinPerf RE'!K9</f>
        <v>24280905.899999999</v>
      </c>
      <c r="Q9" s="77">
        <f>'A4-FinPerf RE'!L9</f>
        <v>25737760.254000001</v>
      </c>
    </row>
    <row r="10" spans="1:17" ht="1.9" customHeight="1" x14ac:dyDescent="0.25">
      <c r="A10" s="63"/>
      <c r="B10" s="542"/>
      <c r="C10" s="1872">
        <f t="shared" ref="C10:C20" si="5">O10/12</f>
        <v>0</v>
      </c>
      <c r="D10" s="76"/>
      <c r="E10" s="76"/>
      <c r="F10" s="76"/>
      <c r="G10" s="76"/>
      <c r="H10" s="76"/>
      <c r="I10" s="76"/>
      <c r="J10" s="76"/>
      <c r="K10" s="76"/>
      <c r="L10" s="76"/>
      <c r="M10" s="76"/>
      <c r="N10" s="333"/>
      <c r="O10" s="78"/>
      <c r="P10" s="76"/>
      <c r="Q10" s="77"/>
    </row>
    <row r="11" spans="1:17" ht="11.25" customHeight="1" x14ac:dyDescent="0.25">
      <c r="A11" s="63" t="str">
        <f>'A4-FinPerf RE'!A11</f>
        <v>Rental of facilities and equipment</v>
      </c>
      <c r="B11" s="542"/>
      <c r="C11" s="1316">
        <f t="shared" si="5"/>
        <v>77455.066999999995</v>
      </c>
      <c r="D11" s="1316">
        <v>77455.066999999995</v>
      </c>
      <c r="E11" s="1316">
        <v>77455.066999999995</v>
      </c>
      <c r="F11" s="1316">
        <v>77455.066999999995</v>
      </c>
      <c r="G11" s="1316">
        <v>77455.066999999995</v>
      </c>
      <c r="H11" s="1316">
        <v>77455.066999999995</v>
      </c>
      <c r="I11" s="1316">
        <v>77455.066999999995</v>
      </c>
      <c r="J11" s="1316">
        <v>77455.066999999995</v>
      </c>
      <c r="K11" s="1316">
        <v>77455.066999999995</v>
      </c>
      <c r="L11" s="1316">
        <v>77455.066999999995</v>
      </c>
      <c r="M11" s="1316">
        <v>77455.066999999995</v>
      </c>
      <c r="N11" s="333">
        <f t="shared" si="1"/>
        <v>77455.066999999923</v>
      </c>
      <c r="O11" s="78">
        <f>'A4-FinPerf RE'!J11</f>
        <v>929460.804</v>
      </c>
      <c r="P11" s="76">
        <f>'A4-FinPerf RE'!K11</f>
        <v>985228.45224000001</v>
      </c>
      <c r="Q11" s="77">
        <f>'A4-FinPerf RE'!L11</f>
        <v>1044342.1593744</v>
      </c>
    </row>
    <row r="12" spans="1:17" ht="11.25" customHeight="1" x14ac:dyDescent="0.25">
      <c r="A12" s="63" t="str">
        <f>'A4-FinPerf RE'!A12</f>
        <v>Interest earned - external investments</v>
      </c>
      <c r="B12" s="542"/>
      <c r="C12" s="1316">
        <f t="shared" si="5"/>
        <v>272346.5</v>
      </c>
      <c r="D12" s="1316">
        <v>272346.5</v>
      </c>
      <c r="E12" s="1316">
        <v>272346.5</v>
      </c>
      <c r="F12" s="1316">
        <v>272346.5</v>
      </c>
      <c r="G12" s="1316">
        <v>272346.5</v>
      </c>
      <c r="H12" s="1316">
        <v>272346.5</v>
      </c>
      <c r="I12" s="1316">
        <v>272346.5</v>
      </c>
      <c r="J12" s="1316">
        <v>272346.5</v>
      </c>
      <c r="K12" s="1316">
        <v>272346.5</v>
      </c>
      <c r="L12" s="1316">
        <v>272346.5</v>
      </c>
      <c r="M12" s="1316">
        <v>272346.5</v>
      </c>
      <c r="N12" s="333">
        <f t="shared" si="1"/>
        <v>272346.5</v>
      </c>
      <c r="O12" s="78">
        <f>'A4-FinPerf RE'!J12</f>
        <v>3268158</v>
      </c>
      <c r="P12" s="76">
        <f>'A4-FinPerf RE'!K12</f>
        <v>3464247.48</v>
      </c>
      <c r="Q12" s="77">
        <f>'A4-FinPerf RE'!L12</f>
        <v>3672102.3288000003</v>
      </c>
    </row>
    <row r="13" spans="1:17" ht="11.25" customHeight="1" x14ac:dyDescent="0.25">
      <c r="A13" s="63" t="str">
        <f>'A4-FinPerf RE'!A13</f>
        <v>Interest earned - outstanding debtors</v>
      </c>
      <c r="B13" s="542"/>
      <c r="C13" s="1316">
        <f t="shared" si="5"/>
        <v>341956.66666666669</v>
      </c>
      <c r="D13" s="1316">
        <v>341956.66666666669</v>
      </c>
      <c r="E13" s="1316">
        <v>341956.66666666669</v>
      </c>
      <c r="F13" s="1316">
        <v>341956.66666666669</v>
      </c>
      <c r="G13" s="1316">
        <v>341956.66666666669</v>
      </c>
      <c r="H13" s="1316">
        <v>341956.66666666669</v>
      </c>
      <c r="I13" s="1316">
        <v>341956.66666666669</v>
      </c>
      <c r="J13" s="1316">
        <v>341956.66666666669</v>
      </c>
      <c r="K13" s="1316">
        <v>341956.66666666669</v>
      </c>
      <c r="L13" s="1316">
        <v>341956.66666666669</v>
      </c>
      <c r="M13" s="1316">
        <v>341956.66666666669</v>
      </c>
      <c r="N13" s="333">
        <f t="shared" si="1"/>
        <v>341956.66666666698</v>
      </c>
      <c r="O13" s="78">
        <f>'A4-FinPerf RE'!J13</f>
        <v>4103480</v>
      </c>
      <c r="P13" s="76">
        <f>'A4-FinPerf RE'!K13</f>
        <v>4349688.8</v>
      </c>
      <c r="Q13" s="77">
        <f>'A4-FinPerf RE'!L13</f>
        <v>4610670.1280000005</v>
      </c>
    </row>
    <row r="14" spans="1:17" ht="11.25" customHeight="1" x14ac:dyDescent="0.25">
      <c r="A14" s="63" t="str">
        <f>'A4-FinPerf RE'!A14</f>
        <v>Dividends received</v>
      </c>
      <c r="B14" s="542"/>
      <c r="C14" s="1316">
        <f t="shared" si="5"/>
        <v>0</v>
      </c>
      <c r="D14" s="1316">
        <v>0</v>
      </c>
      <c r="E14" s="1316">
        <v>0</v>
      </c>
      <c r="F14" s="1316">
        <v>0</v>
      </c>
      <c r="G14" s="1316">
        <v>0</v>
      </c>
      <c r="H14" s="1316">
        <v>0</v>
      </c>
      <c r="I14" s="1316">
        <v>0</v>
      </c>
      <c r="J14" s="1316">
        <v>0</v>
      </c>
      <c r="K14" s="1316">
        <v>0</v>
      </c>
      <c r="L14" s="1316">
        <v>0</v>
      </c>
      <c r="M14" s="1316">
        <v>0</v>
      </c>
      <c r="N14" s="333">
        <f t="shared" si="1"/>
        <v>0</v>
      </c>
      <c r="O14" s="78">
        <f>'A4-FinPerf RE'!J14</f>
        <v>0</v>
      </c>
      <c r="P14" s="76">
        <f>'A4-FinPerf RE'!K14</f>
        <v>0</v>
      </c>
      <c r="Q14" s="77">
        <f>'A4-FinPerf RE'!L14</f>
        <v>0</v>
      </c>
    </row>
    <row r="15" spans="1:17" ht="11.25" customHeight="1" x14ac:dyDescent="0.25">
      <c r="A15" s="63" t="str">
        <f>'A4-FinPerf RE'!A15</f>
        <v>Fines, penalties and forfeits</v>
      </c>
      <c r="B15" s="542"/>
      <c r="C15" s="1316">
        <f t="shared" si="5"/>
        <v>929.16666666666663</v>
      </c>
      <c r="D15" s="1316">
        <v>929.16666666666663</v>
      </c>
      <c r="E15" s="1316">
        <v>929.16666666666663</v>
      </c>
      <c r="F15" s="1316">
        <v>929.16666666666663</v>
      </c>
      <c r="G15" s="1316">
        <v>929.16666666666663</v>
      </c>
      <c r="H15" s="1316">
        <v>929.16666666666663</v>
      </c>
      <c r="I15" s="1316">
        <v>929.16666666666663</v>
      </c>
      <c r="J15" s="1316">
        <v>929.16666666666663</v>
      </c>
      <c r="K15" s="1316">
        <v>929.16666666666663</v>
      </c>
      <c r="L15" s="1316">
        <v>929.16666666666663</v>
      </c>
      <c r="M15" s="1316">
        <v>929.16666666666663</v>
      </c>
      <c r="N15" s="333">
        <f t="shared" si="1"/>
        <v>929.16666666666788</v>
      </c>
      <c r="O15" s="78">
        <f>'A4-FinPerf RE'!J15</f>
        <v>11150</v>
      </c>
      <c r="P15" s="76">
        <f>'A4-FinPerf RE'!K15</f>
        <v>11819</v>
      </c>
      <c r="Q15" s="77">
        <f>'A4-FinPerf RE'!L15</f>
        <v>12528.140000000001</v>
      </c>
    </row>
    <row r="16" spans="1:17" ht="11.25" customHeight="1" x14ac:dyDescent="0.25">
      <c r="A16" s="63" t="str">
        <f>'A4-FinPerf RE'!A16</f>
        <v>Licences and permits</v>
      </c>
      <c r="B16" s="542"/>
      <c r="C16" s="1316">
        <f t="shared" si="5"/>
        <v>137682.41666666666</v>
      </c>
      <c r="D16" s="1316">
        <v>137682.41666666666</v>
      </c>
      <c r="E16" s="1316">
        <v>137682.41666666666</v>
      </c>
      <c r="F16" s="1316">
        <v>137682.41666666666</v>
      </c>
      <c r="G16" s="1316">
        <v>137682.41666666666</v>
      </c>
      <c r="H16" s="1316">
        <v>137682.41666666666</v>
      </c>
      <c r="I16" s="1316">
        <v>137682.41666666666</v>
      </c>
      <c r="J16" s="1316">
        <v>137682.41666666666</v>
      </c>
      <c r="K16" s="1316">
        <v>137682.41666666666</v>
      </c>
      <c r="L16" s="1316">
        <v>137682.41666666666</v>
      </c>
      <c r="M16" s="1316">
        <v>137682.41666666666</v>
      </c>
      <c r="N16" s="333">
        <f t="shared" si="1"/>
        <v>137682.41666666651</v>
      </c>
      <c r="O16" s="78">
        <f>'A4-FinPerf RE'!J16</f>
        <v>1652189</v>
      </c>
      <c r="P16" s="76">
        <f>'A4-FinPerf RE'!K16</f>
        <v>1751320.34</v>
      </c>
      <c r="Q16" s="77">
        <f>'A4-FinPerf RE'!L16</f>
        <v>1856399.5604000001</v>
      </c>
    </row>
    <row r="17" spans="1:17" ht="11.25" customHeight="1" x14ac:dyDescent="0.25">
      <c r="A17" s="63" t="str">
        <f>'A4-FinPerf RE'!A17</f>
        <v>Agency services</v>
      </c>
      <c r="B17" s="542"/>
      <c r="C17" s="1316">
        <f t="shared" si="5"/>
        <v>305678.33333333331</v>
      </c>
      <c r="D17" s="1316">
        <v>305678.33333333331</v>
      </c>
      <c r="E17" s="1316">
        <v>305678.33333333331</v>
      </c>
      <c r="F17" s="1316">
        <v>305678.33333333331</v>
      </c>
      <c r="G17" s="1316">
        <v>305678.33333333331</v>
      </c>
      <c r="H17" s="1316">
        <v>305678.33333333331</v>
      </c>
      <c r="I17" s="1316">
        <v>305678.33333333331</v>
      </c>
      <c r="J17" s="1316">
        <v>305678.33333333331</v>
      </c>
      <c r="K17" s="1316">
        <v>305678.33333333331</v>
      </c>
      <c r="L17" s="1316">
        <v>305678.33333333331</v>
      </c>
      <c r="M17" s="1316">
        <v>305678.33333333331</v>
      </c>
      <c r="N17" s="333">
        <f t="shared" si="1"/>
        <v>305678.33333333302</v>
      </c>
      <c r="O17" s="78">
        <f>'A4-FinPerf RE'!J17</f>
        <v>3668140</v>
      </c>
      <c r="P17" s="76">
        <f>'A4-FinPerf RE'!K17</f>
        <v>3888228.4000000004</v>
      </c>
      <c r="Q17" s="77">
        <f>'A4-FinPerf RE'!L17</f>
        <v>4121522.1040000007</v>
      </c>
    </row>
    <row r="18" spans="1:17" ht="11.25" customHeight="1" x14ac:dyDescent="0.25">
      <c r="A18" s="63" t="str">
        <f>'A4-FinPerf RE'!A18</f>
        <v>Transfers and subsidies</v>
      </c>
      <c r="B18" s="542"/>
      <c r="C18" s="1316">
        <f>O18/3</f>
        <v>34110684.833333336</v>
      </c>
      <c r="D18" s="1316"/>
      <c r="E18" s="1316"/>
      <c r="F18" s="1316"/>
      <c r="G18" s="1316">
        <f>O18/3</f>
        <v>34110684.833333336</v>
      </c>
      <c r="H18" s="1316"/>
      <c r="I18" s="1316"/>
      <c r="J18" s="1316"/>
      <c r="K18" s="1316">
        <f>O18/3</f>
        <v>34110684.833333336</v>
      </c>
      <c r="L18" s="1316"/>
      <c r="M18" s="1316"/>
      <c r="N18" s="333">
        <f t="shared" si="1"/>
        <v>0</v>
      </c>
      <c r="O18" s="78">
        <f>'A4-FinPerf RE'!J18</f>
        <v>102332054.5</v>
      </c>
      <c r="P18" s="76">
        <f>'A4-FinPerf RE'!K18</f>
        <v>108471977.77000001</v>
      </c>
      <c r="Q18" s="77">
        <f>'A4-FinPerf RE'!L18</f>
        <v>114980296.43620002</v>
      </c>
    </row>
    <row r="19" spans="1:17" ht="11.25" customHeight="1" x14ac:dyDescent="0.25">
      <c r="A19" s="63" t="str">
        <f>'A4-FinPerf RE'!A19</f>
        <v>Other revenue</v>
      </c>
      <c r="B19" s="542"/>
      <c r="C19" s="1316">
        <f t="shared" si="5"/>
        <v>463821.125</v>
      </c>
      <c r="D19" s="1316">
        <v>463821.125</v>
      </c>
      <c r="E19" s="1316">
        <v>463821.125</v>
      </c>
      <c r="F19" s="1316">
        <v>463821.125</v>
      </c>
      <c r="G19" s="1316">
        <v>463821.125</v>
      </c>
      <c r="H19" s="1316">
        <v>463821.125</v>
      </c>
      <c r="I19" s="1316">
        <v>463821.125</v>
      </c>
      <c r="J19" s="1316">
        <v>463821.125</v>
      </c>
      <c r="K19" s="1316">
        <v>463821.125</v>
      </c>
      <c r="L19" s="1316">
        <v>463821.125</v>
      </c>
      <c r="M19" s="1316">
        <v>463821.125</v>
      </c>
      <c r="N19" s="333">
        <f t="shared" si="1"/>
        <v>463821.125</v>
      </c>
      <c r="O19" s="78">
        <f>'A4-FinPerf RE'!J19</f>
        <v>5565853.5</v>
      </c>
      <c r="P19" s="76">
        <f>'A4-FinPerf RE'!K19</f>
        <v>5899804.71</v>
      </c>
      <c r="Q19" s="77">
        <f>'A4-FinPerf RE'!L19</f>
        <v>6253792.9926000005</v>
      </c>
    </row>
    <row r="20" spans="1:17" ht="11.25" customHeight="1" x14ac:dyDescent="0.25">
      <c r="A20" s="63" t="str">
        <f>'A4-FinPerf RE'!A20</f>
        <v>Gains on disposal of PPE</v>
      </c>
      <c r="B20" s="542"/>
      <c r="C20" s="1316">
        <f t="shared" si="5"/>
        <v>0</v>
      </c>
      <c r="D20" s="1316">
        <v>0</v>
      </c>
      <c r="E20" s="1316">
        <v>0</v>
      </c>
      <c r="F20" s="1316">
        <v>0</v>
      </c>
      <c r="G20" s="1316">
        <v>0</v>
      </c>
      <c r="H20" s="1316">
        <v>0</v>
      </c>
      <c r="I20" s="1316">
        <v>0</v>
      </c>
      <c r="J20" s="1316">
        <v>0</v>
      </c>
      <c r="K20" s="1316">
        <v>0</v>
      </c>
      <c r="L20" s="1316">
        <v>0</v>
      </c>
      <c r="M20" s="1316">
        <v>0</v>
      </c>
      <c r="N20" s="333">
        <f t="shared" si="1"/>
        <v>0</v>
      </c>
      <c r="O20" s="78">
        <f>'A4-FinPerf RE'!J20</f>
        <v>0</v>
      </c>
      <c r="P20" s="76">
        <f>'A4-FinPerf RE'!K20</f>
        <v>0</v>
      </c>
      <c r="Q20" s="77">
        <f>'A4-FinPerf RE'!L20</f>
        <v>0</v>
      </c>
    </row>
    <row r="21" spans="1:17" x14ac:dyDescent="0.25">
      <c r="A21" s="118" t="str">
        <f>'A4-FinPerf RE'!A21</f>
        <v>Total Revenue (excluding capital transfers and contributions)</v>
      </c>
      <c r="B21" s="543"/>
      <c r="C21" s="84">
        <f>SUM(C5:C9)+SUM(C11:C20)</f>
        <v>55532540.961166665</v>
      </c>
      <c r="D21" s="81">
        <f t="shared" ref="D21:Q21" si="6">SUM(D5:D9)+SUM(D11:D20)</f>
        <v>21421856.127833333</v>
      </c>
      <c r="E21" s="81">
        <f t="shared" si="6"/>
        <v>21421856.127833333</v>
      </c>
      <c r="F21" s="81">
        <f t="shared" si="6"/>
        <v>21421856.127833333</v>
      </c>
      <c r="G21" s="81">
        <f t="shared" si="6"/>
        <v>55532540.961166665</v>
      </c>
      <c r="H21" s="81">
        <f t="shared" si="6"/>
        <v>21421856.127833333</v>
      </c>
      <c r="I21" s="81">
        <f t="shared" si="6"/>
        <v>21421856.127833333</v>
      </c>
      <c r="J21" s="81">
        <f t="shared" si="6"/>
        <v>21421856.127833333</v>
      </c>
      <c r="K21" s="81">
        <f t="shared" si="6"/>
        <v>55532540.961166665</v>
      </c>
      <c r="L21" s="81">
        <f t="shared" si="6"/>
        <v>21421856.127833333</v>
      </c>
      <c r="M21" s="81">
        <f t="shared" si="6"/>
        <v>21421856.127833333</v>
      </c>
      <c r="N21" s="472">
        <f t="shared" si="6"/>
        <v>21421856.127833329</v>
      </c>
      <c r="O21" s="83">
        <f t="shared" si="6"/>
        <v>359394328.03399998</v>
      </c>
      <c r="P21" s="81">
        <f t="shared" si="6"/>
        <v>380957987.71604002</v>
      </c>
      <c r="Q21" s="82">
        <f t="shared" si="6"/>
        <v>403815466.97900248</v>
      </c>
    </row>
    <row r="22" spans="1:17" ht="4.9000000000000004" customHeight="1" x14ac:dyDescent="0.25">
      <c r="A22" s="74"/>
      <c r="B22" s="542"/>
      <c r="C22" s="79"/>
      <c r="D22" s="76"/>
      <c r="E22" s="76"/>
      <c r="F22" s="76"/>
      <c r="G22" s="76"/>
      <c r="H22" s="76"/>
      <c r="I22" s="76"/>
      <c r="J22" s="76"/>
      <c r="K22" s="76"/>
      <c r="L22" s="76"/>
      <c r="M22" s="76"/>
      <c r="N22" s="333"/>
      <c r="O22" s="78"/>
      <c r="P22" s="76"/>
      <c r="Q22" s="77"/>
    </row>
    <row r="23" spans="1:17" x14ac:dyDescent="0.25">
      <c r="A23" s="54" t="str">
        <f>'A4-FinPerf RE'!A23</f>
        <v>Expenditure By Type</v>
      </c>
      <c r="B23" s="544"/>
      <c r="C23" s="79"/>
      <c r="D23" s="76"/>
      <c r="E23" s="76"/>
      <c r="F23" s="76"/>
      <c r="G23" s="76"/>
      <c r="H23" s="76"/>
      <c r="I23" s="76"/>
      <c r="J23" s="76"/>
      <c r="K23" s="76"/>
      <c r="L23" s="76"/>
      <c r="M23" s="76"/>
      <c r="N23" s="333"/>
      <c r="O23" s="78"/>
      <c r="P23" s="76"/>
      <c r="Q23" s="77"/>
    </row>
    <row r="24" spans="1:17" ht="11.25" customHeight="1" x14ac:dyDescent="0.25">
      <c r="A24" s="63" t="str">
        <f>'A4-FinPerf RE'!A24</f>
        <v>Employee related costs</v>
      </c>
      <c r="B24" s="542"/>
      <c r="C24" s="1318">
        <f>O24/12</f>
        <v>13060985.384233328</v>
      </c>
      <c r="D24" s="1316">
        <v>13060985.384233328</v>
      </c>
      <c r="E24" s="1316">
        <v>13060985.384233328</v>
      </c>
      <c r="F24" s="1316">
        <v>13060985.384233328</v>
      </c>
      <c r="G24" s="1316">
        <v>13060985.384233328</v>
      </c>
      <c r="H24" s="1316">
        <v>13060985.384233328</v>
      </c>
      <c r="I24" s="1316">
        <v>13060985.384233328</v>
      </c>
      <c r="J24" s="1316">
        <v>13060985.384233328</v>
      </c>
      <c r="K24" s="1316">
        <v>13060985.384233328</v>
      </c>
      <c r="L24" s="1316">
        <v>13060985.384233328</v>
      </c>
      <c r="M24" s="1316">
        <v>13060985.384233328</v>
      </c>
      <c r="N24" s="333">
        <f t="shared" ref="N24:N34" si="7">O24-SUM(C24:M24)</f>
        <v>13060985.384233326</v>
      </c>
      <c r="O24" s="78">
        <f>'A4-FinPerf RE'!J24</f>
        <v>156731824.61079994</v>
      </c>
      <c r="P24" s="76">
        <f>'A4-FinPerf RE'!K24</f>
        <v>166135734.08744794</v>
      </c>
      <c r="Q24" s="77">
        <f>'A4-FinPerf RE'!L24</f>
        <v>176103878.13269484</v>
      </c>
    </row>
    <row r="25" spans="1:17" ht="11.25" customHeight="1" x14ac:dyDescent="0.25">
      <c r="A25" s="63" t="str">
        <f>'A4-FinPerf RE'!A25</f>
        <v>Remuneration of councillors</v>
      </c>
      <c r="B25" s="542"/>
      <c r="C25" s="1318">
        <f t="shared" ref="C25:C34" si="8">O25/12</f>
        <v>826241.45699999994</v>
      </c>
      <c r="D25" s="1316">
        <v>826241.45699999994</v>
      </c>
      <c r="E25" s="1316">
        <v>826241.45699999994</v>
      </c>
      <c r="F25" s="1316">
        <v>826241.45699999994</v>
      </c>
      <c r="G25" s="1316">
        <v>826241.45699999994</v>
      </c>
      <c r="H25" s="1316">
        <v>826241.45699999994</v>
      </c>
      <c r="I25" s="1316">
        <v>826241.45699999994</v>
      </c>
      <c r="J25" s="1316">
        <v>826241.45699999994</v>
      </c>
      <c r="K25" s="1316">
        <v>826241.45699999994</v>
      </c>
      <c r="L25" s="1316">
        <v>826241.45699999994</v>
      </c>
      <c r="M25" s="1316">
        <v>826241.45699999994</v>
      </c>
      <c r="N25" s="333">
        <f t="shared" si="7"/>
        <v>826241.45699999854</v>
      </c>
      <c r="O25" s="78">
        <f>'A4-FinPerf RE'!J25</f>
        <v>9914897.4839999992</v>
      </c>
      <c r="P25" s="76">
        <f>'A4-FinPerf RE'!K25</f>
        <v>10509791.333039999</v>
      </c>
      <c r="Q25" s="77">
        <f>'A4-FinPerf RE'!L25</f>
        <v>11140378.813022399</v>
      </c>
    </row>
    <row r="26" spans="1:17" ht="11.25" customHeight="1" x14ac:dyDescent="0.25">
      <c r="A26" s="63" t="str">
        <f>'A4-FinPerf RE'!A26</f>
        <v>Debt impairment</v>
      </c>
      <c r="B26" s="542"/>
      <c r="C26" s="1318">
        <f t="shared" si="8"/>
        <v>324519.69083333336</v>
      </c>
      <c r="D26" s="1316">
        <v>324519.69083333336</v>
      </c>
      <c r="E26" s="1316">
        <v>324519.69083333336</v>
      </c>
      <c r="F26" s="1316">
        <v>324519.69083333336</v>
      </c>
      <c r="G26" s="1316">
        <v>324519.69083333336</v>
      </c>
      <c r="H26" s="1316">
        <v>324519.69083333336</v>
      </c>
      <c r="I26" s="1316">
        <v>324519.69083333336</v>
      </c>
      <c r="J26" s="1316">
        <v>324519.69083333336</v>
      </c>
      <c r="K26" s="1316">
        <v>324519.69083333336</v>
      </c>
      <c r="L26" s="1316">
        <v>324519.69083333336</v>
      </c>
      <c r="M26" s="1316">
        <v>324519.69083333336</v>
      </c>
      <c r="N26" s="333">
        <f t="shared" si="7"/>
        <v>324519.69083333295</v>
      </c>
      <c r="O26" s="78">
        <f>'A4-FinPerf RE'!J26</f>
        <v>3894236.29</v>
      </c>
      <c r="P26" s="76">
        <f>'A4-FinPerf RE'!K26</f>
        <v>4127890.4674000004</v>
      </c>
      <c r="Q26" s="77">
        <f>'A4-FinPerf RE'!L26</f>
        <v>4375563.8954440011</v>
      </c>
    </row>
    <row r="27" spans="1:17" ht="11.25" customHeight="1" x14ac:dyDescent="0.25">
      <c r="A27" s="63" t="str">
        <f>'A4-FinPerf RE'!A27</f>
        <v>Depreciation &amp; asset impairment</v>
      </c>
      <c r="B27" s="542"/>
      <c r="C27" s="1318">
        <f t="shared" si="8"/>
        <v>5487380.2999999998</v>
      </c>
      <c r="D27" s="1316">
        <v>5487380.2999999998</v>
      </c>
      <c r="E27" s="1316">
        <v>5487380.2999999998</v>
      </c>
      <c r="F27" s="1316">
        <v>5487380.2999999998</v>
      </c>
      <c r="G27" s="1316">
        <v>5487380.2999999998</v>
      </c>
      <c r="H27" s="1316">
        <v>5487380.2999999998</v>
      </c>
      <c r="I27" s="1316">
        <v>5487380.2999999998</v>
      </c>
      <c r="J27" s="1316">
        <v>5487380.2999999998</v>
      </c>
      <c r="K27" s="1316">
        <v>5487380.2999999998</v>
      </c>
      <c r="L27" s="1316">
        <v>5487380.2999999998</v>
      </c>
      <c r="M27" s="1316">
        <v>5487380.2999999998</v>
      </c>
      <c r="N27" s="333">
        <f t="shared" si="7"/>
        <v>5487380.3000000119</v>
      </c>
      <c r="O27" s="78">
        <f>'A4-FinPerf RE'!J27</f>
        <v>65848563.600000001</v>
      </c>
      <c r="P27" s="76">
        <f>'A4-FinPerf RE'!K27</f>
        <v>69799477.416000009</v>
      </c>
      <c r="Q27" s="77">
        <f>'A4-FinPerf RE'!L27</f>
        <v>73987446.06096001</v>
      </c>
    </row>
    <row r="28" spans="1:17" ht="11.25" customHeight="1" x14ac:dyDescent="0.25">
      <c r="A28" s="63" t="str">
        <f>'A4-FinPerf RE'!A28</f>
        <v>Finance charges</v>
      </c>
      <c r="B28" s="542"/>
      <c r="C28" s="1318">
        <f t="shared" si="8"/>
        <v>315650</v>
      </c>
      <c r="D28" s="1316">
        <v>315650</v>
      </c>
      <c r="E28" s="1316">
        <v>315650</v>
      </c>
      <c r="F28" s="1316">
        <v>315650</v>
      </c>
      <c r="G28" s="1316">
        <v>315650</v>
      </c>
      <c r="H28" s="1316">
        <v>315650</v>
      </c>
      <c r="I28" s="1316">
        <v>315650</v>
      </c>
      <c r="J28" s="1316">
        <v>315650</v>
      </c>
      <c r="K28" s="1316">
        <v>315650</v>
      </c>
      <c r="L28" s="1316">
        <v>315650</v>
      </c>
      <c r="M28" s="1316">
        <v>315650</v>
      </c>
      <c r="N28" s="333">
        <f t="shared" si="7"/>
        <v>315650</v>
      </c>
      <c r="O28" s="78">
        <f>'A4-FinPerf RE'!J28</f>
        <v>3787800</v>
      </c>
      <c r="P28" s="76">
        <f>'A4-FinPerf RE'!K28</f>
        <v>4015068</v>
      </c>
      <c r="Q28" s="77">
        <f>'A4-FinPerf RE'!L28</f>
        <v>4255972.08</v>
      </c>
    </row>
    <row r="29" spans="1:17" ht="11.25" customHeight="1" x14ac:dyDescent="0.25">
      <c r="A29" s="63" t="str">
        <f>'A4-FinPerf RE'!A29</f>
        <v>Bulk purchases</v>
      </c>
      <c r="B29" s="542"/>
      <c r="C29" s="1318">
        <f t="shared" si="8"/>
        <v>7550409.166666667</v>
      </c>
      <c r="D29" s="1316">
        <v>7550409.166666667</v>
      </c>
      <c r="E29" s="1316">
        <v>7550409.166666667</v>
      </c>
      <c r="F29" s="1316">
        <v>7550409.166666667</v>
      </c>
      <c r="G29" s="1316">
        <v>7550409.166666667</v>
      </c>
      <c r="H29" s="1316">
        <v>7550409.166666667</v>
      </c>
      <c r="I29" s="1316">
        <v>7550409.166666667</v>
      </c>
      <c r="J29" s="1316">
        <v>7550409.166666667</v>
      </c>
      <c r="K29" s="1316">
        <v>7550409.166666667</v>
      </c>
      <c r="L29" s="1316">
        <v>7550409.166666667</v>
      </c>
      <c r="M29" s="1316">
        <v>7550409.166666667</v>
      </c>
      <c r="N29" s="333">
        <f t="shared" si="7"/>
        <v>7550409.1666666567</v>
      </c>
      <c r="O29" s="78">
        <f>'A4-FinPerf RE'!J29</f>
        <v>90604910</v>
      </c>
      <c r="P29" s="76">
        <f>'A4-FinPerf RE'!K29</f>
        <v>96041204.600000009</v>
      </c>
      <c r="Q29" s="77">
        <f>'A4-FinPerf RE'!L29</f>
        <v>101803676.87600002</v>
      </c>
    </row>
    <row r="30" spans="1:17" ht="11.25" customHeight="1" x14ac:dyDescent="0.25">
      <c r="A30" s="63" t="str">
        <f>'A4-FinPerf RE'!A30</f>
        <v>Other materials</v>
      </c>
      <c r="B30" s="542"/>
      <c r="C30" s="1318">
        <f t="shared" si="8"/>
        <v>0</v>
      </c>
      <c r="D30" s="1316">
        <v>0</v>
      </c>
      <c r="E30" s="1316">
        <v>0</v>
      </c>
      <c r="F30" s="1316">
        <v>0</v>
      </c>
      <c r="G30" s="1316">
        <v>0</v>
      </c>
      <c r="H30" s="1316">
        <v>0</v>
      </c>
      <c r="I30" s="1316">
        <v>0</v>
      </c>
      <c r="J30" s="1316">
        <v>0</v>
      </c>
      <c r="K30" s="1316">
        <v>0</v>
      </c>
      <c r="L30" s="1316">
        <v>0</v>
      </c>
      <c r="M30" s="1316">
        <v>0</v>
      </c>
      <c r="N30" s="333">
        <f t="shared" si="7"/>
        <v>0</v>
      </c>
      <c r="O30" s="78">
        <f>'A4-FinPerf RE'!J30</f>
        <v>0</v>
      </c>
      <c r="P30" s="76">
        <f>'A4-FinPerf RE'!K30</f>
        <v>0</v>
      </c>
      <c r="Q30" s="77">
        <f>'A4-FinPerf RE'!L30</f>
        <v>0</v>
      </c>
    </row>
    <row r="31" spans="1:17" ht="11.25" customHeight="1" x14ac:dyDescent="0.25">
      <c r="A31" s="63" t="str">
        <f>'A4-FinPerf RE'!A31</f>
        <v>Contracted services</v>
      </c>
      <c r="B31" s="542"/>
      <c r="C31" s="1318">
        <f t="shared" si="8"/>
        <v>340284.90666666668</v>
      </c>
      <c r="D31" s="1316">
        <v>340284.90666666668</v>
      </c>
      <c r="E31" s="1316">
        <v>340284.90666666668</v>
      </c>
      <c r="F31" s="1316">
        <v>340284.90666666668</v>
      </c>
      <c r="G31" s="1316">
        <v>340284.90666666668</v>
      </c>
      <c r="H31" s="1316">
        <v>340284.90666666668</v>
      </c>
      <c r="I31" s="1316">
        <v>340284.90666666668</v>
      </c>
      <c r="J31" s="1316">
        <v>340284.90666666668</v>
      </c>
      <c r="K31" s="1316">
        <v>340284.90666666668</v>
      </c>
      <c r="L31" s="1316">
        <v>340284.90666666668</v>
      </c>
      <c r="M31" s="1316">
        <v>340284.90666666668</v>
      </c>
      <c r="N31" s="333">
        <f t="shared" si="7"/>
        <v>340284.90666666627</v>
      </c>
      <c r="O31" s="78">
        <f>'A4-FinPerf RE'!J31</f>
        <v>4083418.88</v>
      </c>
      <c r="P31" s="76">
        <f>'A4-FinPerf RE'!K31</f>
        <v>4328424.0127999997</v>
      </c>
      <c r="Q31" s="77">
        <f>'A4-FinPerf RE'!L31</f>
        <v>4588129.4535680003</v>
      </c>
    </row>
    <row r="32" spans="1:17" ht="11.25" customHeight="1" x14ac:dyDescent="0.25">
      <c r="A32" s="63" t="str">
        <f>'A4-FinPerf RE'!A32</f>
        <v>Transfers and subsidies</v>
      </c>
      <c r="B32" s="542"/>
      <c r="C32" s="1318">
        <f t="shared" si="8"/>
        <v>2949.5</v>
      </c>
      <c r="D32" s="1316">
        <v>2949.5</v>
      </c>
      <c r="E32" s="1316">
        <v>2949.5</v>
      </c>
      <c r="F32" s="1316">
        <v>2949.5</v>
      </c>
      <c r="G32" s="1316">
        <v>2949.5</v>
      </c>
      <c r="H32" s="1316">
        <v>2949.5</v>
      </c>
      <c r="I32" s="1316">
        <v>2949.5</v>
      </c>
      <c r="J32" s="1316">
        <v>2949.5</v>
      </c>
      <c r="K32" s="1316">
        <v>2949.5</v>
      </c>
      <c r="L32" s="1316">
        <v>2949.5</v>
      </c>
      <c r="M32" s="1316">
        <v>2949.5</v>
      </c>
      <c r="N32" s="333">
        <f t="shared" si="7"/>
        <v>2949.5</v>
      </c>
      <c r="O32" s="78">
        <f>'A4-FinPerf RE'!J32</f>
        <v>35394</v>
      </c>
      <c r="P32" s="76">
        <f>'A4-FinPerf RE'!K32</f>
        <v>37517.64</v>
      </c>
      <c r="Q32" s="77">
        <f>'A4-FinPerf RE'!L32</f>
        <v>39768.698400000001</v>
      </c>
    </row>
    <row r="33" spans="1:17" ht="11.25" customHeight="1" x14ac:dyDescent="0.25">
      <c r="A33" s="63" t="str">
        <f>'A4-FinPerf RE'!A33</f>
        <v>Other expenditure</v>
      </c>
      <c r="B33" s="542"/>
      <c r="C33" s="1318">
        <f t="shared" si="8"/>
        <v>4813234.2304166676</v>
      </c>
      <c r="D33" s="1316">
        <v>4813234.2304166676</v>
      </c>
      <c r="E33" s="1316">
        <v>4813234.2304166676</v>
      </c>
      <c r="F33" s="1316">
        <v>4813234.2304166676</v>
      </c>
      <c r="G33" s="1316">
        <v>4813234.2304166676</v>
      </c>
      <c r="H33" s="1316">
        <v>4813234.2304166676</v>
      </c>
      <c r="I33" s="1316">
        <v>4813234.2304166676</v>
      </c>
      <c r="J33" s="1316">
        <v>4813234.2304166676</v>
      </c>
      <c r="K33" s="1316">
        <v>4813234.2304166676</v>
      </c>
      <c r="L33" s="1316">
        <v>4813234.2304166676</v>
      </c>
      <c r="M33" s="1316">
        <v>4813234.2304166676</v>
      </c>
      <c r="N33" s="333">
        <f t="shared" si="7"/>
        <v>4813234.230416663</v>
      </c>
      <c r="O33" s="78">
        <f>'A4-FinPerf RE'!J33</f>
        <v>57758810.765000015</v>
      </c>
      <c r="P33" s="76">
        <f>'A4-FinPerf RE'!K33</f>
        <v>61224339.410900019</v>
      </c>
      <c r="Q33" s="77">
        <f>'A4-FinPerf RE'!L33</f>
        <v>64897799.775554024</v>
      </c>
    </row>
    <row r="34" spans="1:17" ht="11.25" customHeight="1" x14ac:dyDescent="0.25">
      <c r="A34" s="63" t="str">
        <f>'A4-FinPerf RE'!A34</f>
        <v>Loss on disposal of PPE</v>
      </c>
      <c r="B34" s="542"/>
      <c r="C34" s="1872">
        <f t="shared" si="8"/>
        <v>0</v>
      </c>
      <c r="D34" s="1316"/>
      <c r="E34" s="1316"/>
      <c r="F34" s="1316"/>
      <c r="G34" s="1316"/>
      <c r="H34" s="1316"/>
      <c r="I34" s="1316"/>
      <c r="J34" s="1316"/>
      <c r="K34" s="1316"/>
      <c r="L34" s="1316"/>
      <c r="M34" s="1316"/>
      <c r="N34" s="333">
        <f t="shared" si="7"/>
        <v>0</v>
      </c>
      <c r="O34" s="78">
        <f>'A4-FinPerf RE'!J34</f>
        <v>0</v>
      </c>
      <c r="P34" s="76">
        <f>'A4-FinPerf RE'!K34</f>
        <v>0</v>
      </c>
      <c r="Q34" s="77">
        <f>'A4-FinPerf RE'!L34</f>
        <v>0</v>
      </c>
    </row>
    <row r="35" spans="1:17" x14ac:dyDescent="0.25">
      <c r="A35" s="118" t="str">
        <f>'A4-FinPerf RE'!A35</f>
        <v>Total Expenditure</v>
      </c>
      <c r="B35" s="543"/>
      <c r="C35" s="84">
        <f>SUM(C24:C34)</f>
        <v>32721654.635816664</v>
      </c>
      <c r="D35" s="81">
        <f t="shared" ref="D35:Q35" si="9">SUM(D24:D34)</f>
        <v>32721654.635816664</v>
      </c>
      <c r="E35" s="81">
        <f t="shared" si="9"/>
        <v>32721654.635816664</v>
      </c>
      <c r="F35" s="81">
        <f t="shared" si="9"/>
        <v>32721654.635816664</v>
      </c>
      <c r="G35" s="81">
        <f t="shared" si="9"/>
        <v>32721654.635816664</v>
      </c>
      <c r="H35" s="81">
        <f t="shared" si="9"/>
        <v>32721654.635816664</v>
      </c>
      <c r="I35" s="81">
        <f t="shared" si="9"/>
        <v>32721654.635816664</v>
      </c>
      <c r="J35" s="81">
        <f t="shared" si="9"/>
        <v>32721654.635816664</v>
      </c>
      <c r="K35" s="81">
        <f t="shared" si="9"/>
        <v>32721654.635816664</v>
      </c>
      <c r="L35" s="81">
        <f t="shared" si="9"/>
        <v>32721654.635816664</v>
      </c>
      <c r="M35" s="81">
        <f t="shared" si="9"/>
        <v>32721654.635816664</v>
      </c>
      <c r="N35" s="472">
        <f t="shared" si="9"/>
        <v>32721654.635816656</v>
      </c>
      <c r="O35" s="83">
        <f t="shared" si="9"/>
        <v>392659855.62979996</v>
      </c>
      <c r="P35" s="81">
        <f t="shared" si="9"/>
        <v>416219446.96758795</v>
      </c>
      <c r="Q35" s="82">
        <f t="shared" si="9"/>
        <v>441192613.78564328</v>
      </c>
    </row>
    <row r="36" spans="1:17" ht="4.9000000000000004" customHeight="1" x14ac:dyDescent="0.25">
      <c r="A36" s="74"/>
      <c r="B36" s="542"/>
      <c r="C36" s="79"/>
      <c r="D36" s="76"/>
      <c r="E36" s="76"/>
      <c r="F36" s="76"/>
      <c r="G36" s="76"/>
      <c r="H36" s="76"/>
      <c r="I36" s="76"/>
      <c r="J36" s="76"/>
      <c r="K36" s="76"/>
      <c r="L36" s="76"/>
      <c r="M36" s="76"/>
      <c r="N36" s="333"/>
      <c r="O36" s="78"/>
      <c r="P36" s="76"/>
      <c r="Q36" s="77"/>
    </row>
    <row r="37" spans="1:17" x14ac:dyDescent="0.25">
      <c r="A37" s="213" t="str">
        <f>'A4-FinPerf RE'!A37</f>
        <v>Surplus/(Deficit)</v>
      </c>
      <c r="B37" s="545"/>
      <c r="C37" s="84">
        <f t="shared" ref="C37:Q37" si="10">C21-C35</f>
        <v>22810886.325350001</v>
      </c>
      <c r="D37" s="81">
        <f t="shared" si="10"/>
        <v>-11299798.507983331</v>
      </c>
      <c r="E37" s="81">
        <f t="shared" si="10"/>
        <v>-11299798.507983331</v>
      </c>
      <c r="F37" s="81">
        <f t="shared" si="10"/>
        <v>-11299798.507983331</v>
      </c>
      <c r="G37" s="81">
        <f t="shared" si="10"/>
        <v>22810886.325350001</v>
      </c>
      <c r="H37" s="81">
        <f t="shared" si="10"/>
        <v>-11299798.507983331</v>
      </c>
      <c r="I37" s="81">
        <f t="shared" si="10"/>
        <v>-11299798.507983331</v>
      </c>
      <c r="J37" s="81">
        <f t="shared" si="10"/>
        <v>-11299798.507983331</v>
      </c>
      <c r="K37" s="81">
        <f t="shared" si="10"/>
        <v>22810886.325350001</v>
      </c>
      <c r="L37" s="81">
        <f t="shared" si="10"/>
        <v>-11299798.507983331</v>
      </c>
      <c r="M37" s="81">
        <f t="shared" si="10"/>
        <v>-11299798.507983331</v>
      </c>
      <c r="N37" s="472">
        <f t="shared" si="10"/>
        <v>-11299798.507983327</v>
      </c>
      <c r="O37" s="83">
        <f t="shared" si="10"/>
        <v>-33265527.595799983</v>
      </c>
      <c r="P37" s="81">
        <f t="shared" si="10"/>
        <v>-35261459.251547933</v>
      </c>
      <c r="Q37" s="82">
        <f t="shared" si="10"/>
        <v>-37377146.806640804</v>
      </c>
    </row>
    <row r="38" spans="1:17" ht="25.5" customHeight="1" x14ac:dyDescent="0.25">
      <c r="A38" s="146" t="str">
        <f>'A4-FinPerf RE'!A38</f>
        <v>Transfers and subsidies - capital (monetary allocations) (National / Provincial and District)</v>
      </c>
      <c r="B38" s="542"/>
      <c r="C38" s="1318">
        <f>O38/3</f>
        <v>11272666.666666666</v>
      </c>
      <c r="D38" s="1316"/>
      <c r="E38" s="1316"/>
      <c r="F38" s="1316"/>
      <c r="G38" s="1316"/>
      <c r="H38" s="1316">
        <f>O38/3</f>
        <v>11272666.666666666</v>
      </c>
      <c r="I38" s="1316"/>
      <c r="J38" s="1316"/>
      <c r="K38" s="1316">
        <f>O38/3</f>
        <v>11272666.666666666</v>
      </c>
      <c r="L38" s="1316"/>
      <c r="M38" s="1316"/>
      <c r="N38" s="333">
        <f>O38-SUM(C38:M38)</f>
        <v>0</v>
      </c>
      <c r="O38" s="78">
        <f>'A4-FinPerf RE'!J38</f>
        <v>33818000</v>
      </c>
      <c r="P38" s="76">
        <f>'A4-FinPerf RE'!K38</f>
        <v>35847080</v>
      </c>
      <c r="Q38" s="77">
        <f>'A4-FinPerf RE'!L38</f>
        <v>37997904.800000004</v>
      </c>
    </row>
    <row r="39" spans="1:17" ht="62.25" customHeight="1" x14ac:dyDescent="0.25">
      <c r="A39" s="146" t="str">
        <f>'A4-FinPerf RE'!A39</f>
        <v>Transfers and subsidies - capital (monetary allocations) (National / Provincial Departmental Agencies, Households, Non-profit Institutions, Private Enterprises, Public Corporatons, Higher Educational Institutions)</v>
      </c>
      <c r="B39" s="542"/>
      <c r="C39" s="1318"/>
      <c r="D39" s="1316"/>
      <c r="E39" s="1316"/>
      <c r="F39" s="1316"/>
      <c r="G39" s="1316"/>
      <c r="H39" s="1316"/>
      <c r="I39" s="1316"/>
      <c r="J39" s="1316"/>
      <c r="K39" s="1316"/>
      <c r="L39" s="1316"/>
      <c r="M39" s="1316"/>
      <c r="N39" s="333">
        <f>O39-SUM(C39:M39)</f>
        <v>0</v>
      </c>
      <c r="O39" s="78">
        <f>'A4-FinPerf RE'!J39</f>
        <v>0</v>
      </c>
      <c r="P39" s="76">
        <f>'A4-FinPerf RE'!K39</f>
        <v>0</v>
      </c>
      <c r="Q39" s="77">
        <f>'A4-FinPerf RE'!L39</f>
        <v>0</v>
      </c>
    </row>
    <row r="40" spans="1:17" ht="11.25" customHeight="1" x14ac:dyDescent="0.25">
      <c r="A40" s="63" t="str">
        <f>'A4-FinPerf RE'!A40</f>
        <v xml:space="preserve">Transfers and subsidies - capital (in-kind - all) </v>
      </c>
      <c r="B40" s="542"/>
      <c r="C40" s="1318"/>
      <c r="D40" s="1316"/>
      <c r="E40" s="1316"/>
      <c r="F40" s="1316"/>
      <c r="G40" s="1316"/>
      <c r="H40" s="1316"/>
      <c r="I40" s="1316"/>
      <c r="J40" s="1316"/>
      <c r="K40" s="1316"/>
      <c r="L40" s="1316"/>
      <c r="M40" s="1316"/>
      <c r="N40" s="333">
        <f>O40-SUM(C40:M40)</f>
        <v>0</v>
      </c>
      <c r="O40" s="78">
        <f>'A4-FinPerf RE'!J40</f>
        <v>0</v>
      </c>
      <c r="P40" s="76">
        <f>'A4-FinPerf RE'!K40</f>
        <v>0</v>
      </c>
      <c r="Q40" s="77">
        <f>'A4-FinPerf RE'!L40</f>
        <v>0</v>
      </c>
    </row>
    <row r="41" spans="1:17" s="488" customFormat="1" ht="22.5" customHeight="1" x14ac:dyDescent="0.2">
      <c r="A41" s="546" t="str">
        <f>'A4-FinPerf RE'!A41</f>
        <v>Surplus/(Deficit) after capital transfers &amp; contributions</v>
      </c>
      <c r="B41" s="547"/>
      <c r="C41" s="1848">
        <f t="shared" ref="C41:N41" si="11">C37+SUM(C38:C40)</f>
        <v>34083552.992016666</v>
      </c>
      <c r="D41" s="549">
        <f t="shared" si="11"/>
        <v>-11299798.507983331</v>
      </c>
      <c r="E41" s="549">
        <f t="shared" si="11"/>
        <v>-11299798.507983331</v>
      </c>
      <c r="F41" s="549">
        <f t="shared" si="11"/>
        <v>-11299798.507983331</v>
      </c>
      <c r="G41" s="549">
        <f t="shared" si="11"/>
        <v>22810886.325350001</v>
      </c>
      <c r="H41" s="549">
        <f t="shared" si="11"/>
        <v>-27131.841316664591</v>
      </c>
      <c r="I41" s="549">
        <f t="shared" si="11"/>
        <v>-11299798.507983331</v>
      </c>
      <c r="J41" s="549">
        <f t="shared" si="11"/>
        <v>-11299798.507983331</v>
      </c>
      <c r="K41" s="549">
        <f t="shared" si="11"/>
        <v>34083552.992016666</v>
      </c>
      <c r="L41" s="549">
        <f t="shared" si="11"/>
        <v>-11299798.507983331</v>
      </c>
      <c r="M41" s="549">
        <f t="shared" si="11"/>
        <v>-11299798.507983331</v>
      </c>
      <c r="N41" s="550">
        <f t="shared" si="11"/>
        <v>-11299798.507983327</v>
      </c>
      <c r="O41" s="548">
        <f>O37+SUM(O38:O40)</f>
        <v>552472.40420001745</v>
      </c>
      <c r="P41" s="549">
        <f>P37+SUM(P38:P40)</f>
        <v>585620.74845206738</v>
      </c>
      <c r="Q41" s="551">
        <f>Q37+SUM(Q38:Q40)</f>
        <v>620757.99335920066</v>
      </c>
    </row>
    <row r="42" spans="1:17" ht="11.25" customHeight="1" x14ac:dyDescent="0.25">
      <c r="A42" s="63" t="str">
        <f>'A4-FinPerf RE'!A42</f>
        <v>Taxation</v>
      </c>
      <c r="B42" s="542"/>
      <c r="C42" s="1318"/>
      <c r="D42" s="1316"/>
      <c r="E42" s="1316"/>
      <c r="F42" s="1316"/>
      <c r="G42" s="1316"/>
      <c r="H42" s="1316"/>
      <c r="I42" s="1316"/>
      <c r="J42" s="1316"/>
      <c r="K42" s="1316"/>
      <c r="L42" s="1316"/>
      <c r="M42" s="1316"/>
      <c r="N42" s="333">
        <f>O42-SUM(C42:M42)</f>
        <v>0</v>
      </c>
      <c r="O42" s="78">
        <f>'A4-FinPerf RE'!J42</f>
        <v>0</v>
      </c>
      <c r="P42" s="76">
        <f>'A4-FinPerf RE'!K42</f>
        <v>0</v>
      </c>
      <c r="Q42" s="77">
        <f>'A4-FinPerf RE'!L42</f>
        <v>0</v>
      </c>
    </row>
    <row r="43" spans="1:17" ht="11.25" customHeight="1" x14ac:dyDescent="0.25">
      <c r="A43" s="63" t="str">
        <f>'A4-FinPerf RE'!A44</f>
        <v>Attributable to minorities</v>
      </c>
      <c r="B43" s="542"/>
      <c r="C43" s="1318"/>
      <c r="D43" s="1316"/>
      <c r="E43" s="1316"/>
      <c r="F43" s="1316"/>
      <c r="G43" s="1316"/>
      <c r="H43" s="1316"/>
      <c r="I43" s="1316"/>
      <c r="J43" s="1316"/>
      <c r="K43" s="1316"/>
      <c r="L43" s="1316"/>
      <c r="M43" s="1316"/>
      <c r="N43" s="333">
        <f>O43-SUM(C43:M43)</f>
        <v>0</v>
      </c>
      <c r="O43" s="78">
        <f>'A4-FinPerf RE'!J44</f>
        <v>0</v>
      </c>
      <c r="P43" s="76">
        <f>'A4-FinPerf RE'!K44</f>
        <v>0</v>
      </c>
      <c r="Q43" s="77">
        <f>'A4-FinPerf RE'!L44</f>
        <v>0</v>
      </c>
    </row>
    <row r="44" spans="1:17" x14ac:dyDescent="0.25">
      <c r="A44" s="266" t="str">
        <f>'A4-FinPerf RE'!A46</f>
        <v>Share of surplus/ (deficit) of associate</v>
      </c>
      <c r="B44" s="552"/>
      <c r="C44" s="1348"/>
      <c r="D44" s="1346"/>
      <c r="E44" s="1346"/>
      <c r="F44" s="1346"/>
      <c r="G44" s="1346"/>
      <c r="H44" s="1346"/>
      <c r="I44" s="1346"/>
      <c r="J44" s="1346"/>
      <c r="K44" s="1346"/>
      <c r="L44" s="1346"/>
      <c r="M44" s="1346"/>
      <c r="N44" s="333">
        <f>O44-SUM(C44:M44)</f>
        <v>0</v>
      </c>
      <c r="O44" s="78">
        <f>'A4-FinPerf RE'!J46</f>
        <v>0</v>
      </c>
      <c r="P44" s="76">
        <f>'A4-FinPerf RE'!K46</f>
        <v>0</v>
      </c>
      <c r="Q44" s="77">
        <f>'A4-FinPerf RE'!L46</f>
        <v>0</v>
      </c>
    </row>
    <row r="45" spans="1:17" x14ac:dyDescent="0.25">
      <c r="A45" s="527" t="str">
        <f>'A4-FinPerf RE'!A37</f>
        <v>Surplus/(Deficit)</v>
      </c>
      <c r="B45" s="553">
        <v>1</v>
      </c>
      <c r="C45" s="97">
        <f>C41-C42+SUM(C43:C44)</f>
        <v>34083552.992016666</v>
      </c>
      <c r="D45" s="95">
        <f t="shared" ref="D45:M45" si="12">D41-D42+SUM(D43:D44)</f>
        <v>-11299798.507983331</v>
      </c>
      <c r="E45" s="95">
        <f t="shared" si="12"/>
        <v>-11299798.507983331</v>
      </c>
      <c r="F45" s="95">
        <f t="shared" si="12"/>
        <v>-11299798.507983331</v>
      </c>
      <c r="G45" s="95">
        <f t="shared" si="12"/>
        <v>22810886.325350001</v>
      </c>
      <c r="H45" s="95">
        <f t="shared" si="12"/>
        <v>-27131.841316664591</v>
      </c>
      <c r="I45" s="95">
        <f t="shared" si="12"/>
        <v>-11299798.507983331</v>
      </c>
      <c r="J45" s="95">
        <f t="shared" si="12"/>
        <v>-11299798.507983331</v>
      </c>
      <c r="K45" s="95">
        <f t="shared" si="12"/>
        <v>34083552.992016666</v>
      </c>
      <c r="L45" s="95">
        <f t="shared" si="12"/>
        <v>-11299798.507983331</v>
      </c>
      <c r="M45" s="95">
        <f t="shared" si="12"/>
        <v>-11299798.507983331</v>
      </c>
      <c r="N45" s="474">
        <f>N41-N42+SUM(N43:N44)</f>
        <v>-11299798.507983327</v>
      </c>
      <c r="O45" s="97">
        <f>O41-O42+SUM(O43:O44)</f>
        <v>552472.40420001745</v>
      </c>
      <c r="P45" s="95">
        <f>P41-P42+SUM(P43:P44)</f>
        <v>585620.74845206738</v>
      </c>
      <c r="Q45" s="96">
        <f>Q41-Q42+SUM(Q43:Q44)</f>
        <v>620757.99335920066</v>
      </c>
    </row>
    <row r="46" spans="1:17" s="464" customFormat="1" x14ac:dyDescent="0.25">
      <c r="A46" s="554" t="str">
        <f>head27a</f>
        <v>References</v>
      </c>
      <c r="B46" s="670"/>
      <c r="C46" s="647"/>
      <c r="D46" s="647"/>
      <c r="E46" s="647"/>
      <c r="F46" s="647"/>
      <c r="G46" s="647"/>
      <c r="H46" s="647"/>
      <c r="I46" s="647"/>
      <c r="J46" s="647"/>
      <c r="K46" s="647"/>
      <c r="L46" s="647"/>
      <c r="M46" s="647"/>
      <c r="N46" s="647"/>
      <c r="O46" s="647"/>
      <c r="P46" s="647"/>
      <c r="Q46" s="647"/>
    </row>
    <row r="47" spans="1:17" s="464" customFormat="1" x14ac:dyDescent="0.25">
      <c r="A47" s="132" t="s">
        <v>1425</v>
      </c>
    </row>
    <row r="48" spans="1:17" x14ac:dyDescent="0.25">
      <c r="A48" s="108" t="s">
        <v>1354</v>
      </c>
      <c r="B48" s="108"/>
      <c r="O48" s="555">
        <f>O45-'A4-FinPerf RE'!J47</f>
        <v>0</v>
      </c>
      <c r="P48" s="555">
        <f>P45-'A4-FinPerf RE'!K47</f>
        <v>0</v>
      </c>
      <c r="Q48" s="555">
        <f>Q45-'A4-FinPerf RE'!L47</f>
        <v>0</v>
      </c>
    </row>
  </sheetData>
  <mergeCells count="2">
    <mergeCell ref="C2:N2"/>
    <mergeCell ref="O2:Q2"/>
  </mergeCells>
  <phoneticPr fontId="3" type="noConversion"/>
  <printOptions horizontalCentered="1"/>
  <pageMargins left="0.36" right="0" top="0.78740157480314965" bottom="0.59055118110236227" header="0.51181102362204722" footer="0.39370078740157483"/>
  <pageSetup paperSize="9" scale="79"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pageSetUpPr fitToPage="1"/>
  </sheetPr>
  <dimension ref="A1:Q48"/>
  <sheetViews>
    <sheetView showGridLines="0" zoomScaleNormal="100" workbookViewId="0">
      <pane xSplit="2" ySplit="3" topLeftCell="C4" activePane="bottomRight" state="frozen"/>
      <selection pane="topRight"/>
      <selection pane="bottomLeft"/>
      <selection pane="bottomRight"/>
    </sheetView>
  </sheetViews>
  <sheetFormatPr defaultRowHeight="12.75" x14ac:dyDescent="0.25"/>
  <cols>
    <col min="1" max="1" width="30.7109375" style="25" customWidth="1"/>
    <col min="2" max="2" width="3" style="25" customWidth="1"/>
    <col min="3" max="14" width="8.28515625" style="25" customWidth="1"/>
    <col min="15" max="17" width="9.28515625" style="25" customWidth="1"/>
    <col min="18" max="16384" width="9.140625" style="25"/>
  </cols>
  <sheetData>
    <row r="1" spans="1:17" ht="13.5" customHeight="1" x14ac:dyDescent="0.25">
      <c r="A1" s="23" t="str">
        <f>muni&amp;" - "&amp;TableA26</f>
        <v>EC101 Dr Beyers Naude - Supporting Table SA26 Budgeted monthly revenue and expenditure (municipal vote)</v>
      </c>
      <c r="B1" s="23"/>
      <c r="C1" s="23"/>
      <c r="D1" s="23"/>
      <c r="E1" s="23"/>
      <c r="F1" s="23"/>
      <c r="G1" s="23"/>
      <c r="H1" s="23"/>
      <c r="I1" s="23"/>
      <c r="J1" s="23"/>
      <c r="K1" s="23"/>
      <c r="L1" s="23"/>
      <c r="M1" s="23"/>
      <c r="N1" s="23"/>
      <c r="O1" s="23"/>
      <c r="P1" s="23"/>
      <c r="Q1" s="23"/>
    </row>
    <row r="2" spans="1:17" ht="28.5" customHeight="1" x14ac:dyDescent="0.25">
      <c r="A2" s="614" t="str">
        <f>desc</f>
        <v>Description</v>
      </c>
      <c r="B2" s="625" t="str">
        <f>head27</f>
        <v>Ref</v>
      </c>
      <c r="C2" s="1907" t="str">
        <f>Head9</f>
        <v>Budget Year 2019/20</v>
      </c>
      <c r="D2" s="1908"/>
      <c r="E2" s="1908"/>
      <c r="F2" s="1908"/>
      <c r="G2" s="1908"/>
      <c r="H2" s="1908"/>
      <c r="I2" s="1908"/>
      <c r="J2" s="1908"/>
      <c r="K2" s="1908"/>
      <c r="L2" s="1908"/>
      <c r="M2" s="1908"/>
      <c r="N2" s="1908"/>
      <c r="O2" s="1904" t="s">
        <v>1580</v>
      </c>
      <c r="P2" s="1905"/>
      <c r="Q2" s="1906"/>
    </row>
    <row r="3" spans="1:17" ht="25.5" x14ac:dyDescent="0.25">
      <c r="A3" s="621" t="s">
        <v>573</v>
      </c>
      <c r="B3" s="626"/>
      <c r="C3" s="141" t="s">
        <v>629</v>
      </c>
      <c r="D3" s="585" t="s">
        <v>1252</v>
      </c>
      <c r="E3" s="585" t="s">
        <v>1253</v>
      </c>
      <c r="F3" s="585" t="s">
        <v>1254</v>
      </c>
      <c r="G3" s="585" t="s">
        <v>610</v>
      </c>
      <c r="H3" s="585" t="s">
        <v>611</v>
      </c>
      <c r="I3" s="585" t="s">
        <v>612</v>
      </c>
      <c r="J3" s="585" t="s">
        <v>613</v>
      </c>
      <c r="K3" s="585" t="s">
        <v>614</v>
      </c>
      <c r="L3" s="585" t="s">
        <v>615</v>
      </c>
      <c r="M3" s="585" t="s">
        <v>616</v>
      </c>
      <c r="N3" s="204" t="s">
        <v>617</v>
      </c>
      <c r="O3" s="141" t="str">
        <f>Head9</f>
        <v>Budget Year 2019/20</v>
      </c>
      <c r="P3" s="203" t="str">
        <f>Head10</f>
        <v>Budget Year +1 2020/21</v>
      </c>
      <c r="Q3" s="204" t="str">
        <f>Head11</f>
        <v>Budget Year +2 2021/22</v>
      </c>
    </row>
    <row r="4" spans="1:17" x14ac:dyDescent="0.25">
      <c r="A4" s="54" t="str">
        <f>'A3-FinPerf V'!A4</f>
        <v>Revenue by Vote</v>
      </c>
      <c r="B4" s="544"/>
      <c r="C4" s="155"/>
      <c r="D4" s="153"/>
      <c r="E4" s="153"/>
      <c r="F4" s="153"/>
      <c r="G4" s="153"/>
      <c r="H4" s="153"/>
      <c r="I4" s="153"/>
      <c r="J4" s="153"/>
      <c r="K4" s="153"/>
      <c r="L4" s="153"/>
      <c r="M4" s="153"/>
      <c r="N4" s="622"/>
      <c r="O4" s="212"/>
      <c r="P4" s="153"/>
      <c r="Q4" s="156"/>
    </row>
    <row r="5" spans="1:17" ht="11.25" customHeight="1" x14ac:dyDescent="0.25">
      <c r="A5" s="63" t="str">
        <f>'A3-FinPerf V'!A5</f>
        <v>Vote 1 - COUNCIL</v>
      </c>
      <c r="B5" s="542"/>
      <c r="C5" s="1326"/>
      <c r="D5" s="1316"/>
      <c r="E5" s="1316"/>
      <c r="F5" s="1316"/>
      <c r="G5" s="1316"/>
      <c r="H5" s="1316"/>
      <c r="I5" s="1316"/>
      <c r="J5" s="1316"/>
      <c r="K5" s="1316"/>
      <c r="L5" s="1316"/>
      <c r="M5" s="1316"/>
      <c r="N5" s="333">
        <f t="shared" ref="N5:N10" si="0">O5-SUM(C5:M5)</f>
        <v>51354</v>
      </c>
      <c r="O5" s="79">
        <f>'A3-FinPerf V'!I5</f>
        <v>51354</v>
      </c>
      <c r="P5" s="76">
        <f>'A3-FinPerf V'!J5</f>
        <v>54435.240000000005</v>
      </c>
      <c r="Q5" s="77">
        <f>'A3-FinPerf V'!K5</f>
        <v>57701.354400000011</v>
      </c>
    </row>
    <row r="6" spans="1:17" ht="11.25" customHeight="1" x14ac:dyDescent="0.25">
      <c r="A6" s="63" t="str">
        <f>'A3-FinPerf V'!A6</f>
        <v>Vote 2 - OFFICE OF THE MUNICIPAL MANAGER</v>
      </c>
      <c r="B6" s="542"/>
      <c r="C6" s="1326"/>
      <c r="D6" s="1316"/>
      <c r="E6" s="1316"/>
      <c r="F6" s="1316"/>
      <c r="G6" s="1316"/>
      <c r="H6" s="1316"/>
      <c r="I6" s="1316"/>
      <c r="J6" s="1316"/>
      <c r="K6" s="1316"/>
      <c r="L6" s="1316"/>
      <c r="M6" s="1316"/>
      <c r="N6" s="333">
        <f t="shared" si="0"/>
        <v>20000</v>
      </c>
      <c r="O6" s="79">
        <f>'A3-FinPerf V'!I6</f>
        <v>20000</v>
      </c>
      <c r="P6" s="76">
        <f>'A3-FinPerf V'!J6</f>
        <v>21200</v>
      </c>
      <c r="Q6" s="77">
        <f>'A3-FinPerf V'!K6</f>
        <v>22472</v>
      </c>
    </row>
    <row r="7" spans="1:17" ht="11.25" customHeight="1" x14ac:dyDescent="0.25">
      <c r="A7" s="63" t="str">
        <f>'A3-FinPerf V'!A7</f>
        <v>Vote 3 - FINANCIAL SERVICES</v>
      </c>
      <c r="B7" s="542"/>
      <c r="C7" s="1326"/>
      <c r="D7" s="1316"/>
      <c r="E7" s="1316"/>
      <c r="F7" s="1316"/>
      <c r="G7" s="1316"/>
      <c r="H7" s="1316"/>
      <c r="I7" s="1316"/>
      <c r="J7" s="1316"/>
      <c r="K7" s="1316"/>
      <c r="L7" s="1316"/>
      <c r="M7" s="1316"/>
      <c r="N7" s="333">
        <f t="shared" si="0"/>
        <v>56001631.229999997</v>
      </c>
      <c r="O7" s="79">
        <f>'A3-FinPerf V'!I7</f>
        <v>56001631.229999997</v>
      </c>
      <c r="P7" s="76">
        <f>'A3-FinPerf V'!J7</f>
        <v>59361729.103799999</v>
      </c>
      <c r="Q7" s="77">
        <f>'A3-FinPerf V'!K7</f>
        <v>62923432.850028001</v>
      </c>
    </row>
    <row r="8" spans="1:17" ht="11.25" customHeight="1" x14ac:dyDescent="0.25">
      <c r="A8" s="63" t="str">
        <f>'A3-FinPerf V'!A8</f>
        <v>Vote 4 - CORPORATE SERVICES</v>
      </c>
      <c r="B8" s="542"/>
      <c r="C8" s="1326"/>
      <c r="D8" s="1316"/>
      <c r="E8" s="1316"/>
      <c r="F8" s="1316"/>
      <c r="G8" s="1316"/>
      <c r="H8" s="1316"/>
      <c r="I8" s="1316"/>
      <c r="J8" s="1316"/>
      <c r="K8" s="1316"/>
      <c r="L8" s="1316"/>
      <c r="M8" s="1316"/>
      <c r="N8" s="333">
        <f t="shared" si="0"/>
        <v>20598553.538163319</v>
      </c>
      <c r="O8" s="79">
        <f>'A3-FinPerf V'!I8</f>
        <v>20598553.538163319</v>
      </c>
      <c r="P8" s="76">
        <f>'A3-FinPerf V'!J8</f>
        <v>21834466.750453122</v>
      </c>
      <c r="Q8" s="77">
        <f>'A3-FinPerf V'!K8</f>
        <v>23144534.755480312</v>
      </c>
    </row>
    <row r="9" spans="1:17" ht="11.25" customHeight="1" x14ac:dyDescent="0.25">
      <c r="A9" s="63" t="str">
        <f>'A3-FinPerf V'!A9</f>
        <v>Vote 5 - INFRASTRUCTURE SERVICES</v>
      </c>
      <c r="B9" s="542"/>
      <c r="C9" s="1326"/>
      <c r="D9" s="1316"/>
      <c r="E9" s="1316"/>
      <c r="F9" s="1316"/>
      <c r="G9" s="1316"/>
      <c r="H9" s="1316"/>
      <c r="I9" s="1316"/>
      <c r="J9" s="1316"/>
      <c r="K9" s="1316"/>
      <c r="L9" s="1316"/>
      <c r="M9" s="1316"/>
      <c r="N9" s="333">
        <f t="shared" si="0"/>
        <v>263728671.06487641</v>
      </c>
      <c r="O9" s="79">
        <f>'A3-FinPerf V'!I9</f>
        <v>263728671.06487641</v>
      </c>
      <c r="P9" s="76">
        <f>'A3-FinPerf V'!J9</f>
        <v>279552391.32876903</v>
      </c>
      <c r="Q9" s="77">
        <f>'A3-FinPerf V'!K9</f>
        <v>296325534.8084951</v>
      </c>
    </row>
    <row r="10" spans="1:17" ht="11.25" customHeight="1" x14ac:dyDescent="0.25">
      <c r="A10" s="63" t="str">
        <f>'A3-FinPerf V'!A10</f>
        <v>Vote 6 - COMMUNITY SERVICES</v>
      </c>
      <c r="B10" s="542"/>
      <c r="C10" s="1326"/>
      <c r="D10" s="1316"/>
      <c r="E10" s="1316"/>
      <c r="F10" s="1316"/>
      <c r="G10" s="1316"/>
      <c r="H10" s="1316"/>
      <c r="I10" s="1316"/>
      <c r="J10" s="1316"/>
      <c r="K10" s="1316"/>
      <c r="L10" s="1316"/>
      <c r="M10" s="1316"/>
      <c r="N10" s="333">
        <f t="shared" si="0"/>
        <v>52812118.160479099</v>
      </c>
      <c r="O10" s="79">
        <f>'A3-FinPerf V'!I10</f>
        <v>52812118.160479099</v>
      </c>
      <c r="P10" s="76">
        <f>'A3-FinPerf V'!J10</f>
        <v>55980845.250107847</v>
      </c>
      <c r="Q10" s="77">
        <f>'A3-FinPerf V'!K10</f>
        <v>59339695.965114325</v>
      </c>
    </row>
    <row r="11" spans="1:17" ht="11.25" customHeight="1" x14ac:dyDescent="0.25">
      <c r="A11" s="63" t="str">
        <f>'A3-FinPerf V'!A11</f>
        <v>Vote 7 - [NAME OF VOTE 7]</v>
      </c>
      <c r="B11" s="542"/>
      <c r="C11" s="1326"/>
      <c r="D11" s="1316"/>
      <c r="E11" s="1316"/>
      <c r="F11" s="1316"/>
      <c r="G11" s="1316"/>
      <c r="H11" s="1316"/>
      <c r="I11" s="1316"/>
      <c r="J11" s="1316"/>
      <c r="K11" s="1316"/>
      <c r="L11" s="1316"/>
      <c r="M11" s="1316"/>
      <c r="N11" s="333">
        <f>O11-SUM(C11:M11)</f>
        <v>0</v>
      </c>
      <c r="O11" s="79">
        <f>'A3-FinPerf V'!I11</f>
        <v>0</v>
      </c>
      <c r="P11" s="76">
        <f>'A3-FinPerf V'!J11</f>
        <v>0</v>
      </c>
      <c r="Q11" s="77">
        <f>'A3-FinPerf V'!K11</f>
        <v>0</v>
      </c>
    </row>
    <row r="12" spans="1:17" ht="11.25" customHeight="1" x14ac:dyDescent="0.25">
      <c r="A12" s="63" t="str">
        <f>'A3-FinPerf V'!A12</f>
        <v>Vote 8 - [NAME OF VOTE 8]</v>
      </c>
      <c r="B12" s="542"/>
      <c r="C12" s="1326"/>
      <c r="D12" s="1316"/>
      <c r="E12" s="1316"/>
      <c r="F12" s="1316"/>
      <c r="G12" s="1316"/>
      <c r="H12" s="1316"/>
      <c r="I12" s="1316"/>
      <c r="J12" s="1316"/>
      <c r="K12" s="1316"/>
      <c r="L12" s="1316"/>
      <c r="M12" s="1316"/>
      <c r="N12" s="333">
        <f>O12-SUM(C12:M12)</f>
        <v>0</v>
      </c>
      <c r="O12" s="79">
        <f>'A3-FinPerf V'!I12</f>
        <v>0</v>
      </c>
      <c r="P12" s="76">
        <f>'A3-FinPerf V'!J12</f>
        <v>0</v>
      </c>
      <c r="Q12" s="77">
        <f>'A3-FinPerf V'!K12</f>
        <v>0</v>
      </c>
    </row>
    <row r="13" spans="1:17" ht="11.25" customHeight="1" x14ac:dyDescent="0.25">
      <c r="A13" s="63" t="str">
        <f>'A3-FinPerf V'!A13</f>
        <v>Vote 9 - [NAME OF VOTE 9]</v>
      </c>
      <c r="B13" s="542"/>
      <c r="C13" s="1326"/>
      <c r="D13" s="1316"/>
      <c r="E13" s="1316"/>
      <c r="F13" s="1316"/>
      <c r="G13" s="1316"/>
      <c r="H13" s="1316"/>
      <c r="I13" s="1316"/>
      <c r="J13" s="1316"/>
      <c r="K13" s="1316"/>
      <c r="L13" s="1316"/>
      <c r="M13" s="1316"/>
      <c r="N13" s="333">
        <f>O13-SUM(C13:M13)</f>
        <v>0</v>
      </c>
      <c r="O13" s="79">
        <f>'A3-FinPerf V'!I13</f>
        <v>0</v>
      </c>
      <c r="P13" s="76">
        <f>'A3-FinPerf V'!J13</f>
        <v>0</v>
      </c>
      <c r="Q13" s="77">
        <f>'A3-FinPerf V'!K13</f>
        <v>0</v>
      </c>
    </row>
    <row r="14" spans="1:17" ht="11.25" customHeight="1" x14ac:dyDescent="0.25">
      <c r="A14" s="63" t="str">
        <f>'A3-FinPerf V'!A14</f>
        <v>Vote 10 - [NAME OF VOTE 10]</v>
      </c>
      <c r="B14" s="542"/>
      <c r="C14" s="1326"/>
      <c r="D14" s="1316"/>
      <c r="E14" s="1316"/>
      <c r="F14" s="1316"/>
      <c r="G14" s="1316"/>
      <c r="H14" s="1316"/>
      <c r="I14" s="1316"/>
      <c r="J14" s="1316"/>
      <c r="K14" s="1316"/>
      <c r="L14" s="1316"/>
      <c r="M14" s="1316"/>
      <c r="N14" s="333">
        <f t="shared" ref="N14:N19" si="1">O14-SUM(C14:M14)</f>
        <v>0</v>
      </c>
      <c r="O14" s="79">
        <f>'A3-FinPerf V'!I14</f>
        <v>0</v>
      </c>
      <c r="P14" s="76">
        <f>'A3-FinPerf V'!J14</f>
        <v>0</v>
      </c>
      <c r="Q14" s="77">
        <f>'A3-FinPerf V'!K14</f>
        <v>0</v>
      </c>
    </row>
    <row r="15" spans="1:17" ht="11.25" customHeight="1" x14ac:dyDescent="0.25">
      <c r="A15" s="63" t="str">
        <f>'A3-FinPerf V'!A15</f>
        <v>Vote 11 - [NAME OF VOTE 11]</v>
      </c>
      <c r="B15" s="542"/>
      <c r="C15" s="1326"/>
      <c r="D15" s="1316"/>
      <c r="E15" s="1316"/>
      <c r="F15" s="1316"/>
      <c r="G15" s="1316"/>
      <c r="H15" s="1316"/>
      <c r="I15" s="1316"/>
      <c r="J15" s="1316"/>
      <c r="K15" s="1316"/>
      <c r="L15" s="1316"/>
      <c r="M15" s="1316"/>
      <c r="N15" s="333">
        <f t="shared" si="1"/>
        <v>0</v>
      </c>
      <c r="O15" s="79">
        <f>'A3-FinPerf V'!I15</f>
        <v>0</v>
      </c>
      <c r="P15" s="76">
        <f>'A3-FinPerf V'!J15</f>
        <v>0</v>
      </c>
      <c r="Q15" s="77">
        <f>'A3-FinPerf V'!K15</f>
        <v>0</v>
      </c>
    </row>
    <row r="16" spans="1:17" ht="11.25" customHeight="1" x14ac:dyDescent="0.25">
      <c r="A16" s="63" t="str">
        <f>'A3-FinPerf V'!A16</f>
        <v>Vote 12 - [NAME OF VOTE 12]</v>
      </c>
      <c r="B16" s="542"/>
      <c r="C16" s="1326"/>
      <c r="D16" s="1316"/>
      <c r="E16" s="1316"/>
      <c r="F16" s="1316"/>
      <c r="G16" s="1316"/>
      <c r="H16" s="1316"/>
      <c r="I16" s="1316"/>
      <c r="J16" s="1316"/>
      <c r="K16" s="1316"/>
      <c r="L16" s="1316"/>
      <c r="M16" s="1316"/>
      <c r="N16" s="333">
        <f t="shared" si="1"/>
        <v>0</v>
      </c>
      <c r="O16" s="79">
        <f>'A3-FinPerf V'!I16</f>
        <v>0</v>
      </c>
      <c r="P16" s="76">
        <f>'A3-FinPerf V'!J16</f>
        <v>0</v>
      </c>
      <c r="Q16" s="77">
        <f>'A3-FinPerf V'!K16</f>
        <v>0</v>
      </c>
    </row>
    <row r="17" spans="1:17" ht="11.25" customHeight="1" x14ac:dyDescent="0.25">
      <c r="A17" s="63" t="str">
        <f>'A3-FinPerf V'!A17</f>
        <v>Vote 13 - [NAME OF VOTE 13]</v>
      </c>
      <c r="B17" s="542"/>
      <c r="C17" s="1326"/>
      <c r="D17" s="1316"/>
      <c r="E17" s="1316"/>
      <c r="F17" s="1316"/>
      <c r="G17" s="1316"/>
      <c r="H17" s="1316"/>
      <c r="I17" s="1316"/>
      <c r="J17" s="1316"/>
      <c r="K17" s="1316"/>
      <c r="L17" s="1316"/>
      <c r="M17" s="1316"/>
      <c r="N17" s="333">
        <f t="shared" si="1"/>
        <v>0</v>
      </c>
      <c r="O17" s="79">
        <f>'A3-FinPerf V'!I17</f>
        <v>0</v>
      </c>
      <c r="P17" s="76">
        <f>'A3-FinPerf V'!J17</f>
        <v>0</v>
      </c>
      <c r="Q17" s="77">
        <f>'A3-FinPerf V'!K17</f>
        <v>0</v>
      </c>
    </row>
    <row r="18" spans="1:17" ht="11.25" customHeight="1" x14ac:dyDescent="0.25">
      <c r="A18" s="63" t="str">
        <f>'A3-FinPerf V'!A18</f>
        <v>Vote 14 - [NAME OF VOTE 14]</v>
      </c>
      <c r="B18" s="542"/>
      <c r="C18" s="1326"/>
      <c r="D18" s="1316"/>
      <c r="E18" s="1316"/>
      <c r="F18" s="1316"/>
      <c r="G18" s="1316"/>
      <c r="H18" s="1316"/>
      <c r="I18" s="1316"/>
      <c r="J18" s="1316"/>
      <c r="K18" s="1316"/>
      <c r="L18" s="1316"/>
      <c r="M18" s="1316"/>
      <c r="N18" s="333">
        <f t="shared" si="1"/>
        <v>0</v>
      </c>
      <c r="O18" s="79">
        <f>'A3-FinPerf V'!I18</f>
        <v>0</v>
      </c>
      <c r="P18" s="76">
        <f>'A3-FinPerf V'!J18</f>
        <v>0</v>
      </c>
      <c r="Q18" s="77">
        <f>'A3-FinPerf V'!K18</f>
        <v>0</v>
      </c>
    </row>
    <row r="19" spans="1:17" ht="11.25" customHeight="1" x14ac:dyDescent="0.25">
      <c r="A19" s="63" t="str">
        <f>'A3-FinPerf V'!A19</f>
        <v>Vote 15 - [NAME OF VOTE 15]</v>
      </c>
      <c r="B19" s="542"/>
      <c r="C19" s="1326"/>
      <c r="D19" s="1316"/>
      <c r="E19" s="1316"/>
      <c r="F19" s="1316"/>
      <c r="G19" s="1316"/>
      <c r="H19" s="1316"/>
      <c r="I19" s="1316"/>
      <c r="J19" s="1316"/>
      <c r="K19" s="1316"/>
      <c r="L19" s="1316"/>
      <c r="M19" s="1316"/>
      <c r="N19" s="333">
        <f t="shared" si="1"/>
        <v>0</v>
      </c>
      <c r="O19" s="79">
        <f>'A3-FinPerf V'!I19</f>
        <v>0</v>
      </c>
      <c r="P19" s="76">
        <f>'A3-FinPerf V'!J19</f>
        <v>0</v>
      </c>
      <c r="Q19" s="77">
        <f>'A3-FinPerf V'!K19</f>
        <v>0</v>
      </c>
    </row>
    <row r="20" spans="1:17" x14ac:dyDescent="0.25">
      <c r="A20" s="118" t="str">
        <f>'A3-FinPerf V'!A20</f>
        <v>Total Revenue by Vote</v>
      </c>
      <c r="B20" s="543"/>
      <c r="C20" s="83">
        <f t="shared" ref="C20:Q20" si="2">SUM(C5:C19)</f>
        <v>0</v>
      </c>
      <c r="D20" s="81">
        <f t="shared" si="2"/>
        <v>0</v>
      </c>
      <c r="E20" s="81">
        <f t="shared" si="2"/>
        <v>0</v>
      </c>
      <c r="F20" s="81">
        <f>SUM(F5:F19)</f>
        <v>0</v>
      </c>
      <c r="G20" s="81">
        <f t="shared" si="2"/>
        <v>0</v>
      </c>
      <c r="H20" s="81">
        <f t="shared" si="2"/>
        <v>0</v>
      </c>
      <c r="I20" s="81">
        <f t="shared" si="2"/>
        <v>0</v>
      </c>
      <c r="J20" s="81">
        <f t="shared" si="2"/>
        <v>0</v>
      </c>
      <c r="K20" s="81">
        <f t="shared" si="2"/>
        <v>0</v>
      </c>
      <c r="L20" s="81">
        <f t="shared" si="2"/>
        <v>0</v>
      </c>
      <c r="M20" s="81">
        <f t="shared" si="2"/>
        <v>0</v>
      </c>
      <c r="N20" s="472">
        <f t="shared" si="2"/>
        <v>393212327.99351883</v>
      </c>
      <c r="O20" s="84">
        <f t="shared" si="2"/>
        <v>393212327.99351883</v>
      </c>
      <c r="P20" s="81">
        <f t="shared" si="2"/>
        <v>416805067.67312998</v>
      </c>
      <c r="Q20" s="82">
        <f t="shared" si="2"/>
        <v>441813371.73351777</v>
      </c>
    </row>
    <row r="21" spans="1:17" ht="4.9000000000000004" customHeight="1" x14ac:dyDescent="0.25">
      <c r="A21" s="74"/>
      <c r="B21" s="542"/>
      <c r="C21" s="78"/>
      <c r="D21" s="76"/>
      <c r="E21" s="76"/>
      <c r="F21" s="76"/>
      <c r="G21" s="76"/>
      <c r="H21" s="76"/>
      <c r="I21" s="76"/>
      <c r="J21" s="76"/>
      <c r="K21" s="76"/>
      <c r="L21" s="76"/>
      <c r="M21" s="76"/>
      <c r="N21" s="333"/>
      <c r="O21" s="79"/>
      <c r="P21" s="76"/>
      <c r="Q21" s="77"/>
    </row>
    <row r="22" spans="1:17" x14ac:dyDescent="0.25">
      <c r="A22" s="54" t="str">
        <f>'A3-FinPerf V'!A22</f>
        <v>Expenditure by Vote to be appropriated</v>
      </c>
      <c r="B22" s="544"/>
      <c r="C22" s="78"/>
      <c r="D22" s="76"/>
      <c r="E22" s="76"/>
      <c r="F22" s="76"/>
      <c r="G22" s="76"/>
      <c r="H22" s="76"/>
      <c r="I22" s="76"/>
      <c r="J22" s="76"/>
      <c r="K22" s="76"/>
      <c r="L22" s="76"/>
      <c r="M22" s="76"/>
      <c r="N22" s="333"/>
      <c r="O22" s="79"/>
      <c r="P22" s="76"/>
      <c r="Q22" s="77"/>
    </row>
    <row r="23" spans="1:17" ht="11.25" customHeight="1" x14ac:dyDescent="0.25">
      <c r="A23" s="63" t="str">
        <f t="shared" ref="A23:A31" si="3">A5</f>
        <v>Vote 1 - COUNCIL</v>
      </c>
      <c r="B23" s="542"/>
      <c r="C23" s="1326"/>
      <c r="D23" s="1316"/>
      <c r="E23" s="1316"/>
      <c r="F23" s="1316"/>
      <c r="G23" s="1316"/>
      <c r="H23" s="1316"/>
      <c r="I23" s="1316"/>
      <c r="J23" s="1316"/>
      <c r="K23" s="1316"/>
      <c r="L23" s="1316"/>
      <c r="M23" s="1316"/>
      <c r="N23" s="333">
        <f t="shared" ref="N23:N29" si="4">O23-SUM(C23:M23)</f>
        <v>0</v>
      </c>
      <c r="O23" s="79">
        <f>'A3-FinPerf V'!I23</f>
        <v>0</v>
      </c>
      <c r="P23" s="76">
        <f>'A3-FinPerf V'!J23</f>
        <v>0</v>
      </c>
      <c r="Q23" s="77">
        <f>'A3-FinPerf V'!K23</f>
        <v>0</v>
      </c>
    </row>
    <row r="24" spans="1:17" ht="11.25" customHeight="1" x14ac:dyDescent="0.25">
      <c r="A24" s="63" t="str">
        <f t="shared" si="3"/>
        <v>Vote 2 - OFFICE OF THE MUNICIPAL MANAGER</v>
      </c>
      <c r="B24" s="542"/>
      <c r="C24" s="1326"/>
      <c r="D24" s="1316"/>
      <c r="E24" s="1316"/>
      <c r="F24" s="1316"/>
      <c r="G24" s="1316"/>
      <c r="H24" s="1316"/>
      <c r="I24" s="1316"/>
      <c r="J24" s="1316"/>
      <c r="K24" s="1316"/>
      <c r="L24" s="1316"/>
      <c r="M24" s="1316"/>
      <c r="N24" s="333">
        <f t="shared" si="4"/>
        <v>15172379</v>
      </c>
      <c r="O24" s="79">
        <f>'A3-FinPerf V'!I24</f>
        <v>15172379</v>
      </c>
      <c r="P24" s="76">
        <f>'A3-FinPerf V'!J24</f>
        <v>16082721.740000002</v>
      </c>
      <c r="Q24" s="77">
        <f>'A3-FinPerf V'!K24</f>
        <v>17047685.044400003</v>
      </c>
    </row>
    <row r="25" spans="1:17" ht="11.25" customHeight="1" x14ac:dyDescent="0.25">
      <c r="A25" s="63" t="str">
        <f t="shared" si="3"/>
        <v>Vote 3 - FINANCIAL SERVICES</v>
      </c>
      <c r="B25" s="542"/>
      <c r="C25" s="1326"/>
      <c r="D25" s="1316"/>
      <c r="E25" s="1316"/>
      <c r="F25" s="1316"/>
      <c r="G25" s="1316"/>
      <c r="H25" s="1316"/>
      <c r="I25" s="1316"/>
      <c r="J25" s="1316"/>
      <c r="K25" s="1316"/>
      <c r="L25" s="1316"/>
      <c r="M25" s="1316"/>
      <c r="N25" s="333">
        <f t="shared" si="4"/>
        <v>44070108</v>
      </c>
      <c r="O25" s="79">
        <f>'A3-FinPerf V'!I25</f>
        <v>44070108</v>
      </c>
      <c r="P25" s="76">
        <f>'A3-FinPerf V'!J25</f>
        <v>46714314.480000004</v>
      </c>
      <c r="Q25" s="77">
        <f>'A3-FinPerf V'!K25</f>
        <v>49517173.348800004</v>
      </c>
    </row>
    <row r="26" spans="1:17" ht="11.25" customHeight="1" x14ac:dyDescent="0.25">
      <c r="A26" s="63" t="str">
        <f t="shared" si="3"/>
        <v>Vote 4 - CORPORATE SERVICES</v>
      </c>
      <c r="B26" s="542"/>
      <c r="C26" s="1326"/>
      <c r="D26" s="1316"/>
      <c r="E26" s="1316"/>
      <c r="F26" s="1316"/>
      <c r="G26" s="1316"/>
      <c r="H26" s="1316"/>
      <c r="I26" s="1316"/>
      <c r="J26" s="1316"/>
      <c r="K26" s="1316"/>
      <c r="L26" s="1316"/>
      <c r="M26" s="1316"/>
      <c r="N26" s="333">
        <f t="shared" si="4"/>
        <v>43251532</v>
      </c>
      <c r="O26" s="79">
        <f>'A3-FinPerf V'!I26</f>
        <v>43251532</v>
      </c>
      <c r="P26" s="76">
        <f>'A3-FinPerf V'!J26</f>
        <v>45846623.919999994</v>
      </c>
      <c r="Q26" s="77">
        <f>'A3-FinPerf V'!K26</f>
        <v>48597421.3552</v>
      </c>
    </row>
    <row r="27" spans="1:17" ht="11.25" customHeight="1" x14ac:dyDescent="0.25">
      <c r="A27" s="63" t="str">
        <f t="shared" si="3"/>
        <v>Vote 5 - INFRASTRUCTURE SERVICES</v>
      </c>
      <c r="B27" s="542"/>
      <c r="C27" s="1326"/>
      <c r="D27" s="1316"/>
      <c r="E27" s="1316"/>
      <c r="F27" s="1316"/>
      <c r="G27" s="1316"/>
      <c r="H27" s="1316"/>
      <c r="I27" s="1316"/>
      <c r="J27" s="1316"/>
      <c r="K27" s="1316"/>
      <c r="L27" s="1316"/>
      <c r="M27" s="1316"/>
      <c r="N27" s="333">
        <f t="shared" si="4"/>
        <v>233526213</v>
      </c>
      <c r="O27" s="79">
        <f>'A3-FinPerf V'!I27</f>
        <v>233526213</v>
      </c>
      <c r="P27" s="76">
        <f>'A3-FinPerf V'!J27</f>
        <v>247537785.78000003</v>
      </c>
      <c r="Q27" s="77">
        <f>'A3-FinPerf V'!K27</f>
        <v>262390052.92680004</v>
      </c>
    </row>
    <row r="28" spans="1:17" ht="11.25" customHeight="1" x14ac:dyDescent="0.25">
      <c r="A28" s="63" t="str">
        <f t="shared" si="3"/>
        <v>Vote 6 - COMMUNITY SERVICES</v>
      </c>
      <c r="B28" s="542"/>
      <c r="C28" s="1326"/>
      <c r="D28" s="1316"/>
      <c r="E28" s="1316"/>
      <c r="F28" s="1316"/>
      <c r="G28" s="1316"/>
      <c r="H28" s="1316"/>
      <c r="I28" s="1316"/>
      <c r="J28" s="1316"/>
      <c r="K28" s="1316"/>
      <c r="L28" s="1316"/>
      <c r="M28" s="1316"/>
      <c r="N28" s="333">
        <f t="shared" si="4"/>
        <v>56639621</v>
      </c>
      <c r="O28" s="79">
        <f>'A3-FinPerf V'!I28</f>
        <v>56639621</v>
      </c>
      <c r="P28" s="76">
        <f>'A3-FinPerf V'!J28</f>
        <v>60037998.260000005</v>
      </c>
      <c r="Q28" s="77">
        <f>'A3-FinPerf V'!K28</f>
        <v>63640278.155600004</v>
      </c>
    </row>
    <row r="29" spans="1:17" ht="11.25" customHeight="1" x14ac:dyDescent="0.25">
      <c r="A29" s="63" t="str">
        <f t="shared" si="3"/>
        <v>Vote 7 - [NAME OF VOTE 7]</v>
      </c>
      <c r="B29" s="542"/>
      <c r="C29" s="1326"/>
      <c r="D29" s="1316"/>
      <c r="E29" s="1316"/>
      <c r="F29" s="1316"/>
      <c r="G29" s="1316"/>
      <c r="H29" s="1316"/>
      <c r="I29" s="1316"/>
      <c r="J29" s="1316"/>
      <c r="K29" s="1316"/>
      <c r="L29" s="1316"/>
      <c r="M29" s="1316"/>
      <c r="N29" s="333">
        <f t="shared" si="4"/>
        <v>0</v>
      </c>
      <c r="O29" s="79">
        <f>'A3-FinPerf V'!I29</f>
        <v>0</v>
      </c>
      <c r="P29" s="76">
        <f>'A3-FinPerf V'!J29</f>
        <v>0</v>
      </c>
      <c r="Q29" s="77">
        <f>'A3-FinPerf V'!K29</f>
        <v>0</v>
      </c>
    </row>
    <row r="30" spans="1:17" ht="11.25" customHeight="1" x14ac:dyDescent="0.25">
      <c r="A30" s="63" t="str">
        <f t="shared" si="3"/>
        <v>Vote 8 - [NAME OF VOTE 8]</v>
      </c>
      <c r="B30" s="542"/>
      <c r="C30" s="1326"/>
      <c r="D30" s="1316"/>
      <c r="E30" s="1316"/>
      <c r="F30" s="1316"/>
      <c r="G30" s="1316"/>
      <c r="H30" s="1316"/>
      <c r="I30" s="1316"/>
      <c r="J30" s="1316"/>
      <c r="K30" s="1316"/>
      <c r="L30" s="1316"/>
      <c r="M30" s="1316"/>
      <c r="N30" s="333">
        <f>O30-SUM(C30:M30)</f>
        <v>0</v>
      </c>
      <c r="O30" s="79">
        <f>'A3-FinPerf V'!I30</f>
        <v>0</v>
      </c>
      <c r="P30" s="76">
        <f>'A3-FinPerf V'!J30</f>
        <v>0</v>
      </c>
      <c r="Q30" s="77">
        <f>'A3-FinPerf V'!K30</f>
        <v>0</v>
      </c>
    </row>
    <row r="31" spans="1:17" ht="11.25" customHeight="1" x14ac:dyDescent="0.25">
      <c r="A31" s="63" t="str">
        <f t="shared" si="3"/>
        <v>Vote 9 - [NAME OF VOTE 9]</v>
      </c>
      <c r="B31" s="542"/>
      <c r="C31" s="1326"/>
      <c r="D31" s="1316"/>
      <c r="E31" s="1316"/>
      <c r="F31" s="1316"/>
      <c r="G31" s="1316"/>
      <c r="H31" s="1316"/>
      <c r="I31" s="1316"/>
      <c r="J31" s="1316"/>
      <c r="K31" s="1316"/>
      <c r="L31" s="1316"/>
      <c r="M31" s="1316"/>
      <c r="N31" s="333">
        <f>O31-SUM(C31:M31)</f>
        <v>0</v>
      </c>
      <c r="O31" s="79">
        <f>'A3-FinPerf V'!I31</f>
        <v>0</v>
      </c>
      <c r="P31" s="76">
        <f>'A3-FinPerf V'!J31</f>
        <v>0</v>
      </c>
      <c r="Q31" s="77">
        <f>'A3-FinPerf V'!K31</f>
        <v>0</v>
      </c>
    </row>
    <row r="32" spans="1:17" ht="11.25" customHeight="1" x14ac:dyDescent="0.25">
      <c r="A32" s="63" t="str">
        <f t="shared" ref="A32:A37" si="5">A14</f>
        <v>Vote 10 - [NAME OF VOTE 10]</v>
      </c>
      <c r="B32" s="542"/>
      <c r="C32" s="1326"/>
      <c r="D32" s="1316"/>
      <c r="E32" s="1316"/>
      <c r="F32" s="1316"/>
      <c r="G32" s="1316"/>
      <c r="H32" s="1316"/>
      <c r="I32" s="1316"/>
      <c r="J32" s="1316"/>
      <c r="K32" s="1316"/>
      <c r="L32" s="1316"/>
      <c r="M32" s="1316"/>
      <c r="N32" s="333">
        <f t="shared" ref="N32:N37" si="6">O32-SUM(C32:M32)</f>
        <v>0</v>
      </c>
      <c r="O32" s="79">
        <f>'A3-FinPerf V'!I32</f>
        <v>0</v>
      </c>
      <c r="P32" s="76">
        <f>'A3-FinPerf V'!J32</f>
        <v>0</v>
      </c>
      <c r="Q32" s="77">
        <f>'A3-FinPerf V'!K32</f>
        <v>0</v>
      </c>
    </row>
    <row r="33" spans="1:17" ht="11.25" customHeight="1" x14ac:dyDescent="0.25">
      <c r="A33" s="63" t="str">
        <f t="shared" si="5"/>
        <v>Vote 11 - [NAME OF VOTE 11]</v>
      </c>
      <c r="B33" s="542"/>
      <c r="C33" s="1326"/>
      <c r="D33" s="1316"/>
      <c r="E33" s="1316"/>
      <c r="F33" s="1316"/>
      <c r="G33" s="1316"/>
      <c r="H33" s="1316"/>
      <c r="I33" s="1316"/>
      <c r="J33" s="1316"/>
      <c r="K33" s="1316"/>
      <c r="L33" s="1316"/>
      <c r="M33" s="1316"/>
      <c r="N33" s="333">
        <f t="shared" si="6"/>
        <v>0</v>
      </c>
      <c r="O33" s="79">
        <f>'A3-FinPerf V'!I33</f>
        <v>0</v>
      </c>
      <c r="P33" s="76">
        <f>'A3-FinPerf V'!J33</f>
        <v>0</v>
      </c>
      <c r="Q33" s="77">
        <f>'A3-FinPerf V'!K33</f>
        <v>0</v>
      </c>
    </row>
    <row r="34" spans="1:17" ht="11.25" customHeight="1" x14ac:dyDescent="0.25">
      <c r="A34" s="63" t="str">
        <f t="shared" si="5"/>
        <v>Vote 12 - [NAME OF VOTE 12]</v>
      </c>
      <c r="B34" s="542"/>
      <c r="C34" s="1326"/>
      <c r="D34" s="1316"/>
      <c r="E34" s="1316"/>
      <c r="F34" s="1316"/>
      <c r="G34" s="1316"/>
      <c r="H34" s="1316"/>
      <c r="I34" s="1316"/>
      <c r="J34" s="1316"/>
      <c r="K34" s="1316"/>
      <c r="L34" s="1316"/>
      <c r="M34" s="1316"/>
      <c r="N34" s="333">
        <f t="shared" si="6"/>
        <v>0</v>
      </c>
      <c r="O34" s="79">
        <f>'A3-FinPerf V'!I34</f>
        <v>0</v>
      </c>
      <c r="P34" s="76">
        <f>'A3-FinPerf V'!J34</f>
        <v>0</v>
      </c>
      <c r="Q34" s="77">
        <f>'A3-FinPerf V'!K34</f>
        <v>0</v>
      </c>
    </row>
    <row r="35" spans="1:17" ht="11.25" customHeight="1" x14ac:dyDescent="0.25">
      <c r="A35" s="63" t="str">
        <f t="shared" si="5"/>
        <v>Vote 13 - [NAME OF VOTE 13]</v>
      </c>
      <c r="B35" s="542"/>
      <c r="C35" s="1326"/>
      <c r="D35" s="1316"/>
      <c r="E35" s="1316"/>
      <c r="F35" s="1316"/>
      <c r="G35" s="1316"/>
      <c r="H35" s="1316"/>
      <c r="I35" s="1316"/>
      <c r="J35" s="1316"/>
      <c r="K35" s="1316"/>
      <c r="L35" s="1316"/>
      <c r="M35" s="1316"/>
      <c r="N35" s="333">
        <f t="shared" si="6"/>
        <v>0</v>
      </c>
      <c r="O35" s="79">
        <f>'A3-FinPerf V'!I35</f>
        <v>0</v>
      </c>
      <c r="P35" s="76">
        <f>'A3-FinPerf V'!J35</f>
        <v>0</v>
      </c>
      <c r="Q35" s="77">
        <f>'A3-FinPerf V'!K35</f>
        <v>0</v>
      </c>
    </row>
    <row r="36" spans="1:17" ht="11.25" customHeight="1" x14ac:dyDescent="0.25">
      <c r="A36" s="63" t="str">
        <f t="shared" si="5"/>
        <v>Vote 14 - [NAME OF VOTE 14]</v>
      </c>
      <c r="B36" s="542"/>
      <c r="C36" s="1326"/>
      <c r="D36" s="1316"/>
      <c r="E36" s="1316"/>
      <c r="F36" s="1316"/>
      <c r="G36" s="1316"/>
      <c r="H36" s="1316"/>
      <c r="I36" s="1316"/>
      <c r="J36" s="1316"/>
      <c r="K36" s="1316"/>
      <c r="L36" s="1316"/>
      <c r="M36" s="1316"/>
      <c r="N36" s="333">
        <f t="shared" si="6"/>
        <v>0</v>
      </c>
      <c r="O36" s="79">
        <f>'A3-FinPerf V'!I36</f>
        <v>0</v>
      </c>
      <c r="P36" s="76">
        <f>'A3-FinPerf V'!J36</f>
        <v>0</v>
      </c>
      <c r="Q36" s="77">
        <f>'A3-FinPerf V'!K36</f>
        <v>0</v>
      </c>
    </row>
    <row r="37" spans="1:17" ht="11.25" customHeight="1" x14ac:dyDescent="0.25">
      <c r="A37" s="63" t="str">
        <f t="shared" si="5"/>
        <v>Vote 15 - [NAME OF VOTE 15]</v>
      </c>
      <c r="B37" s="542"/>
      <c r="C37" s="1326"/>
      <c r="D37" s="1316"/>
      <c r="E37" s="1316"/>
      <c r="F37" s="1316"/>
      <c r="G37" s="1316"/>
      <c r="H37" s="1316"/>
      <c r="I37" s="1316"/>
      <c r="J37" s="1316"/>
      <c r="K37" s="1316"/>
      <c r="L37" s="1316"/>
      <c r="M37" s="1316"/>
      <c r="N37" s="333">
        <f t="shared" si="6"/>
        <v>0</v>
      </c>
      <c r="O37" s="79">
        <f>'A3-FinPerf V'!I37</f>
        <v>0</v>
      </c>
      <c r="P37" s="76">
        <f>'A3-FinPerf V'!J37</f>
        <v>0</v>
      </c>
      <c r="Q37" s="77">
        <f>'A3-FinPerf V'!K37</f>
        <v>0</v>
      </c>
    </row>
    <row r="38" spans="1:17" x14ac:dyDescent="0.25">
      <c r="A38" s="118" t="str">
        <f>'A3-FinPerf V'!A38</f>
        <v>Total Expenditure by Vote</v>
      </c>
      <c r="B38" s="543"/>
      <c r="C38" s="83">
        <f>SUM(C23:C37)</f>
        <v>0</v>
      </c>
      <c r="D38" s="81">
        <f t="shared" ref="D38:N38" si="7">SUM(D23:D37)</f>
        <v>0</v>
      </c>
      <c r="E38" s="81">
        <f t="shared" si="7"/>
        <v>0</v>
      </c>
      <c r="F38" s="81">
        <f t="shared" si="7"/>
        <v>0</v>
      </c>
      <c r="G38" s="81">
        <f t="shared" si="7"/>
        <v>0</v>
      </c>
      <c r="H38" s="81">
        <f t="shared" si="7"/>
        <v>0</v>
      </c>
      <c r="I38" s="81">
        <f t="shared" si="7"/>
        <v>0</v>
      </c>
      <c r="J38" s="81">
        <f t="shared" si="7"/>
        <v>0</v>
      </c>
      <c r="K38" s="81">
        <f t="shared" si="7"/>
        <v>0</v>
      </c>
      <c r="L38" s="81">
        <f t="shared" si="7"/>
        <v>0</v>
      </c>
      <c r="M38" s="81">
        <f t="shared" si="7"/>
        <v>0</v>
      </c>
      <c r="N38" s="472">
        <f t="shared" si="7"/>
        <v>392659853</v>
      </c>
      <c r="O38" s="84">
        <f>SUM(O23:O37)</f>
        <v>392659853</v>
      </c>
      <c r="P38" s="81">
        <f>SUM(P23:P37)</f>
        <v>416219444.18000001</v>
      </c>
      <c r="Q38" s="82">
        <f>SUM(Q23:Q37)</f>
        <v>441192610.83080006</v>
      </c>
    </row>
    <row r="39" spans="1:17" ht="4.9000000000000004" customHeight="1" x14ac:dyDescent="0.25">
      <c r="A39" s="74"/>
      <c r="B39" s="542"/>
      <c r="C39" s="78"/>
      <c r="D39" s="76"/>
      <c r="E39" s="76"/>
      <c r="F39" s="76"/>
      <c r="G39" s="76"/>
      <c r="H39" s="76"/>
      <c r="I39" s="76"/>
      <c r="J39" s="76"/>
      <c r="K39" s="76"/>
      <c r="L39" s="76"/>
      <c r="M39" s="76"/>
      <c r="N39" s="333"/>
      <c r="O39" s="79"/>
      <c r="P39" s="76"/>
      <c r="Q39" s="77"/>
    </row>
    <row r="40" spans="1:17" x14ac:dyDescent="0.25">
      <c r="A40" s="213" t="str">
        <f>'A4-FinPerf RE'!A37&amp;" before assoc."</f>
        <v>Surplus/(Deficit) before assoc.</v>
      </c>
      <c r="B40" s="545"/>
      <c r="C40" s="83">
        <f t="shared" ref="C40:Q40" si="8">C20-C38</f>
        <v>0</v>
      </c>
      <c r="D40" s="81">
        <f t="shared" si="8"/>
        <v>0</v>
      </c>
      <c r="E40" s="81">
        <f t="shared" si="8"/>
        <v>0</v>
      </c>
      <c r="F40" s="81">
        <f t="shared" si="8"/>
        <v>0</v>
      </c>
      <c r="G40" s="81">
        <f t="shared" si="8"/>
        <v>0</v>
      </c>
      <c r="H40" s="81">
        <f t="shared" si="8"/>
        <v>0</v>
      </c>
      <c r="I40" s="81">
        <f t="shared" si="8"/>
        <v>0</v>
      </c>
      <c r="J40" s="81">
        <f t="shared" si="8"/>
        <v>0</v>
      </c>
      <c r="K40" s="81">
        <f t="shared" si="8"/>
        <v>0</v>
      </c>
      <c r="L40" s="81">
        <f t="shared" si="8"/>
        <v>0</v>
      </c>
      <c r="M40" s="81">
        <f t="shared" si="8"/>
        <v>0</v>
      </c>
      <c r="N40" s="472">
        <f t="shared" si="8"/>
        <v>552474.99351882935</v>
      </c>
      <c r="O40" s="84">
        <f t="shared" si="8"/>
        <v>552474.99351882935</v>
      </c>
      <c r="P40" s="81">
        <f t="shared" si="8"/>
        <v>585623.49312996864</v>
      </c>
      <c r="Q40" s="82">
        <f t="shared" si="8"/>
        <v>620760.90271770954</v>
      </c>
    </row>
    <row r="41" spans="1:17" ht="4.9000000000000004" customHeight="1" x14ac:dyDescent="0.25">
      <c r="A41" s="74"/>
      <c r="B41" s="542"/>
      <c r="C41" s="78"/>
      <c r="D41" s="76"/>
      <c r="E41" s="76"/>
      <c r="F41" s="76"/>
      <c r="G41" s="76"/>
      <c r="H41" s="76"/>
      <c r="I41" s="76"/>
      <c r="J41" s="76"/>
      <c r="K41" s="76"/>
      <c r="L41" s="76"/>
      <c r="M41" s="76"/>
      <c r="N41" s="333"/>
      <c r="O41" s="79"/>
      <c r="P41" s="76"/>
      <c r="Q41" s="77"/>
    </row>
    <row r="42" spans="1:17" ht="11.25" customHeight="1" x14ac:dyDescent="0.25">
      <c r="A42" s="63" t="str">
        <f>'SA25'!A42</f>
        <v>Taxation</v>
      </c>
      <c r="B42" s="542"/>
      <c r="C42" s="1326"/>
      <c r="D42" s="1316"/>
      <c r="E42" s="1316"/>
      <c r="F42" s="1316"/>
      <c r="G42" s="1316"/>
      <c r="H42" s="1316"/>
      <c r="I42" s="1316"/>
      <c r="J42" s="1316"/>
      <c r="K42" s="1316"/>
      <c r="L42" s="1316"/>
      <c r="M42" s="1316"/>
      <c r="N42" s="333">
        <f>O42-SUM(C42:M42)</f>
        <v>0</v>
      </c>
      <c r="O42" s="79">
        <f>'SA25'!O42</f>
        <v>0</v>
      </c>
      <c r="P42" s="76">
        <f>'SA25'!P42</f>
        <v>0</v>
      </c>
      <c r="Q42" s="77">
        <f>'SA25'!Q42</f>
        <v>0</v>
      </c>
    </row>
    <row r="43" spans="1:17" ht="11.25" customHeight="1" x14ac:dyDescent="0.25">
      <c r="A43" s="63" t="str">
        <f>'SA25'!A43</f>
        <v>Attributable to minorities</v>
      </c>
      <c r="B43" s="542"/>
      <c r="C43" s="1326"/>
      <c r="D43" s="1316"/>
      <c r="E43" s="1316"/>
      <c r="F43" s="1316"/>
      <c r="G43" s="1316"/>
      <c r="H43" s="1316"/>
      <c r="I43" s="1316"/>
      <c r="J43" s="1316"/>
      <c r="K43" s="1316"/>
      <c r="L43" s="1316"/>
      <c r="M43" s="1316"/>
      <c r="N43" s="333">
        <f>O43-SUM(C43:M43)</f>
        <v>0</v>
      </c>
      <c r="O43" s="79">
        <f>'SA25'!O43</f>
        <v>0</v>
      </c>
      <c r="P43" s="76">
        <f>'SA25'!P43</f>
        <v>0</v>
      </c>
      <c r="Q43" s="77">
        <f>'SA25'!Q43</f>
        <v>0</v>
      </c>
    </row>
    <row r="44" spans="1:17" x14ac:dyDescent="0.25">
      <c r="A44" s="266" t="str">
        <f>'A4-FinPerf RE'!A46</f>
        <v>Share of surplus/ (deficit) of associate</v>
      </c>
      <c r="B44" s="552"/>
      <c r="C44" s="1326"/>
      <c r="D44" s="1316"/>
      <c r="E44" s="1316"/>
      <c r="F44" s="1316"/>
      <c r="G44" s="1316"/>
      <c r="H44" s="1316"/>
      <c r="I44" s="1316"/>
      <c r="J44" s="1316"/>
      <c r="K44" s="1316"/>
      <c r="L44" s="1316"/>
      <c r="M44" s="1316"/>
      <c r="N44" s="333">
        <f>O44-SUM(C44:M44)</f>
        <v>0</v>
      </c>
      <c r="O44" s="79">
        <f>'A4-FinPerf RE'!J46</f>
        <v>0</v>
      </c>
      <c r="P44" s="76">
        <f>'A4-FinPerf RE'!K46</f>
        <v>0</v>
      </c>
      <c r="Q44" s="77">
        <f>'A4-FinPerf RE'!L46</f>
        <v>0</v>
      </c>
    </row>
    <row r="45" spans="1:17" x14ac:dyDescent="0.25">
      <c r="A45" s="527" t="str">
        <f>'A4-FinPerf RE'!A37</f>
        <v>Surplus/(Deficit)</v>
      </c>
      <c r="B45" s="553">
        <v>1</v>
      </c>
      <c r="C45" s="97">
        <f>C40+C44</f>
        <v>0</v>
      </c>
      <c r="D45" s="95">
        <f t="shared" ref="D45:Q45" si="9">D40+D44</f>
        <v>0</v>
      </c>
      <c r="E45" s="95">
        <f t="shared" si="9"/>
        <v>0</v>
      </c>
      <c r="F45" s="95">
        <f t="shared" si="9"/>
        <v>0</v>
      </c>
      <c r="G45" s="95">
        <f t="shared" si="9"/>
        <v>0</v>
      </c>
      <c r="H45" s="95">
        <f t="shared" si="9"/>
        <v>0</v>
      </c>
      <c r="I45" s="95">
        <f t="shared" si="9"/>
        <v>0</v>
      </c>
      <c r="J45" s="95">
        <f t="shared" si="9"/>
        <v>0</v>
      </c>
      <c r="K45" s="95">
        <f t="shared" si="9"/>
        <v>0</v>
      </c>
      <c r="L45" s="95">
        <f t="shared" si="9"/>
        <v>0</v>
      </c>
      <c r="M45" s="95">
        <f t="shared" si="9"/>
        <v>0</v>
      </c>
      <c r="N45" s="474">
        <f t="shared" si="9"/>
        <v>552474.99351882935</v>
      </c>
      <c r="O45" s="98">
        <f t="shared" si="9"/>
        <v>552474.99351882935</v>
      </c>
      <c r="P45" s="95">
        <f t="shared" si="9"/>
        <v>585623.49312996864</v>
      </c>
      <c r="Q45" s="96">
        <f t="shared" si="9"/>
        <v>620760.90271770954</v>
      </c>
    </row>
    <row r="46" spans="1:17" s="464" customFormat="1" x14ac:dyDescent="0.25">
      <c r="A46" s="554" t="str">
        <f>head27a</f>
        <v>References</v>
      </c>
      <c r="B46" s="670"/>
      <c r="C46" s="647"/>
      <c r="D46" s="647"/>
      <c r="E46" s="647"/>
      <c r="F46" s="647"/>
      <c r="G46" s="647"/>
      <c r="H46" s="647"/>
      <c r="I46" s="647"/>
      <c r="J46" s="647"/>
      <c r="K46" s="647"/>
      <c r="L46" s="647"/>
      <c r="M46" s="647"/>
      <c r="N46" s="647"/>
      <c r="O46" s="647"/>
      <c r="P46" s="647"/>
      <c r="Q46" s="647"/>
    </row>
    <row r="47" spans="1:17" s="464" customFormat="1" x14ac:dyDescent="0.25">
      <c r="A47" s="132" t="s">
        <v>1425</v>
      </c>
    </row>
    <row r="48" spans="1:17" x14ac:dyDescent="0.25">
      <c r="A48" s="108" t="s">
        <v>1354</v>
      </c>
      <c r="B48" s="108"/>
      <c r="O48" s="555">
        <f>O45-'A4-FinPerf RE'!J47</f>
        <v>2.5893188118934631</v>
      </c>
      <c r="P48" s="555">
        <f>P45-'A4-FinPerf RE'!K47</f>
        <v>2.7446779012680054</v>
      </c>
      <c r="Q48" s="555">
        <f>Q45-'A4-FinPerf RE'!L47</f>
        <v>2.9093585088849068</v>
      </c>
    </row>
  </sheetData>
  <mergeCells count="2">
    <mergeCell ref="C2:N2"/>
    <mergeCell ref="O2:Q2"/>
  </mergeCells>
  <phoneticPr fontId="3" type="noConversion"/>
  <printOptions horizontalCentered="1"/>
  <pageMargins left="0" right="0" top="0.78740157480314965" bottom="0.59055118110236227" header="0.51181102362204722" footer="0.39370078740157483"/>
  <pageSetup paperSize="9" scale="91"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pageSetUpPr fitToPage="1"/>
  </sheetPr>
  <dimension ref="A1:Q56"/>
  <sheetViews>
    <sheetView showGridLines="0" zoomScaleNormal="100" workbookViewId="0">
      <pane xSplit="2" ySplit="3" topLeftCell="C4" activePane="bottomRight" state="frozen"/>
      <selection pane="topRight"/>
      <selection pane="bottomLeft"/>
      <selection pane="bottomRight" activeCell="A4" sqref="A4"/>
    </sheetView>
  </sheetViews>
  <sheetFormatPr defaultRowHeight="12.75" x14ac:dyDescent="0.25"/>
  <cols>
    <col min="1" max="1" width="30.7109375" style="25" customWidth="1"/>
    <col min="2" max="2" width="3" style="102" customWidth="1"/>
    <col min="3" max="14" width="8.28515625" style="25" customWidth="1"/>
    <col min="15" max="17" width="9.28515625" style="25" customWidth="1"/>
    <col min="18" max="16384" width="9.140625" style="25"/>
  </cols>
  <sheetData>
    <row r="1" spans="1:17" ht="13.5" customHeight="1" x14ac:dyDescent="0.25">
      <c r="A1" s="23" t="str">
        <f>muni&amp;" - "&amp;TableA27</f>
        <v>EC101 Dr Beyers Naude - Supporting Table SA27 Budgeted monthly revenue and expenditure (functional classification)</v>
      </c>
      <c r="B1" s="23"/>
      <c r="C1" s="23"/>
      <c r="D1" s="23"/>
      <c r="E1" s="23"/>
      <c r="F1" s="23"/>
      <c r="G1" s="23"/>
      <c r="H1" s="23"/>
      <c r="I1" s="23"/>
      <c r="J1" s="23"/>
      <c r="K1" s="23"/>
      <c r="L1" s="23"/>
      <c r="M1" s="23"/>
      <c r="N1" s="23"/>
      <c r="O1" s="23"/>
      <c r="P1" s="23"/>
      <c r="Q1" s="23"/>
    </row>
    <row r="2" spans="1:17" ht="28.5" customHeight="1" x14ac:dyDescent="0.25">
      <c r="A2" s="614" t="str">
        <f>desc</f>
        <v>Description</v>
      </c>
      <c r="B2" s="625" t="str">
        <f>head27</f>
        <v>Ref</v>
      </c>
      <c r="C2" s="1907" t="str">
        <f>Head9</f>
        <v>Budget Year 2019/20</v>
      </c>
      <c r="D2" s="1908"/>
      <c r="E2" s="1908"/>
      <c r="F2" s="1908"/>
      <c r="G2" s="1908"/>
      <c r="H2" s="1908"/>
      <c r="I2" s="1908"/>
      <c r="J2" s="1908"/>
      <c r="K2" s="1908"/>
      <c r="L2" s="1908"/>
      <c r="M2" s="1908"/>
      <c r="N2" s="1908"/>
      <c r="O2" s="1904" t="s">
        <v>1580</v>
      </c>
      <c r="P2" s="1905"/>
      <c r="Q2" s="1906"/>
    </row>
    <row r="3" spans="1:17" ht="25.5" x14ac:dyDescent="0.25">
      <c r="A3" s="621" t="s">
        <v>573</v>
      </c>
      <c r="B3" s="626"/>
      <c r="C3" s="141" t="s">
        <v>629</v>
      </c>
      <c r="D3" s="585" t="s">
        <v>1252</v>
      </c>
      <c r="E3" s="585" t="s">
        <v>1253</v>
      </c>
      <c r="F3" s="585" t="s">
        <v>1254</v>
      </c>
      <c r="G3" s="585" t="s">
        <v>610</v>
      </c>
      <c r="H3" s="585" t="s">
        <v>611</v>
      </c>
      <c r="I3" s="585" t="s">
        <v>612</v>
      </c>
      <c r="J3" s="585" t="s">
        <v>613</v>
      </c>
      <c r="K3" s="585" t="s">
        <v>614</v>
      </c>
      <c r="L3" s="585" t="s">
        <v>615</v>
      </c>
      <c r="M3" s="585" t="s">
        <v>616</v>
      </c>
      <c r="N3" s="204" t="s">
        <v>617</v>
      </c>
      <c r="O3" s="141" t="str">
        <f>Head9</f>
        <v>Budget Year 2019/20</v>
      </c>
      <c r="P3" s="203" t="str">
        <f>Head10</f>
        <v>Budget Year +1 2020/21</v>
      </c>
      <c r="Q3" s="204" t="str">
        <f>Head11</f>
        <v>Budget Year +2 2021/22</v>
      </c>
    </row>
    <row r="4" spans="1:17" x14ac:dyDescent="0.25">
      <c r="A4" s="54" t="str">
        <f>'A2-FinPerf SC'!A4</f>
        <v>Revenue - Functional</v>
      </c>
      <c r="B4" s="544"/>
      <c r="C4" s="155"/>
      <c r="D4" s="153"/>
      <c r="E4" s="153"/>
      <c r="F4" s="153"/>
      <c r="G4" s="153"/>
      <c r="H4" s="153"/>
      <c r="I4" s="153"/>
      <c r="J4" s="153"/>
      <c r="K4" s="153"/>
      <c r="L4" s="153"/>
      <c r="M4" s="153"/>
      <c r="N4" s="156"/>
      <c r="O4" s="155"/>
      <c r="P4" s="153"/>
      <c r="Q4" s="156"/>
    </row>
    <row r="5" spans="1:17" ht="11.25" customHeight="1" x14ac:dyDescent="0.25">
      <c r="A5" s="728" t="str">
        <f>'A2-FinPerf SC'!A5</f>
        <v>Governance and administration</v>
      </c>
      <c r="B5" s="542"/>
      <c r="C5" s="88">
        <f>SUM(C6:C8)</f>
        <v>0</v>
      </c>
      <c r="D5" s="86">
        <f>SUM(D6:D8)</f>
        <v>0</v>
      </c>
      <c r="E5" s="86">
        <f t="shared" ref="E5:M5" si="0">SUM(E6:E8)</f>
        <v>0</v>
      </c>
      <c r="F5" s="86">
        <f t="shared" si="0"/>
        <v>0</v>
      </c>
      <c r="G5" s="86">
        <f t="shared" si="0"/>
        <v>0</v>
      </c>
      <c r="H5" s="86">
        <f t="shared" si="0"/>
        <v>0</v>
      </c>
      <c r="I5" s="86">
        <f t="shared" si="0"/>
        <v>0</v>
      </c>
      <c r="J5" s="86">
        <f t="shared" si="0"/>
        <v>0</v>
      </c>
      <c r="K5" s="86">
        <f t="shared" si="0"/>
        <v>0</v>
      </c>
      <c r="L5" s="86">
        <f t="shared" si="0"/>
        <v>0</v>
      </c>
      <c r="M5" s="86">
        <f t="shared" si="0"/>
        <v>0</v>
      </c>
      <c r="N5" s="87">
        <f t="shared" ref="N5:N24" si="1">O5-SUM(C5:M5)</f>
        <v>64209097.868163317</v>
      </c>
      <c r="O5" s="88">
        <f>'A2-FinPerf SC'!I5</f>
        <v>64209097.868163317</v>
      </c>
      <c r="P5" s="86">
        <f>'A2-FinPerf SC'!J5</f>
        <v>68061643.740253121</v>
      </c>
      <c r="Q5" s="87">
        <f>'A2-FinPerf SC'!K5</f>
        <v>72145342.36466831</v>
      </c>
    </row>
    <row r="6" spans="1:17" ht="11.25" customHeight="1" x14ac:dyDescent="0.25">
      <c r="A6" s="187" t="str">
        <f>'A2-FinPerf SC'!A6</f>
        <v>Executive and council</v>
      </c>
      <c r="B6" s="542"/>
      <c r="C6" s="1326"/>
      <c r="D6" s="1316"/>
      <c r="E6" s="1316"/>
      <c r="F6" s="1316"/>
      <c r="G6" s="1316"/>
      <c r="H6" s="1316"/>
      <c r="I6" s="1316"/>
      <c r="J6" s="1316"/>
      <c r="K6" s="1316"/>
      <c r="L6" s="1316"/>
      <c r="M6" s="1316"/>
      <c r="N6" s="77">
        <f t="shared" si="1"/>
        <v>7017018.5381633202</v>
      </c>
      <c r="O6" s="78">
        <f>'A2-FinPerf SC'!I6</f>
        <v>7017018.5381633202</v>
      </c>
      <c r="P6" s="76">
        <f>'A2-FinPerf SC'!J6</f>
        <v>7438039.6504531195</v>
      </c>
      <c r="Q6" s="77">
        <f>'A2-FinPerf SC'!K6</f>
        <v>7884322.0294803074</v>
      </c>
    </row>
    <row r="7" spans="1:17" ht="11.25" customHeight="1" x14ac:dyDescent="0.25">
      <c r="A7" s="187" t="str">
        <f>'A2-FinPerf SC'!A7</f>
        <v>Finance and administration</v>
      </c>
      <c r="B7" s="542"/>
      <c r="C7" s="1333"/>
      <c r="D7" s="1329"/>
      <c r="E7" s="1329"/>
      <c r="F7" s="1329"/>
      <c r="G7" s="1329"/>
      <c r="H7" s="1329"/>
      <c r="I7" s="1329"/>
      <c r="J7" s="1329"/>
      <c r="K7" s="1329"/>
      <c r="L7" s="1329"/>
      <c r="M7" s="1329"/>
      <c r="N7" s="77">
        <f t="shared" si="1"/>
        <v>57192079.329999998</v>
      </c>
      <c r="O7" s="78">
        <f>'A2-FinPerf SC'!I7</f>
        <v>57192079.329999998</v>
      </c>
      <c r="P7" s="76">
        <f>'A2-FinPerf SC'!J7</f>
        <v>60623604.0898</v>
      </c>
      <c r="Q7" s="77">
        <f>'A2-FinPerf SC'!K7</f>
        <v>64261020.335188009</v>
      </c>
    </row>
    <row r="8" spans="1:17" ht="11.25" customHeight="1" x14ac:dyDescent="0.25">
      <c r="A8" s="187" t="str">
        <f>'A2-FinPerf SC'!A8</f>
        <v>Internal audit</v>
      </c>
      <c r="B8" s="542"/>
      <c r="C8" s="1326"/>
      <c r="D8" s="1316"/>
      <c r="E8" s="1316"/>
      <c r="F8" s="1316"/>
      <c r="G8" s="1316"/>
      <c r="H8" s="1316"/>
      <c r="I8" s="1316"/>
      <c r="J8" s="1316"/>
      <c r="K8" s="1316"/>
      <c r="L8" s="1316"/>
      <c r="M8" s="1316"/>
      <c r="N8" s="77">
        <f t="shared" si="1"/>
        <v>0</v>
      </c>
      <c r="O8" s="78">
        <f>'A2-FinPerf SC'!I8</f>
        <v>0</v>
      </c>
      <c r="P8" s="76">
        <f>'A2-FinPerf SC'!J8</f>
        <v>0</v>
      </c>
      <c r="Q8" s="77">
        <f>'A2-FinPerf SC'!K8</f>
        <v>0</v>
      </c>
    </row>
    <row r="9" spans="1:17" ht="11.25" customHeight="1" x14ac:dyDescent="0.25">
      <c r="A9" s="728" t="str">
        <f>'A2-FinPerf SC'!A9</f>
        <v>Community and public safety</v>
      </c>
      <c r="B9" s="542"/>
      <c r="C9" s="88">
        <f>SUM(C10:C14)</f>
        <v>0</v>
      </c>
      <c r="D9" s="86">
        <f t="shared" ref="D9:M9" si="2">SUM(D10:D14)</f>
        <v>0</v>
      </c>
      <c r="E9" s="86">
        <f t="shared" si="2"/>
        <v>0</v>
      </c>
      <c r="F9" s="86">
        <f t="shared" si="2"/>
        <v>0</v>
      </c>
      <c r="G9" s="86">
        <f t="shared" si="2"/>
        <v>0</v>
      </c>
      <c r="H9" s="86">
        <f t="shared" si="2"/>
        <v>0</v>
      </c>
      <c r="I9" s="86">
        <f t="shared" si="2"/>
        <v>0</v>
      </c>
      <c r="J9" s="86">
        <f t="shared" si="2"/>
        <v>0</v>
      </c>
      <c r="K9" s="86">
        <f t="shared" si="2"/>
        <v>0</v>
      </c>
      <c r="L9" s="86">
        <f t="shared" si="2"/>
        <v>0</v>
      </c>
      <c r="M9" s="86">
        <f t="shared" si="2"/>
        <v>0</v>
      </c>
      <c r="N9" s="87">
        <f t="shared" si="1"/>
        <v>18826179.4208638</v>
      </c>
      <c r="O9" s="88">
        <f>'A2-FinPerf SC'!I9</f>
        <v>18826179.4208638</v>
      </c>
      <c r="P9" s="86">
        <f>'A2-FinPerf SC'!J9</f>
        <v>19955750.18611563</v>
      </c>
      <c r="Q9" s="87">
        <f>'A2-FinPerf SC'!K9</f>
        <v>21153095.197282568</v>
      </c>
    </row>
    <row r="10" spans="1:17" ht="11.25" customHeight="1" x14ac:dyDescent="0.25">
      <c r="A10" s="187" t="str">
        <f>'A2-FinPerf SC'!A10</f>
        <v>Community and social services</v>
      </c>
      <c r="B10" s="542"/>
      <c r="C10" s="1326"/>
      <c r="D10" s="1316"/>
      <c r="E10" s="1316"/>
      <c r="F10" s="1316"/>
      <c r="G10" s="1316"/>
      <c r="H10" s="1316"/>
      <c r="I10" s="1316"/>
      <c r="J10" s="1316"/>
      <c r="K10" s="1316"/>
      <c r="L10" s="1316"/>
      <c r="M10" s="1316"/>
      <c r="N10" s="77">
        <f t="shared" si="1"/>
        <v>15337910.416863799</v>
      </c>
      <c r="O10" s="78">
        <f>'A2-FinPerf SC'!I10</f>
        <v>15337910.416863799</v>
      </c>
      <c r="P10" s="76">
        <f>'A2-FinPerf SC'!J10</f>
        <v>16258185.041875627</v>
      </c>
      <c r="Q10" s="77">
        <f>'A2-FinPerf SC'!K10</f>
        <v>17233676.144388169</v>
      </c>
    </row>
    <row r="11" spans="1:17" ht="11.25" customHeight="1" x14ac:dyDescent="0.25">
      <c r="A11" s="187" t="str">
        <f>'A2-FinPerf SC'!A11</f>
        <v>Sport and recreation</v>
      </c>
      <c r="B11" s="542"/>
      <c r="C11" s="1326"/>
      <c r="D11" s="1316"/>
      <c r="E11" s="1316"/>
      <c r="F11" s="1316"/>
      <c r="G11" s="1316"/>
      <c r="H11" s="1316"/>
      <c r="I11" s="1316"/>
      <c r="J11" s="1316"/>
      <c r="K11" s="1316"/>
      <c r="L11" s="1316"/>
      <c r="M11" s="1316"/>
      <c r="N11" s="77">
        <f t="shared" si="1"/>
        <v>15100</v>
      </c>
      <c r="O11" s="78">
        <f>'A2-FinPerf SC'!I11</f>
        <v>15100</v>
      </c>
      <c r="P11" s="76">
        <f>'A2-FinPerf SC'!J11</f>
        <v>16006</v>
      </c>
      <c r="Q11" s="77">
        <f>'A2-FinPerf SC'!K11</f>
        <v>16966.36</v>
      </c>
    </row>
    <row r="12" spans="1:17" ht="11.25" customHeight="1" x14ac:dyDescent="0.25">
      <c r="A12" s="187" t="str">
        <f>'A2-FinPerf SC'!A12</f>
        <v>Public safety</v>
      </c>
      <c r="B12" s="542"/>
      <c r="C12" s="1326"/>
      <c r="D12" s="1316"/>
      <c r="E12" s="1316"/>
      <c r="F12" s="1316"/>
      <c r="G12" s="1316"/>
      <c r="H12" s="1316"/>
      <c r="I12" s="1316"/>
      <c r="J12" s="1316"/>
      <c r="K12" s="1316"/>
      <c r="L12" s="1316"/>
      <c r="M12" s="1316"/>
      <c r="N12" s="77">
        <f t="shared" si="1"/>
        <v>2009822.8</v>
      </c>
      <c r="O12" s="78">
        <f>'A2-FinPerf SC'!I12</f>
        <v>2009822.8</v>
      </c>
      <c r="P12" s="76">
        <f>'A2-FinPerf SC'!J12</f>
        <v>2130412.1680000001</v>
      </c>
      <c r="Q12" s="77">
        <f>'A2-FinPerf SC'!K12</f>
        <v>2258236.8980800007</v>
      </c>
    </row>
    <row r="13" spans="1:17" ht="11.25" customHeight="1" x14ac:dyDescent="0.25">
      <c r="A13" s="187" t="str">
        <f>'A2-FinPerf SC'!A13</f>
        <v>Housing</v>
      </c>
      <c r="B13" s="542"/>
      <c r="C13" s="1326"/>
      <c r="D13" s="1316"/>
      <c r="E13" s="1316"/>
      <c r="F13" s="1316"/>
      <c r="G13" s="1316"/>
      <c r="H13" s="1316"/>
      <c r="I13" s="1316"/>
      <c r="J13" s="1316"/>
      <c r="K13" s="1316"/>
      <c r="L13" s="1316"/>
      <c r="M13" s="1316"/>
      <c r="N13" s="77">
        <f t="shared" si="1"/>
        <v>12073.704</v>
      </c>
      <c r="O13" s="78">
        <f>'A2-FinPerf SC'!I13</f>
        <v>12073.704</v>
      </c>
      <c r="P13" s="76">
        <f>'A2-FinPerf SC'!J13</f>
        <v>12798.12624</v>
      </c>
      <c r="Q13" s="77">
        <f>'A2-FinPerf SC'!K13</f>
        <v>13566.013814400001</v>
      </c>
    </row>
    <row r="14" spans="1:17" ht="11.25" customHeight="1" x14ac:dyDescent="0.25">
      <c r="A14" s="187" t="str">
        <f>'A2-FinPerf SC'!A14</f>
        <v>Health</v>
      </c>
      <c r="B14" s="542"/>
      <c r="C14" s="1326"/>
      <c r="D14" s="1316"/>
      <c r="E14" s="1316"/>
      <c r="F14" s="1316"/>
      <c r="G14" s="1316"/>
      <c r="H14" s="1316"/>
      <c r="I14" s="1316"/>
      <c r="J14" s="1316"/>
      <c r="K14" s="1316"/>
      <c r="L14" s="1316"/>
      <c r="M14" s="1316"/>
      <c r="N14" s="77">
        <f t="shared" si="1"/>
        <v>1451272.5</v>
      </c>
      <c r="O14" s="78">
        <f>'A2-FinPerf SC'!I14</f>
        <v>1451272.5</v>
      </c>
      <c r="P14" s="76">
        <f>'A2-FinPerf SC'!J14</f>
        <v>1538348.85</v>
      </c>
      <c r="Q14" s="77">
        <f>'A2-FinPerf SC'!K14</f>
        <v>1630649.7810000002</v>
      </c>
    </row>
    <row r="15" spans="1:17" ht="11.25" customHeight="1" x14ac:dyDescent="0.25">
      <c r="A15" s="728" t="str">
        <f>'A2-FinPerf SC'!A15</f>
        <v>Economic and environmental services</v>
      </c>
      <c r="B15" s="542"/>
      <c r="C15" s="88">
        <f>SUM(C16:C18)</f>
        <v>0</v>
      </c>
      <c r="D15" s="86">
        <f t="shared" ref="D15:M15" si="3">SUM(D16:D18)</f>
        <v>0</v>
      </c>
      <c r="E15" s="86">
        <f t="shared" si="3"/>
        <v>0</v>
      </c>
      <c r="F15" s="86">
        <f t="shared" si="3"/>
        <v>0</v>
      </c>
      <c r="G15" s="86">
        <f t="shared" si="3"/>
        <v>0</v>
      </c>
      <c r="H15" s="86">
        <f t="shared" si="3"/>
        <v>0</v>
      </c>
      <c r="I15" s="86">
        <f t="shared" si="3"/>
        <v>0</v>
      </c>
      <c r="J15" s="86">
        <f t="shared" si="3"/>
        <v>0</v>
      </c>
      <c r="K15" s="86">
        <f t="shared" si="3"/>
        <v>0</v>
      </c>
      <c r="L15" s="86">
        <f t="shared" si="3"/>
        <v>0</v>
      </c>
      <c r="M15" s="86">
        <f t="shared" si="3"/>
        <v>0</v>
      </c>
      <c r="N15" s="87">
        <f t="shared" si="1"/>
        <v>18630668.899999999</v>
      </c>
      <c r="O15" s="88">
        <f>'A2-FinPerf SC'!I15</f>
        <v>18630668.899999999</v>
      </c>
      <c r="P15" s="86">
        <f>'A2-FinPerf SC'!J15</f>
        <v>19748509.034000002</v>
      </c>
      <c r="Q15" s="87">
        <f>'A2-FinPerf SC'!K15</f>
        <v>20933419.57604</v>
      </c>
    </row>
    <row r="16" spans="1:17" ht="11.25" customHeight="1" x14ac:dyDescent="0.25">
      <c r="A16" s="187" t="str">
        <f>'A2-FinPerf SC'!A16</f>
        <v>Planning and development</v>
      </c>
      <c r="B16" s="542"/>
      <c r="C16" s="1326"/>
      <c r="D16" s="1316"/>
      <c r="E16" s="1316"/>
      <c r="F16" s="1316"/>
      <c r="G16" s="1316"/>
      <c r="H16" s="1316"/>
      <c r="I16" s="1316"/>
      <c r="J16" s="1316"/>
      <c r="K16" s="1316"/>
      <c r="L16" s="1316"/>
      <c r="M16" s="1316"/>
      <c r="N16" s="77">
        <f t="shared" si="1"/>
        <v>3001905.9</v>
      </c>
      <c r="O16" s="78">
        <f>'A2-FinPerf SC'!I16</f>
        <v>3001905.9</v>
      </c>
      <c r="P16" s="76">
        <f>'A2-FinPerf SC'!J16</f>
        <v>3182020.2540000002</v>
      </c>
      <c r="Q16" s="77">
        <f>'A2-FinPerf SC'!K16</f>
        <v>3372941.4692400005</v>
      </c>
    </row>
    <row r="17" spans="1:17" ht="11.25" customHeight="1" x14ac:dyDescent="0.25">
      <c r="A17" s="187" t="str">
        <f>'A2-FinPerf SC'!A17</f>
        <v>Road transport</v>
      </c>
      <c r="B17" s="542"/>
      <c r="C17" s="1326"/>
      <c r="D17" s="1316"/>
      <c r="E17" s="1316"/>
      <c r="F17" s="1316"/>
      <c r="G17" s="1316"/>
      <c r="H17" s="1316"/>
      <c r="I17" s="1316"/>
      <c r="J17" s="1316"/>
      <c r="K17" s="1316"/>
      <c r="L17" s="1316"/>
      <c r="M17" s="1316"/>
      <c r="N17" s="77">
        <f t="shared" si="1"/>
        <v>15628763</v>
      </c>
      <c r="O17" s="78">
        <f>'A2-FinPerf SC'!I17</f>
        <v>15628763</v>
      </c>
      <c r="P17" s="76">
        <f>'A2-FinPerf SC'!J17</f>
        <v>16566488.780000001</v>
      </c>
      <c r="Q17" s="77">
        <f>'A2-FinPerf SC'!K17</f>
        <v>17560478.106800001</v>
      </c>
    </row>
    <row r="18" spans="1:17" ht="11.25" customHeight="1" x14ac:dyDescent="0.25">
      <c r="A18" s="187" t="str">
        <f>'A2-FinPerf SC'!A18</f>
        <v>Environmental protection</v>
      </c>
      <c r="B18" s="542"/>
      <c r="C18" s="1326"/>
      <c r="D18" s="1316"/>
      <c r="E18" s="1316"/>
      <c r="F18" s="1316"/>
      <c r="G18" s="1316"/>
      <c r="H18" s="1316"/>
      <c r="I18" s="1316"/>
      <c r="J18" s="1316"/>
      <c r="K18" s="1316"/>
      <c r="L18" s="1316"/>
      <c r="M18" s="1316"/>
      <c r="N18" s="77">
        <f t="shared" si="1"/>
        <v>0</v>
      </c>
      <c r="O18" s="78">
        <f>'A2-FinPerf SC'!I18</f>
        <v>0</v>
      </c>
      <c r="P18" s="76">
        <f>'A2-FinPerf SC'!J18</f>
        <v>0</v>
      </c>
      <c r="Q18" s="77">
        <f>'A2-FinPerf SC'!K18</f>
        <v>0</v>
      </c>
    </row>
    <row r="19" spans="1:17" ht="11.25" customHeight="1" x14ac:dyDescent="0.25">
      <c r="A19" s="728" t="str">
        <f>'A2-FinPerf SC'!A19</f>
        <v>Trading services</v>
      </c>
      <c r="B19" s="542"/>
      <c r="C19" s="88">
        <f>SUM(C20:C23)</f>
        <v>0</v>
      </c>
      <c r="D19" s="86">
        <f t="shared" ref="D19:M19" si="4">SUM(D20:D23)</f>
        <v>0</v>
      </c>
      <c r="E19" s="86">
        <f t="shared" si="4"/>
        <v>0</v>
      </c>
      <c r="F19" s="86">
        <f t="shared" si="4"/>
        <v>0</v>
      </c>
      <c r="G19" s="86">
        <f t="shared" si="4"/>
        <v>0</v>
      </c>
      <c r="H19" s="86">
        <f t="shared" si="4"/>
        <v>0</v>
      </c>
      <c r="I19" s="86">
        <f t="shared" si="4"/>
        <v>0</v>
      </c>
      <c r="J19" s="86">
        <f t="shared" si="4"/>
        <v>0</v>
      </c>
      <c r="K19" s="86">
        <f t="shared" si="4"/>
        <v>0</v>
      </c>
      <c r="L19" s="86">
        <f t="shared" si="4"/>
        <v>0</v>
      </c>
      <c r="M19" s="86">
        <f t="shared" si="4"/>
        <v>0</v>
      </c>
      <c r="N19" s="87">
        <f>O19-SUM(C19:M19)</f>
        <v>291147977.18897253</v>
      </c>
      <c r="O19" s="88">
        <f>'A2-FinPerf SC'!I19</f>
        <v>291147977.18897253</v>
      </c>
      <c r="P19" s="86">
        <f>'A2-FinPerf SC'!J19</f>
        <v>308616855.82031089</v>
      </c>
      <c r="Q19" s="87">
        <f>'A2-FinPerf SC'!K19</f>
        <v>327133867.16952956</v>
      </c>
    </row>
    <row r="20" spans="1:17" ht="11.25" customHeight="1" x14ac:dyDescent="0.25">
      <c r="A20" s="187" t="str">
        <f>'A2-FinPerf SC'!A20</f>
        <v>Energy sources</v>
      </c>
      <c r="B20" s="542"/>
      <c r="C20" s="1326"/>
      <c r="D20" s="1316"/>
      <c r="E20" s="1316"/>
      <c r="F20" s="1316"/>
      <c r="G20" s="1316"/>
      <c r="H20" s="1316"/>
      <c r="I20" s="1316"/>
      <c r="J20" s="1316"/>
      <c r="K20" s="1316"/>
      <c r="L20" s="1316"/>
      <c r="M20" s="1316"/>
      <c r="N20" s="77">
        <f t="shared" si="1"/>
        <v>145976030.86761701</v>
      </c>
      <c r="O20" s="78">
        <f>'A2-FinPerf SC'!I20</f>
        <v>145976030.86761701</v>
      </c>
      <c r="P20" s="76">
        <f>'A2-FinPerf SC'!J20</f>
        <v>154734592.71967405</v>
      </c>
      <c r="Q20" s="77">
        <f>'A2-FinPerf SC'!K20</f>
        <v>164018668.2828545</v>
      </c>
    </row>
    <row r="21" spans="1:17" ht="11.25" customHeight="1" x14ac:dyDescent="0.25">
      <c r="A21" s="187" t="str">
        <f>'A2-FinPerf SC'!A21</f>
        <v>Water management</v>
      </c>
      <c r="B21" s="542"/>
      <c r="C21" s="1326"/>
      <c r="D21" s="1316"/>
      <c r="E21" s="1316"/>
      <c r="F21" s="1316"/>
      <c r="G21" s="1316"/>
      <c r="H21" s="1316"/>
      <c r="I21" s="1316"/>
      <c r="J21" s="1316"/>
      <c r="K21" s="1316"/>
      <c r="L21" s="1316"/>
      <c r="M21" s="1316"/>
      <c r="N21" s="77">
        <f t="shared" si="1"/>
        <v>70222539.610263899</v>
      </c>
      <c r="O21" s="78">
        <f>'A2-FinPerf SC'!I21</f>
        <v>70222539.610263899</v>
      </c>
      <c r="P21" s="76">
        <f>'A2-FinPerf SC'!J21</f>
        <v>74435891.986879736</v>
      </c>
      <c r="Q21" s="77">
        <f>'A2-FinPerf SC'!K21</f>
        <v>78902045.506092519</v>
      </c>
    </row>
    <row r="22" spans="1:17" ht="11.25" customHeight="1" x14ac:dyDescent="0.25">
      <c r="A22" s="187" t="str">
        <f>'A2-FinPerf SC'!A22</f>
        <v>Waste water management</v>
      </c>
      <c r="B22" s="542"/>
      <c r="C22" s="1326"/>
      <c r="D22" s="1316"/>
      <c r="E22" s="1316"/>
      <c r="F22" s="1316"/>
      <c r="G22" s="1316"/>
      <c r="H22" s="1316"/>
      <c r="I22" s="1316"/>
      <c r="J22" s="1316"/>
      <c r="K22" s="1316"/>
      <c r="L22" s="1316"/>
      <c r="M22" s="1316"/>
      <c r="N22" s="77">
        <f t="shared" si="1"/>
        <v>34225060.554612502</v>
      </c>
      <c r="O22" s="78">
        <f>'A2-FinPerf SC'!I22</f>
        <v>34225060.554612502</v>
      </c>
      <c r="P22" s="76">
        <f>'A2-FinPerf SC'!J22</f>
        <v>36278564.187889256</v>
      </c>
      <c r="Q22" s="77">
        <f>'A2-FinPerf SC'!K22</f>
        <v>38455278.039162613</v>
      </c>
    </row>
    <row r="23" spans="1:17" ht="11.25" customHeight="1" x14ac:dyDescent="0.25">
      <c r="A23" s="187" t="str">
        <f>'A2-FinPerf SC'!A23</f>
        <v>Waste management</v>
      </c>
      <c r="B23" s="542"/>
      <c r="C23" s="1326"/>
      <c r="D23" s="1316"/>
      <c r="E23" s="1316"/>
      <c r="F23" s="1316"/>
      <c r="G23" s="1316"/>
      <c r="H23" s="1316"/>
      <c r="I23" s="1316"/>
      <c r="J23" s="1316"/>
      <c r="K23" s="1316"/>
      <c r="L23" s="1316"/>
      <c r="M23" s="1316"/>
      <c r="N23" s="77">
        <f t="shared" si="1"/>
        <v>40724346.156479098</v>
      </c>
      <c r="O23" s="78">
        <f>'A2-FinPerf SC'!I23</f>
        <v>40724346.156479098</v>
      </c>
      <c r="P23" s="76">
        <f>'A2-FinPerf SC'!J23</f>
        <v>43167806.925867848</v>
      </c>
      <c r="Q23" s="77">
        <f>'A2-FinPerf SC'!K23</f>
        <v>45757875.34141992</v>
      </c>
    </row>
    <row r="24" spans="1:17" ht="11.25" customHeight="1" x14ac:dyDescent="0.25">
      <c r="A24" s="728" t="str">
        <f>'A2-FinPerf SC'!A24</f>
        <v>Other</v>
      </c>
      <c r="B24" s="542"/>
      <c r="C24" s="1342"/>
      <c r="D24" s="1340"/>
      <c r="E24" s="1340"/>
      <c r="F24" s="1340"/>
      <c r="G24" s="1340"/>
      <c r="H24" s="1340"/>
      <c r="I24" s="1340"/>
      <c r="J24" s="1340"/>
      <c r="K24" s="1340"/>
      <c r="L24" s="1340"/>
      <c r="M24" s="1340"/>
      <c r="N24" s="87">
        <f t="shared" si="1"/>
        <v>398405</v>
      </c>
      <c r="O24" s="88">
        <f>'A2-FinPerf SC'!I24</f>
        <v>398405</v>
      </c>
      <c r="P24" s="86">
        <f>'A2-FinPerf SC'!J24</f>
        <v>422309.30000000005</v>
      </c>
      <c r="Q24" s="87">
        <f>'A2-FinPerf SC'!K24</f>
        <v>447647.85800000007</v>
      </c>
    </row>
    <row r="25" spans="1:17" x14ac:dyDescent="0.25">
      <c r="A25" s="118" t="str">
        <f>'A2-FinPerf SC'!A25</f>
        <v>Total Revenue - Functional</v>
      </c>
      <c r="B25" s="543"/>
      <c r="C25" s="83">
        <f t="shared" ref="C25:Q25" si="5">C5+C9+C15+C19+C24</f>
        <v>0</v>
      </c>
      <c r="D25" s="81">
        <f t="shared" si="5"/>
        <v>0</v>
      </c>
      <c r="E25" s="81">
        <f t="shared" si="5"/>
        <v>0</v>
      </c>
      <c r="F25" s="81">
        <f t="shared" si="5"/>
        <v>0</v>
      </c>
      <c r="G25" s="81">
        <f t="shared" si="5"/>
        <v>0</v>
      </c>
      <c r="H25" s="81">
        <f t="shared" si="5"/>
        <v>0</v>
      </c>
      <c r="I25" s="81">
        <f t="shared" si="5"/>
        <v>0</v>
      </c>
      <c r="J25" s="81">
        <f t="shared" si="5"/>
        <v>0</v>
      </c>
      <c r="K25" s="81">
        <f t="shared" si="5"/>
        <v>0</v>
      </c>
      <c r="L25" s="81">
        <f t="shared" si="5"/>
        <v>0</v>
      </c>
      <c r="M25" s="81">
        <f t="shared" si="5"/>
        <v>0</v>
      </c>
      <c r="N25" s="81">
        <f t="shared" si="5"/>
        <v>393212328.37799966</v>
      </c>
      <c r="O25" s="83">
        <f t="shared" si="5"/>
        <v>393212328.37799966</v>
      </c>
      <c r="P25" s="81">
        <f t="shared" si="5"/>
        <v>416805068.08067966</v>
      </c>
      <c r="Q25" s="82">
        <f t="shared" si="5"/>
        <v>441813372.16552043</v>
      </c>
    </row>
    <row r="26" spans="1:17" ht="4.9000000000000004" customHeight="1" x14ac:dyDescent="0.25">
      <c r="A26" s="74"/>
      <c r="B26" s="542"/>
      <c r="C26" s="78"/>
      <c r="D26" s="76">
        <f t="shared" ref="D26:L26" si="6">D6+D10+D16+D20+D25</f>
        <v>0</v>
      </c>
      <c r="E26" s="76">
        <f t="shared" si="6"/>
        <v>0</v>
      </c>
      <c r="F26" s="76">
        <f t="shared" si="6"/>
        <v>0</v>
      </c>
      <c r="G26" s="76">
        <f t="shared" si="6"/>
        <v>0</v>
      </c>
      <c r="H26" s="76">
        <f t="shared" si="6"/>
        <v>0</v>
      </c>
      <c r="I26" s="76">
        <f t="shared" si="6"/>
        <v>0</v>
      </c>
      <c r="J26" s="76">
        <f t="shared" si="6"/>
        <v>0</v>
      </c>
      <c r="K26" s="76">
        <f t="shared" si="6"/>
        <v>0</v>
      </c>
      <c r="L26" s="76">
        <f t="shared" si="6"/>
        <v>0</v>
      </c>
      <c r="M26" s="76">
        <f>M6+M10+M16+M20+M25</f>
        <v>0</v>
      </c>
      <c r="N26" s="77"/>
      <c r="O26" s="78"/>
      <c r="P26" s="76"/>
      <c r="Q26" s="77"/>
    </row>
    <row r="27" spans="1:17" x14ac:dyDescent="0.25">
      <c r="A27" s="54" t="str">
        <f>'A2-FinPerf SC'!A27</f>
        <v>Expenditure - Functional</v>
      </c>
      <c r="B27" s="544"/>
      <c r="C27" s="78"/>
      <c r="D27" s="76"/>
      <c r="E27" s="76"/>
      <c r="F27" s="76"/>
      <c r="G27" s="76"/>
      <c r="H27" s="76"/>
      <c r="I27" s="76"/>
      <c r="J27" s="76"/>
      <c r="K27" s="76"/>
      <c r="L27" s="76"/>
      <c r="M27" s="76"/>
      <c r="N27" s="77"/>
      <c r="O27" s="78"/>
      <c r="P27" s="76"/>
      <c r="Q27" s="77"/>
    </row>
    <row r="28" spans="1:17" ht="11.25" customHeight="1" x14ac:dyDescent="0.25">
      <c r="A28" s="728" t="str">
        <f>'A2-FinPerf SC'!A28</f>
        <v>Governance and administration</v>
      </c>
      <c r="B28" s="542"/>
      <c r="C28" s="88">
        <f>SUM(C29:C31)</f>
        <v>0</v>
      </c>
      <c r="D28" s="86">
        <f>SUM(D29:D31)</f>
        <v>0</v>
      </c>
      <c r="E28" s="86">
        <f t="shared" ref="E28:M28" si="7">SUM(E29:E31)</f>
        <v>0</v>
      </c>
      <c r="F28" s="86">
        <f t="shared" si="7"/>
        <v>0</v>
      </c>
      <c r="G28" s="86">
        <f t="shared" si="7"/>
        <v>0</v>
      </c>
      <c r="H28" s="86">
        <f t="shared" si="7"/>
        <v>0</v>
      </c>
      <c r="I28" s="86">
        <f t="shared" si="7"/>
        <v>0</v>
      </c>
      <c r="J28" s="86">
        <f t="shared" si="7"/>
        <v>0</v>
      </c>
      <c r="K28" s="86">
        <f t="shared" si="7"/>
        <v>0</v>
      </c>
      <c r="L28" s="86">
        <f t="shared" si="7"/>
        <v>0</v>
      </c>
      <c r="M28" s="86">
        <f t="shared" si="7"/>
        <v>0</v>
      </c>
      <c r="N28" s="87">
        <f t="shared" ref="N28:N37" si="8">O28-SUM(C28:M28)</f>
        <v>98582813</v>
      </c>
      <c r="O28" s="88">
        <f>'A2-FinPerf SC'!I28</f>
        <v>98582813</v>
      </c>
      <c r="P28" s="86">
        <f>'A2-FinPerf SC'!J28</f>
        <v>104497781.78</v>
      </c>
      <c r="Q28" s="87">
        <f>'A2-FinPerf SC'!K28</f>
        <v>110767648.68680002</v>
      </c>
    </row>
    <row r="29" spans="1:17" ht="11.25" customHeight="1" x14ac:dyDescent="0.25">
      <c r="A29" s="187" t="str">
        <f>'A2-FinPerf SC'!A29</f>
        <v>Executive and council</v>
      </c>
      <c r="B29" s="542"/>
      <c r="C29" s="1326"/>
      <c r="D29" s="1316"/>
      <c r="E29" s="1316"/>
      <c r="F29" s="1316"/>
      <c r="G29" s="1316"/>
      <c r="H29" s="1316"/>
      <c r="I29" s="1316"/>
      <c r="J29" s="1316"/>
      <c r="K29" s="1316"/>
      <c r="L29" s="1316"/>
      <c r="M29" s="1316"/>
      <c r="N29" s="77">
        <f t="shared" si="8"/>
        <v>27041140</v>
      </c>
      <c r="O29" s="78">
        <f>'A2-FinPerf SC'!I29</f>
        <v>27041140</v>
      </c>
      <c r="P29" s="76">
        <f>'A2-FinPerf SC'!J29</f>
        <v>28663608.399999999</v>
      </c>
      <c r="Q29" s="77">
        <f>'A2-FinPerf SC'!K29</f>
        <v>30383424.904000003</v>
      </c>
    </row>
    <row r="30" spans="1:17" ht="11.25" customHeight="1" x14ac:dyDescent="0.25">
      <c r="A30" s="187" t="str">
        <f>'A2-FinPerf SC'!A30</f>
        <v>Finance and administration</v>
      </c>
      <c r="B30" s="542"/>
      <c r="C30" s="1333"/>
      <c r="D30" s="1329"/>
      <c r="E30" s="1329"/>
      <c r="F30" s="1329"/>
      <c r="G30" s="1329"/>
      <c r="H30" s="1329"/>
      <c r="I30" s="1329"/>
      <c r="J30" s="1329"/>
      <c r="K30" s="1329"/>
      <c r="L30" s="1329"/>
      <c r="M30" s="1329"/>
      <c r="N30" s="77">
        <f t="shared" si="8"/>
        <v>70616900</v>
      </c>
      <c r="O30" s="78">
        <f>'A2-FinPerf SC'!I30</f>
        <v>70616900</v>
      </c>
      <c r="P30" s="76">
        <f>'A2-FinPerf SC'!J30</f>
        <v>74853914</v>
      </c>
      <c r="Q30" s="77">
        <f>'A2-FinPerf SC'!K30</f>
        <v>79345148.840000018</v>
      </c>
    </row>
    <row r="31" spans="1:17" ht="11.25" customHeight="1" x14ac:dyDescent="0.25">
      <c r="A31" s="187" t="str">
        <f>'A2-FinPerf SC'!A31</f>
        <v>Internal audit</v>
      </c>
      <c r="B31" s="542"/>
      <c r="C31" s="1326"/>
      <c r="D31" s="1316"/>
      <c r="E31" s="1316"/>
      <c r="F31" s="1316"/>
      <c r="G31" s="1316"/>
      <c r="H31" s="1316"/>
      <c r="I31" s="1316"/>
      <c r="J31" s="1316"/>
      <c r="K31" s="1316"/>
      <c r="L31" s="1316"/>
      <c r="M31" s="1316"/>
      <c r="N31" s="77">
        <f t="shared" si="8"/>
        <v>924773</v>
      </c>
      <c r="O31" s="78">
        <f>'A2-FinPerf SC'!I31</f>
        <v>924773</v>
      </c>
      <c r="P31" s="76">
        <f>'A2-FinPerf SC'!J31</f>
        <v>980259.38</v>
      </c>
      <c r="Q31" s="77">
        <f>'A2-FinPerf SC'!K31</f>
        <v>1039074.9428000001</v>
      </c>
    </row>
    <row r="32" spans="1:17" ht="11.25" customHeight="1" x14ac:dyDescent="0.25">
      <c r="A32" s="728" t="str">
        <f>'A2-FinPerf SC'!A32</f>
        <v>Community and public safety</v>
      </c>
      <c r="B32" s="542"/>
      <c r="C32" s="88">
        <f>SUM(C33:C37)</f>
        <v>0</v>
      </c>
      <c r="D32" s="86">
        <f t="shared" ref="D32:M32" si="9">SUM(D33:D37)</f>
        <v>0</v>
      </c>
      <c r="E32" s="86">
        <f t="shared" si="9"/>
        <v>0</v>
      </c>
      <c r="F32" s="86">
        <f t="shared" si="9"/>
        <v>0</v>
      </c>
      <c r="G32" s="86">
        <f t="shared" si="9"/>
        <v>0</v>
      </c>
      <c r="H32" s="86">
        <f t="shared" si="9"/>
        <v>0</v>
      </c>
      <c r="I32" s="86">
        <f t="shared" si="9"/>
        <v>0</v>
      </c>
      <c r="J32" s="86">
        <f t="shared" si="9"/>
        <v>0</v>
      </c>
      <c r="K32" s="86">
        <f t="shared" si="9"/>
        <v>0</v>
      </c>
      <c r="L32" s="86">
        <f t="shared" si="9"/>
        <v>0</v>
      </c>
      <c r="M32" s="86">
        <f t="shared" si="9"/>
        <v>0</v>
      </c>
      <c r="N32" s="87">
        <f t="shared" si="8"/>
        <v>35070010</v>
      </c>
      <c r="O32" s="88">
        <f>'A2-FinPerf SC'!I32</f>
        <v>35070010</v>
      </c>
      <c r="P32" s="86">
        <f>'A2-FinPerf SC'!J32</f>
        <v>37174210.600000001</v>
      </c>
      <c r="Q32" s="87">
        <f>'A2-FinPerf SC'!K32</f>
        <v>39404663.236000001</v>
      </c>
    </row>
    <row r="33" spans="1:17" ht="11.25" customHeight="1" x14ac:dyDescent="0.25">
      <c r="A33" s="187" t="str">
        <f>'A2-FinPerf SC'!A33</f>
        <v>Community and social services</v>
      </c>
      <c r="B33" s="542"/>
      <c r="C33" s="1326"/>
      <c r="D33" s="1316"/>
      <c r="E33" s="1316"/>
      <c r="F33" s="1316"/>
      <c r="G33" s="1316"/>
      <c r="H33" s="1316"/>
      <c r="I33" s="1316"/>
      <c r="J33" s="1316"/>
      <c r="K33" s="1316"/>
      <c r="L33" s="1316"/>
      <c r="M33" s="1316"/>
      <c r="N33" s="77">
        <f t="shared" si="8"/>
        <v>6442410</v>
      </c>
      <c r="O33" s="78">
        <f>'A2-FinPerf SC'!I33</f>
        <v>6442410</v>
      </c>
      <c r="P33" s="76">
        <f>'A2-FinPerf SC'!J33</f>
        <v>6828954.6000000006</v>
      </c>
      <c r="Q33" s="77">
        <f>'A2-FinPerf SC'!K33</f>
        <v>7238691.8760000002</v>
      </c>
    </row>
    <row r="34" spans="1:17" ht="11.25" customHeight="1" x14ac:dyDescent="0.25">
      <c r="A34" s="187" t="str">
        <f>'A2-FinPerf SC'!A34</f>
        <v>Sport and recreation</v>
      </c>
      <c r="B34" s="542"/>
      <c r="C34" s="1326"/>
      <c r="D34" s="1316"/>
      <c r="E34" s="1316"/>
      <c r="F34" s="1316"/>
      <c r="G34" s="1316"/>
      <c r="H34" s="1316"/>
      <c r="I34" s="1316"/>
      <c r="J34" s="1316"/>
      <c r="K34" s="1316"/>
      <c r="L34" s="1316"/>
      <c r="M34" s="1316"/>
      <c r="N34" s="77">
        <f t="shared" si="8"/>
        <v>17094767</v>
      </c>
      <c r="O34" s="78">
        <f>'A2-FinPerf SC'!I34</f>
        <v>17094767</v>
      </c>
      <c r="P34" s="76">
        <f>'A2-FinPerf SC'!J34</f>
        <v>18120453.02</v>
      </c>
      <c r="Q34" s="77">
        <f>'A2-FinPerf SC'!K34</f>
        <v>19207680.201200001</v>
      </c>
    </row>
    <row r="35" spans="1:17" ht="11.25" customHeight="1" x14ac:dyDescent="0.25">
      <c r="A35" s="187" t="str">
        <f>'A2-FinPerf SC'!A35</f>
        <v>Public safety</v>
      </c>
      <c r="B35" s="542"/>
      <c r="C35" s="1326"/>
      <c r="D35" s="1316"/>
      <c r="E35" s="1316"/>
      <c r="F35" s="1316"/>
      <c r="G35" s="1316"/>
      <c r="H35" s="1316"/>
      <c r="I35" s="1316"/>
      <c r="J35" s="1316"/>
      <c r="K35" s="1316"/>
      <c r="L35" s="1316"/>
      <c r="M35" s="1316"/>
      <c r="N35" s="77">
        <f t="shared" si="8"/>
        <v>7269824</v>
      </c>
      <c r="O35" s="78">
        <f>'A2-FinPerf SC'!I35</f>
        <v>7269824</v>
      </c>
      <c r="P35" s="76">
        <f>'A2-FinPerf SC'!J35</f>
        <v>7706013.4399999995</v>
      </c>
      <c r="Q35" s="77">
        <f>'A2-FinPerf SC'!K35</f>
        <v>8168374.2464000005</v>
      </c>
    </row>
    <row r="36" spans="1:17" ht="11.25" customHeight="1" x14ac:dyDescent="0.25">
      <c r="A36" s="187" t="str">
        <f>'A2-FinPerf SC'!A36</f>
        <v>Housing</v>
      </c>
      <c r="B36" s="542"/>
      <c r="C36" s="1326"/>
      <c r="D36" s="1316"/>
      <c r="E36" s="1316"/>
      <c r="F36" s="1316"/>
      <c r="G36" s="1316"/>
      <c r="H36" s="1316"/>
      <c r="I36" s="1316"/>
      <c r="J36" s="1316"/>
      <c r="K36" s="1316"/>
      <c r="L36" s="1316"/>
      <c r="M36" s="1316"/>
      <c r="N36" s="77">
        <f t="shared" si="8"/>
        <v>9603</v>
      </c>
      <c r="O36" s="78">
        <f>'A2-FinPerf SC'!I36</f>
        <v>9603</v>
      </c>
      <c r="P36" s="76">
        <f>'A2-FinPerf SC'!J36</f>
        <v>10179.18</v>
      </c>
      <c r="Q36" s="77">
        <f>'A2-FinPerf SC'!K36</f>
        <v>10789.9308</v>
      </c>
    </row>
    <row r="37" spans="1:17" ht="11.25" customHeight="1" x14ac:dyDescent="0.25">
      <c r="A37" s="187" t="str">
        <f>'A2-FinPerf SC'!A37</f>
        <v>Health</v>
      </c>
      <c r="B37" s="542"/>
      <c r="C37" s="1326"/>
      <c r="D37" s="1316"/>
      <c r="E37" s="1316"/>
      <c r="F37" s="1316"/>
      <c r="G37" s="1316"/>
      <c r="H37" s="1316"/>
      <c r="I37" s="1316"/>
      <c r="J37" s="1316"/>
      <c r="K37" s="1316"/>
      <c r="L37" s="1316"/>
      <c r="M37" s="1316"/>
      <c r="N37" s="77">
        <f t="shared" si="8"/>
        <v>4253406</v>
      </c>
      <c r="O37" s="78">
        <f>'A2-FinPerf SC'!I37</f>
        <v>4253406</v>
      </c>
      <c r="P37" s="76">
        <f>'A2-FinPerf SC'!J37</f>
        <v>4508610.3600000003</v>
      </c>
      <c r="Q37" s="77">
        <f>'A2-FinPerf SC'!K37</f>
        <v>4779126.9816000005</v>
      </c>
    </row>
    <row r="38" spans="1:17" ht="11.25" customHeight="1" x14ac:dyDescent="0.25">
      <c r="A38" s="728" t="str">
        <f>'A2-FinPerf SC'!A38</f>
        <v>Economic and environmental services</v>
      </c>
      <c r="B38" s="542"/>
      <c r="C38" s="88">
        <f>SUM(C39:C41)</f>
        <v>0</v>
      </c>
      <c r="D38" s="86">
        <f t="shared" ref="D38:M38" si="10">SUM(D39:D41)</f>
        <v>0</v>
      </c>
      <c r="E38" s="86">
        <f t="shared" si="10"/>
        <v>0</v>
      </c>
      <c r="F38" s="86">
        <f t="shared" si="10"/>
        <v>0</v>
      </c>
      <c r="G38" s="86">
        <f t="shared" si="10"/>
        <v>0</v>
      </c>
      <c r="H38" s="86">
        <f t="shared" si="10"/>
        <v>0</v>
      </c>
      <c r="I38" s="86">
        <f t="shared" si="10"/>
        <v>0</v>
      </c>
      <c r="J38" s="86">
        <f t="shared" si="10"/>
        <v>0</v>
      </c>
      <c r="K38" s="86">
        <f t="shared" si="10"/>
        <v>0</v>
      </c>
      <c r="L38" s="86">
        <f t="shared" si="10"/>
        <v>0</v>
      </c>
      <c r="M38" s="86">
        <f t="shared" si="10"/>
        <v>0</v>
      </c>
      <c r="N38" s="87">
        <f t="shared" ref="N38:N47" si="11">O38-SUM(C38:M38)</f>
        <v>45515754</v>
      </c>
      <c r="O38" s="88">
        <f>'A2-FinPerf SC'!I38</f>
        <v>45515754</v>
      </c>
      <c r="P38" s="86">
        <f>'A2-FinPerf SC'!J38</f>
        <v>48246699.240000002</v>
      </c>
      <c r="Q38" s="87">
        <f>'A2-FinPerf SC'!K38</f>
        <v>51141501.194400005</v>
      </c>
    </row>
    <row r="39" spans="1:17" ht="11.25" customHeight="1" x14ac:dyDescent="0.25">
      <c r="A39" s="187" t="str">
        <f>'A2-FinPerf SC'!A39</f>
        <v>Planning and development</v>
      </c>
      <c r="B39" s="542"/>
      <c r="C39" s="1326"/>
      <c r="D39" s="1316"/>
      <c r="E39" s="1316"/>
      <c r="F39" s="1316"/>
      <c r="G39" s="1316"/>
      <c r="H39" s="1316"/>
      <c r="I39" s="1316"/>
      <c r="J39" s="1316"/>
      <c r="K39" s="1316"/>
      <c r="L39" s="1316"/>
      <c r="M39" s="1316"/>
      <c r="N39" s="77">
        <f t="shared" si="11"/>
        <v>16634362</v>
      </c>
      <c r="O39" s="78">
        <f>'A2-FinPerf SC'!I39</f>
        <v>16634362</v>
      </c>
      <c r="P39" s="76">
        <f>'A2-FinPerf SC'!J39</f>
        <v>17632423.720000003</v>
      </c>
      <c r="Q39" s="77">
        <f>'A2-FinPerf SC'!K39</f>
        <v>18690369.143200003</v>
      </c>
    </row>
    <row r="40" spans="1:17" ht="11.25" customHeight="1" x14ac:dyDescent="0.25">
      <c r="A40" s="187" t="str">
        <f>'A2-FinPerf SC'!A40</f>
        <v>Road transport</v>
      </c>
      <c r="B40" s="542"/>
      <c r="C40" s="1326"/>
      <c r="D40" s="1316"/>
      <c r="E40" s="1316"/>
      <c r="F40" s="1316"/>
      <c r="G40" s="1316"/>
      <c r="H40" s="1316"/>
      <c r="I40" s="1316"/>
      <c r="J40" s="1316"/>
      <c r="K40" s="1316"/>
      <c r="L40" s="1316"/>
      <c r="M40" s="1316"/>
      <c r="N40" s="77">
        <f t="shared" si="11"/>
        <v>28881392</v>
      </c>
      <c r="O40" s="78">
        <f>'A2-FinPerf SC'!I40</f>
        <v>28881392</v>
      </c>
      <c r="P40" s="76">
        <f>'A2-FinPerf SC'!J40</f>
        <v>30614275.52</v>
      </c>
      <c r="Q40" s="77">
        <f>'A2-FinPerf SC'!K40</f>
        <v>32451132.051200002</v>
      </c>
    </row>
    <row r="41" spans="1:17" ht="11.25" customHeight="1" x14ac:dyDescent="0.25">
      <c r="A41" s="187" t="str">
        <f>'A2-FinPerf SC'!A41</f>
        <v>Environmental protection</v>
      </c>
      <c r="B41" s="542"/>
      <c r="C41" s="1326"/>
      <c r="D41" s="1316"/>
      <c r="E41" s="1316"/>
      <c r="F41" s="1316"/>
      <c r="G41" s="1316"/>
      <c r="H41" s="1316"/>
      <c r="I41" s="1316"/>
      <c r="J41" s="1316"/>
      <c r="K41" s="1316"/>
      <c r="L41" s="1316"/>
      <c r="M41" s="1316"/>
      <c r="N41" s="77">
        <f t="shared" si="11"/>
        <v>0</v>
      </c>
      <c r="O41" s="78">
        <f>'A2-FinPerf SC'!I41</f>
        <v>0</v>
      </c>
      <c r="P41" s="76">
        <f>'A2-FinPerf SC'!J41</f>
        <v>0</v>
      </c>
      <c r="Q41" s="77">
        <f>'A2-FinPerf SC'!K41</f>
        <v>0</v>
      </c>
    </row>
    <row r="42" spans="1:17" ht="11.25" customHeight="1" x14ac:dyDescent="0.25">
      <c r="A42" s="728" t="str">
        <f>'A2-FinPerf SC'!A42</f>
        <v>Trading services</v>
      </c>
      <c r="B42" s="542"/>
      <c r="C42" s="88">
        <f>SUM(C43:C46)</f>
        <v>0</v>
      </c>
      <c r="D42" s="86">
        <f t="shared" ref="D42:M42" si="12">SUM(D43:D46)</f>
        <v>0</v>
      </c>
      <c r="E42" s="86">
        <f t="shared" si="12"/>
        <v>0</v>
      </c>
      <c r="F42" s="86">
        <f t="shared" si="12"/>
        <v>0</v>
      </c>
      <c r="G42" s="86">
        <f t="shared" si="12"/>
        <v>0</v>
      </c>
      <c r="H42" s="86">
        <f t="shared" si="12"/>
        <v>0</v>
      </c>
      <c r="I42" s="86">
        <f t="shared" si="12"/>
        <v>0</v>
      </c>
      <c r="J42" s="86">
        <f t="shared" si="12"/>
        <v>0</v>
      </c>
      <c r="K42" s="86">
        <f t="shared" si="12"/>
        <v>0</v>
      </c>
      <c r="L42" s="86">
        <f t="shared" si="12"/>
        <v>0</v>
      </c>
      <c r="M42" s="86">
        <f t="shared" si="12"/>
        <v>0</v>
      </c>
      <c r="N42" s="87">
        <f>O42-SUM(C42:M42)</f>
        <v>211420877.5</v>
      </c>
      <c r="O42" s="88">
        <f>'A2-FinPerf SC'!I42</f>
        <v>211420877.5</v>
      </c>
      <c r="P42" s="86">
        <f>'A2-FinPerf SC'!J42</f>
        <v>224106130.14999998</v>
      </c>
      <c r="Q42" s="87">
        <f>'A2-FinPerf SC'!K42</f>
        <v>237552497.95900005</v>
      </c>
    </row>
    <row r="43" spans="1:17" ht="11.25" customHeight="1" x14ac:dyDescent="0.25">
      <c r="A43" s="187" t="str">
        <f>'A2-FinPerf SC'!A43</f>
        <v>Energy sources</v>
      </c>
      <c r="B43" s="542"/>
      <c r="C43" s="1326"/>
      <c r="D43" s="1316"/>
      <c r="E43" s="1316"/>
      <c r="F43" s="1316"/>
      <c r="G43" s="1316"/>
      <c r="H43" s="1316"/>
      <c r="I43" s="1316"/>
      <c r="J43" s="1316"/>
      <c r="K43" s="1316"/>
      <c r="L43" s="1316"/>
      <c r="M43" s="1316"/>
      <c r="N43" s="77">
        <f t="shared" si="11"/>
        <v>114534626</v>
      </c>
      <c r="O43" s="78">
        <f>'A2-FinPerf SC'!I43</f>
        <v>114534626</v>
      </c>
      <c r="P43" s="76">
        <f>'A2-FinPerf SC'!J43</f>
        <v>121406703.56</v>
      </c>
      <c r="Q43" s="77">
        <f>'A2-FinPerf SC'!K43</f>
        <v>128691105.77360001</v>
      </c>
    </row>
    <row r="44" spans="1:17" ht="11.25" customHeight="1" x14ac:dyDescent="0.25">
      <c r="A44" s="187" t="str">
        <f>'A2-FinPerf SC'!A44</f>
        <v>Water management</v>
      </c>
      <c r="B44" s="542"/>
      <c r="C44" s="1326"/>
      <c r="D44" s="1316"/>
      <c r="E44" s="1316"/>
      <c r="F44" s="1316"/>
      <c r="G44" s="1316"/>
      <c r="H44" s="1316"/>
      <c r="I44" s="1316"/>
      <c r="J44" s="1316"/>
      <c r="K44" s="1316"/>
      <c r="L44" s="1316"/>
      <c r="M44" s="1316"/>
      <c r="N44" s="77">
        <f t="shared" si="11"/>
        <v>52756271</v>
      </c>
      <c r="O44" s="78">
        <f>'A2-FinPerf SC'!I44</f>
        <v>52756271</v>
      </c>
      <c r="P44" s="76">
        <f>'A2-FinPerf SC'!J44</f>
        <v>55921647.260000005</v>
      </c>
      <c r="Q44" s="77">
        <f>'A2-FinPerf SC'!K44</f>
        <v>59276946.095600009</v>
      </c>
    </row>
    <row r="45" spans="1:17" ht="11.25" customHeight="1" x14ac:dyDescent="0.25">
      <c r="A45" s="187" t="str">
        <f>'A2-FinPerf SC'!A45</f>
        <v>Waste water management</v>
      </c>
      <c r="B45" s="542"/>
      <c r="C45" s="1326"/>
      <c r="D45" s="1316"/>
      <c r="E45" s="1316"/>
      <c r="F45" s="1316"/>
      <c r="G45" s="1316"/>
      <c r="H45" s="1316"/>
      <c r="I45" s="1316"/>
      <c r="J45" s="1316"/>
      <c r="K45" s="1316"/>
      <c r="L45" s="1316"/>
      <c r="M45" s="1316"/>
      <c r="N45" s="77">
        <f t="shared" si="11"/>
        <v>28194021</v>
      </c>
      <c r="O45" s="78">
        <f>'A2-FinPerf SC'!I45</f>
        <v>28194021</v>
      </c>
      <c r="P45" s="76">
        <f>'A2-FinPerf SC'!J45</f>
        <v>29885662.260000002</v>
      </c>
      <c r="Q45" s="77">
        <f>'A2-FinPerf SC'!K45</f>
        <v>31678801.995600004</v>
      </c>
    </row>
    <row r="46" spans="1:17" ht="11.25" customHeight="1" x14ac:dyDescent="0.25">
      <c r="A46" s="187" t="str">
        <f>'A2-FinPerf SC'!A46</f>
        <v>Waste management</v>
      </c>
      <c r="B46" s="542"/>
      <c r="C46" s="1326"/>
      <c r="D46" s="1316"/>
      <c r="E46" s="1316"/>
      <c r="F46" s="1316"/>
      <c r="G46" s="1316"/>
      <c r="H46" s="1316"/>
      <c r="I46" s="1316"/>
      <c r="J46" s="1316"/>
      <c r="K46" s="1316"/>
      <c r="L46" s="1316"/>
      <c r="M46" s="1316"/>
      <c r="N46" s="77">
        <f t="shared" si="11"/>
        <v>15935959.5</v>
      </c>
      <c r="O46" s="78">
        <f>'A2-FinPerf SC'!I46</f>
        <v>15935959.5</v>
      </c>
      <c r="P46" s="76">
        <f>'A2-FinPerf SC'!J46</f>
        <v>16892117.07</v>
      </c>
      <c r="Q46" s="77">
        <f>'A2-FinPerf SC'!K46</f>
        <v>17905644.0942</v>
      </c>
    </row>
    <row r="47" spans="1:17" ht="11.25" customHeight="1" x14ac:dyDescent="0.25">
      <c r="A47" s="728" t="str">
        <f>'A2-FinPerf SC'!A47</f>
        <v>Other</v>
      </c>
      <c r="B47" s="542"/>
      <c r="C47" s="1342"/>
      <c r="D47" s="1340"/>
      <c r="E47" s="1340"/>
      <c r="F47" s="1340"/>
      <c r="G47" s="1340"/>
      <c r="H47" s="1340"/>
      <c r="I47" s="1340"/>
      <c r="J47" s="1340"/>
      <c r="K47" s="1340"/>
      <c r="L47" s="1340"/>
      <c r="M47" s="1340"/>
      <c r="N47" s="87">
        <f t="shared" si="11"/>
        <v>2070401</v>
      </c>
      <c r="O47" s="88">
        <f>'A2-FinPerf SC'!I47</f>
        <v>2070401</v>
      </c>
      <c r="P47" s="86">
        <f>'A2-FinPerf SC'!J47</f>
        <v>2194625.06</v>
      </c>
      <c r="Q47" s="87">
        <f>'A2-FinPerf SC'!K47</f>
        <v>2326302.5636000005</v>
      </c>
    </row>
    <row r="48" spans="1:17" x14ac:dyDescent="0.25">
      <c r="A48" s="118" t="str">
        <f>'A2-FinPerf SC'!A48</f>
        <v>Total Expenditure - Functional</v>
      </c>
      <c r="B48" s="543"/>
      <c r="C48" s="83">
        <f>C28+C32+C38+C42+C47</f>
        <v>0</v>
      </c>
      <c r="D48" s="81">
        <f t="shared" ref="D48:P48" si="13">D28+D32+D38+D42+D47</f>
        <v>0</v>
      </c>
      <c r="E48" s="81">
        <f t="shared" si="13"/>
        <v>0</v>
      </c>
      <c r="F48" s="81">
        <f t="shared" si="13"/>
        <v>0</v>
      </c>
      <c r="G48" s="81">
        <f t="shared" si="13"/>
        <v>0</v>
      </c>
      <c r="H48" s="81">
        <f t="shared" si="13"/>
        <v>0</v>
      </c>
      <c r="I48" s="81">
        <f t="shared" si="13"/>
        <v>0</v>
      </c>
      <c r="J48" s="81">
        <f t="shared" si="13"/>
        <v>0</v>
      </c>
      <c r="K48" s="81">
        <f t="shared" si="13"/>
        <v>0</v>
      </c>
      <c r="L48" s="81">
        <f t="shared" si="13"/>
        <v>0</v>
      </c>
      <c r="M48" s="81">
        <f t="shared" si="13"/>
        <v>0</v>
      </c>
      <c r="N48" s="82">
        <f t="shared" si="13"/>
        <v>392659855.5</v>
      </c>
      <c r="O48" s="83">
        <f t="shared" si="13"/>
        <v>392659855.5</v>
      </c>
      <c r="P48" s="81">
        <f t="shared" si="13"/>
        <v>416219446.82999998</v>
      </c>
      <c r="Q48" s="82">
        <f>Q28+Q32+Q38+Q42+Q47</f>
        <v>441192613.63980007</v>
      </c>
    </row>
    <row r="49" spans="1:17" ht="6" customHeight="1" x14ac:dyDescent="0.25">
      <c r="A49" s="74"/>
      <c r="B49" s="542"/>
      <c r="C49" s="78"/>
      <c r="D49" s="76"/>
      <c r="E49" s="76"/>
      <c r="F49" s="76"/>
      <c r="G49" s="76"/>
      <c r="H49" s="76"/>
      <c r="I49" s="76"/>
      <c r="J49" s="76"/>
      <c r="K49" s="76"/>
      <c r="L49" s="76"/>
      <c r="M49" s="76"/>
      <c r="N49" s="77"/>
      <c r="O49" s="78"/>
      <c r="P49" s="76"/>
      <c r="Q49" s="77"/>
    </row>
    <row r="50" spans="1:17" x14ac:dyDescent="0.25">
      <c r="A50" s="213" t="str">
        <f>'A4-FinPerf RE'!A37&amp;" before assoc."</f>
        <v>Surplus/(Deficit) before assoc.</v>
      </c>
      <c r="B50" s="545"/>
      <c r="C50" s="83">
        <f t="shared" ref="C50:Q50" si="14">C25-C48</f>
        <v>0</v>
      </c>
      <c r="D50" s="81">
        <f t="shared" si="14"/>
        <v>0</v>
      </c>
      <c r="E50" s="81">
        <f t="shared" si="14"/>
        <v>0</v>
      </c>
      <c r="F50" s="81">
        <f t="shared" si="14"/>
        <v>0</v>
      </c>
      <c r="G50" s="81">
        <f t="shared" si="14"/>
        <v>0</v>
      </c>
      <c r="H50" s="81">
        <f t="shared" si="14"/>
        <v>0</v>
      </c>
      <c r="I50" s="81">
        <f t="shared" si="14"/>
        <v>0</v>
      </c>
      <c r="J50" s="81">
        <f t="shared" si="14"/>
        <v>0</v>
      </c>
      <c r="K50" s="81">
        <f t="shared" si="14"/>
        <v>0</v>
      </c>
      <c r="L50" s="81">
        <f t="shared" si="14"/>
        <v>0</v>
      </c>
      <c r="M50" s="81">
        <f t="shared" si="14"/>
        <v>0</v>
      </c>
      <c r="N50" s="82">
        <f t="shared" si="14"/>
        <v>552472.87799966335</v>
      </c>
      <c r="O50" s="83">
        <f t="shared" si="14"/>
        <v>552472.87799966335</v>
      </c>
      <c r="P50" s="81">
        <f t="shared" si="14"/>
        <v>585621.25067967176</v>
      </c>
      <c r="Q50" s="82">
        <f t="shared" si="14"/>
        <v>620758.52572035789</v>
      </c>
    </row>
    <row r="51" spans="1:17" ht="6" customHeight="1" x14ac:dyDescent="0.25">
      <c r="A51" s="74"/>
      <c r="B51" s="542"/>
      <c r="C51" s="78"/>
      <c r="D51" s="76"/>
      <c r="E51" s="76"/>
      <c r="F51" s="76"/>
      <c r="G51" s="76"/>
      <c r="H51" s="76"/>
      <c r="I51" s="76"/>
      <c r="J51" s="76"/>
      <c r="K51" s="76"/>
      <c r="L51" s="76"/>
      <c r="M51" s="76"/>
      <c r="N51" s="77"/>
      <c r="O51" s="78"/>
      <c r="P51" s="76"/>
      <c r="Q51" s="77"/>
    </row>
    <row r="52" spans="1:17" x14ac:dyDescent="0.25">
      <c r="A52" s="266" t="str">
        <f>'A4-FinPerf RE'!A46</f>
        <v>Share of surplus/ (deficit) of associate</v>
      </c>
      <c r="B52" s="552"/>
      <c r="C52" s="1326"/>
      <c r="D52" s="1316"/>
      <c r="E52" s="1316"/>
      <c r="F52" s="1316"/>
      <c r="G52" s="1316"/>
      <c r="H52" s="1316"/>
      <c r="I52" s="1316"/>
      <c r="J52" s="1316"/>
      <c r="K52" s="1316"/>
      <c r="L52" s="1316"/>
      <c r="M52" s="1316"/>
      <c r="N52" s="77">
        <f>O52-SUM(C52:M52)</f>
        <v>0</v>
      </c>
      <c r="O52" s="78">
        <f>'A4-FinPerf RE'!J46</f>
        <v>0</v>
      </c>
      <c r="P52" s="76">
        <f>'A4-FinPerf RE'!K46</f>
        <v>0</v>
      </c>
      <c r="Q52" s="77">
        <f>'A4-FinPerf RE'!L46</f>
        <v>0</v>
      </c>
    </row>
    <row r="53" spans="1:17" x14ac:dyDescent="0.25">
      <c r="A53" s="527" t="str">
        <f>'A4-FinPerf RE'!A37</f>
        <v>Surplus/(Deficit)</v>
      </c>
      <c r="B53" s="553">
        <v>1</v>
      </c>
      <c r="C53" s="97">
        <f>C50+C52</f>
        <v>0</v>
      </c>
      <c r="D53" s="95">
        <f t="shared" ref="D53:Q53" si="15">D50+D52</f>
        <v>0</v>
      </c>
      <c r="E53" s="95">
        <f t="shared" si="15"/>
        <v>0</v>
      </c>
      <c r="F53" s="95">
        <f t="shared" si="15"/>
        <v>0</v>
      </c>
      <c r="G53" s="95">
        <f t="shared" si="15"/>
        <v>0</v>
      </c>
      <c r="H53" s="95">
        <f t="shared" si="15"/>
        <v>0</v>
      </c>
      <c r="I53" s="95">
        <f t="shared" si="15"/>
        <v>0</v>
      </c>
      <c r="J53" s="95">
        <f t="shared" si="15"/>
        <v>0</v>
      </c>
      <c r="K53" s="95">
        <f t="shared" si="15"/>
        <v>0</v>
      </c>
      <c r="L53" s="95">
        <f t="shared" si="15"/>
        <v>0</v>
      </c>
      <c r="M53" s="95">
        <f t="shared" si="15"/>
        <v>0</v>
      </c>
      <c r="N53" s="96">
        <f t="shared" si="15"/>
        <v>552472.87799966335</v>
      </c>
      <c r="O53" s="97">
        <f t="shared" si="15"/>
        <v>552472.87799966335</v>
      </c>
      <c r="P53" s="95">
        <f t="shared" si="15"/>
        <v>585621.25067967176</v>
      </c>
      <c r="Q53" s="96">
        <f t="shared" si="15"/>
        <v>620758.52572035789</v>
      </c>
    </row>
    <row r="54" spans="1:17" x14ac:dyDescent="0.25">
      <c r="A54" s="554" t="str">
        <f>head27a</f>
        <v>References</v>
      </c>
      <c r="B54" s="556"/>
      <c r="C54" s="104"/>
      <c r="D54" s="104"/>
      <c r="E54" s="104"/>
      <c r="F54" s="104"/>
      <c r="G54" s="104"/>
      <c r="H54" s="104"/>
      <c r="I54" s="104"/>
      <c r="J54" s="104"/>
      <c r="K54" s="104"/>
      <c r="L54" s="104"/>
      <c r="M54" s="104"/>
      <c r="N54" s="104"/>
      <c r="O54" s="104"/>
      <c r="P54" s="104"/>
      <c r="Q54" s="104"/>
    </row>
    <row r="55" spans="1:17" x14ac:dyDescent="0.25">
      <c r="A55" s="132" t="s">
        <v>1426</v>
      </c>
    </row>
    <row r="56" spans="1:17" x14ac:dyDescent="0.25">
      <c r="A56" s="108" t="s">
        <v>1354</v>
      </c>
      <c r="B56" s="107"/>
      <c r="O56" s="555">
        <f>O53-'A4-FinPerf RE'!J47</f>
        <v>0.47379964590072632</v>
      </c>
      <c r="P56" s="555">
        <f>P53-'A4-FinPerf RE'!K47</f>
        <v>0.50222760438919067</v>
      </c>
      <c r="Q56" s="555">
        <f>Q53-'A4-FinPerf RE'!L47</f>
        <v>0.53236115723848343</v>
      </c>
    </row>
  </sheetData>
  <mergeCells count="2">
    <mergeCell ref="C2:N2"/>
    <mergeCell ref="O2:Q2"/>
  </mergeCells>
  <phoneticPr fontId="3" type="noConversion"/>
  <printOptions horizontalCentered="1"/>
  <pageMargins left="0" right="0" top="0.78740157480314965" bottom="0.59055118110236227" header="0.51181102362204722" footer="0.39370078740157483"/>
  <pageSetup paperSize="9" scale="78" orientation="landscape"/>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R47"/>
  <sheetViews>
    <sheetView showGridLines="0" zoomScaleNormal="100" workbookViewId="0">
      <pane xSplit="2" ySplit="3" topLeftCell="C19" activePane="bottomRight" state="frozen"/>
      <selection pane="topRight"/>
      <selection pane="bottomLeft"/>
      <selection pane="bottomRight" activeCell="D28" sqref="D28:M28"/>
    </sheetView>
  </sheetViews>
  <sheetFormatPr defaultRowHeight="12.75" x14ac:dyDescent="0.25"/>
  <cols>
    <col min="1" max="1" width="30.7109375" style="25" customWidth="1"/>
    <col min="2" max="2" width="3" style="102" customWidth="1"/>
    <col min="3" max="14" width="8.28515625" style="25" customWidth="1"/>
    <col min="15" max="17" width="9.28515625" style="25" customWidth="1"/>
    <col min="18" max="16384" width="9.140625" style="25"/>
  </cols>
  <sheetData>
    <row r="1" spans="1:17" ht="13.5" customHeight="1" x14ac:dyDescent="0.25">
      <c r="A1" s="23" t="str">
        <f>muni&amp;" - "&amp; TableA28</f>
        <v>EC101 Dr Beyers Naude - Supporting Table SA28 Budgeted monthly capital expenditure (municipal vote)</v>
      </c>
      <c r="B1" s="23"/>
      <c r="C1" s="23"/>
      <c r="D1" s="23"/>
      <c r="E1" s="23"/>
      <c r="F1" s="23"/>
      <c r="G1" s="23"/>
      <c r="H1" s="23"/>
      <c r="I1" s="23"/>
      <c r="J1" s="23"/>
      <c r="K1" s="23"/>
      <c r="L1" s="23"/>
      <c r="M1" s="23"/>
      <c r="N1" s="23"/>
      <c r="O1" s="23"/>
      <c r="P1" s="23"/>
      <c r="Q1" s="23"/>
    </row>
    <row r="2" spans="1:17" ht="27" customHeight="1" x14ac:dyDescent="0.25">
      <c r="A2" s="614" t="str">
        <f>desc</f>
        <v>Description</v>
      </c>
      <c r="B2" s="625" t="str">
        <f>head27</f>
        <v>Ref</v>
      </c>
      <c r="C2" s="1907" t="str">
        <f>Head9</f>
        <v>Budget Year 2019/20</v>
      </c>
      <c r="D2" s="1908"/>
      <c r="E2" s="1908"/>
      <c r="F2" s="1908"/>
      <c r="G2" s="1908"/>
      <c r="H2" s="1908"/>
      <c r="I2" s="1908"/>
      <c r="J2" s="1908"/>
      <c r="K2" s="1908"/>
      <c r="L2" s="1908"/>
      <c r="M2" s="1908"/>
      <c r="N2" s="1908"/>
      <c r="O2" s="1904" t="s">
        <v>1580</v>
      </c>
      <c r="P2" s="1905"/>
      <c r="Q2" s="1906"/>
    </row>
    <row r="3" spans="1:17" ht="25.5" x14ac:dyDescent="0.25">
      <c r="A3" s="621" t="s">
        <v>573</v>
      </c>
      <c r="B3" s="626"/>
      <c r="C3" s="141" t="s">
        <v>629</v>
      </c>
      <c r="D3" s="585" t="s">
        <v>1252</v>
      </c>
      <c r="E3" s="585" t="s">
        <v>1253</v>
      </c>
      <c r="F3" s="585" t="s">
        <v>1254</v>
      </c>
      <c r="G3" s="585" t="s">
        <v>360</v>
      </c>
      <c r="H3" s="585" t="s">
        <v>361</v>
      </c>
      <c r="I3" s="585" t="s">
        <v>612</v>
      </c>
      <c r="J3" s="585" t="s">
        <v>362</v>
      </c>
      <c r="K3" s="585" t="s">
        <v>614</v>
      </c>
      <c r="L3" s="585" t="s">
        <v>615</v>
      </c>
      <c r="M3" s="585" t="s">
        <v>616</v>
      </c>
      <c r="N3" s="202" t="s">
        <v>617</v>
      </c>
      <c r="O3" s="141" t="str">
        <f>Head9</f>
        <v>Budget Year 2019/20</v>
      </c>
      <c r="P3" s="203" t="str">
        <f>Head10</f>
        <v>Budget Year +1 2020/21</v>
      </c>
      <c r="Q3" s="204" t="str">
        <f>Head11</f>
        <v>Budget Year +2 2021/22</v>
      </c>
    </row>
    <row r="4" spans="1:17" x14ac:dyDescent="0.25">
      <c r="A4" s="54" t="s">
        <v>302</v>
      </c>
      <c r="B4" s="623">
        <v>1</v>
      </c>
      <c r="C4" s="78"/>
      <c r="D4" s="76"/>
      <c r="E4" s="76"/>
      <c r="F4" s="76"/>
      <c r="G4" s="76"/>
      <c r="H4" s="76"/>
      <c r="I4" s="76"/>
      <c r="J4" s="76"/>
      <c r="K4" s="76"/>
      <c r="L4" s="76"/>
      <c r="M4" s="76"/>
      <c r="N4" s="75"/>
      <c r="O4" s="78"/>
      <c r="P4" s="76"/>
      <c r="Q4" s="77"/>
    </row>
    <row r="5" spans="1:17" x14ac:dyDescent="0.25">
      <c r="A5" s="63" t="str">
        <f>'A5-Capex'!A6</f>
        <v>Vote 1 - COUNCIL</v>
      </c>
      <c r="B5" s="542"/>
      <c r="C5" s="1326"/>
      <c r="D5" s="1316"/>
      <c r="E5" s="1316"/>
      <c r="F5" s="1316"/>
      <c r="G5" s="1316"/>
      <c r="H5" s="1316"/>
      <c r="I5" s="1316"/>
      <c r="J5" s="1316"/>
      <c r="K5" s="1316"/>
      <c r="L5" s="1316"/>
      <c r="M5" s="1316"/>
      <c r="N5" s="75">
        <f>O5-SUM(C5:M5)</f>
        <v>0</v>
      </c>
      <c r="O5" s="78">
        <f>'A5-Capex'!J6</f>
        <v>0</v>
      </c>
      <c r="P5" s="76">
        <f>'A5-Capex'!K6</f>
        <v>0</v>
      </c>
      <c r="Q5" s="77">
        <f>'A5-Capex'!L6</f>
        <v>0</v>
      </c>
    </row>
    <row r="6" spans="1:17" x14ac:dyDescent="0.25">
      <c r="A6" s="63" t="str">
        <f>'A5-Capex'!A7</f>
        <v>Vote 2 - OFFICE OF THE MUNICIPAL MANAGER</v>
      </c>
      <c r="B6" s="542"/>
      <c r="C6" s="1326"/>
      <c r="D6" s="1316"/>
      <c r="E6" s="1316"/>
      <c r="F6" s="1316"/>
      <c r="G6" s="1316"/>
      <c r="H6" s="1316"/>
      <c r="I6" s="1316"/>
      <c r="J6" s="1316"/>
      <c r="K6" s="1316"/>
      <c r="L6" s="1316"/>
      <c r="M6" s="1316"/>
      <c r="N6" s="75">
        <f t="shared" ref="N6:N11" si="0">O6-SUM(C6:M6)</f>
        <v>0</v>
      </c>
      <c r="O6" s="78">
        <f>'A5-Capex'!J7</f>
        <v>0</v>
      </c>
      <c r="P6" s="76">
        <f>'A5-Capex'!K7</f>
        <v>0</v>
      </c>
      <c r="Q6" s="77">
        <f>'A5-Capex'!L7</f>
        <v>0</v>
      </c>
    </row>
    <row r="7" spans="1:17" x14ac:dyDescent="0.25">
      <c r="A7" s="63" t="str">
        <f>'A5-Capex'!A8</f>
        <v>Vote 3 - FINANCIAL SERVICES</v>
      </c>
      <c r="B7" s="542"/>
      <c r="C7" s="1326"/>
      <c r="D7" s="1316"/>
      <c r="E7" s="1316"/>
      <c r="F7" s="1316"/>
      <c r="G7" s="1316"/>
      <c r="H7" s="1316"/>
      <c r="I7" s="1316"/>
      <c r="J7" s="1316"/>
      <c r="K7" s="1316"/>
      <c r="L7" s="1316"/>
      <c r="M7" s="1316"/>
      <c r="N7" s="75">
        <f t="shared" si="0"/>
        <v>0</v>
      </c>
      <c r="O7" s="78">
        <f>'A5-Capex'!J8</f>
        <v>0</v>
      </c>
      <c r="P7" s="76">
        <f>'A5-Capex'!K8</f>
        <v>0</v>
      </c>
      <c r="Q7" s="77">
        <f>'A5-Capex'!L8</f>
        <v>0</v>
      </c>
    </row>
    <row r="8" spans="1:17" x14ac:dyDescent="0.25">
      <c r="A8" s="63" t="str">
        <f>'A5-Capex'!A9</f>
        <v>Vote 4 - CORPORATE SERVICES</v>
      </c>
      <c r="B8" s="542"/>
      <c r="C8" s="1326"/>
      <c r="D8" s="1316"/>
      <c r="E8" s="1316"/>
      <c r="F8" s="1316"/>
      <c r="G8" s="1316"/>
      <c r="H8" s="1316"/>
      <c r="I8" s="1316"/>
      <c r="J8" s="1316"/>
      <c r="K8" s="1316"/>
      <c r="L8" s="1316"/>
      <c r="M8" s="1316"/>
      <c r="N8" s="75">
        <f t="shared" si="0"/>
        <v>0</v>
      </c>
      <c r="O8" s="78">
        <f>'A5-Capex'!J9</f>
        <v>0</v>
      </c>
      <c r="P8" s="76">
        <f>'A5-Capex'!K9</f>
        <v>0</v>
      </c>
      <c r="Q8" s="77">
        <f>'A5-Capex'!L9</f>
        <v>0</v>
      </c>
    </row>
    <row r="9" spans="1:17" x14ac:dyDescent="0.25">
      <c r="A9" s="63" t="str">
        <f>'A5-Capex'!A10</f>
        <v>Vote 5 - INFRASTRUCTURE SERVICES</v>
      </c>
      <c r="B9" s="542"/>
      <c r="C9" s="1326"/>
      <c r="D9" s="1316"/>
      <c r="E9" s="1316"/>
      <c r="F9" s="1316"/>
      <c r="G9" s="1316"/>
      <c r="H9" s="1316"/>
      <c r="I9" s="1316"/>
      <c r="J9" s="1316"/>
      <c r="K9" s="1316"/>
      <c r="L9" s="1316"/>
      <c r="M9" s="1316"/>
      <c r="N9" s="75">
        <f t="shared" si="0"/>
        <v>0</v>
      </c>
      <c r="O9" s="78">
        <f>'A5-Capex'!J10</f>
        <v>0</v>
      </c>
      <c r="P9" s="76">
        <f>'A5-Capex'!K10</f>
        <v>0</v>
      </c>
      <c r="Q9" s="77">
        <f>'A5-Capex'!L10</f>
        <v>0</v>
      </c>
    </row>
    <row r="10" spans="1:17" x14ac:dyDescent="0.25">
      <c r="A10" s="63" t="str">
        <f>'A5-Capex'!A11</f>
        <v>Vote 6 - COMMUNITY SERVICES</v>
      </c>
      <c r="B10" s="542"/>
      <c r="C10" s="1326"/>
      <c r="D10" s="1316"/>
      <c r="E10" s="1316"/>
      <c r="F10" s="1316"/>
      <c r="G10" s="1316"/>
      <c r="H10" s="1316"/>
      <c r="I10" s="1316"/>
      <c r="J10" s="1316"/>
      <c r="K10" s="1316"/>
      <c r="L10" s="1316"/>
      <c r="M10" s="1316"/>
      <c r="N10" s="75">
        <f t="shared" si="0"/>
        <v>0</v>
      </c>
      <c r="O10" s="78">
        <f>'A5-Capex'!J11</f>
        <v>0</v>
      </c>
      <c r="P10" s="76">
        <f>'A5-Capex'!K11</f>
        <v>0</v>
      </c>
      <c r="Q10" s="77">
        <f>'A5-Capex'!L11</f>
        <v>0</v>
      </c>
    </row>
    <row r="11" spans="1:17" x14ac:dyDescent="0.25">
      <c r="A11" s="63" t="str">
        <f>'A5-Capex'!A12</f>
        <v>Vote 7 - [NAME OF VOTE 7]</v>
      </c>
      <c r="B11" s="542"/>
      <c r="C11" s="1326"/>
      <c r="D11" s="1316"/>
      <c r="E11" s="1316"/>
      <c r="F11" s="1316"/>
      <c r="G11" s="1316"/>
      <c r="H11" s="1316"/>
      <c r="I11" s="1316"/>
      <c r="J11" s="1316"/>
      <c r="K11" s="1316"/>
      <c r="L11" s="1316"/>
      <c r="M11" s="1316"/>
      <c r="N11" s="75">
        <f t="shared" si="0"/>
        <v>0</v>
      </c>
      <c r="O11" s="78">
        <f>'A5-Capex'!J12</f>
        <v>0</v>
      </c>
      <c r="P11" s="76">
        <f>'A5-Capex'!K12</f>
        <v>0</v>
      </c>
      <c r="Q11" s="77">
        <f>'A5-Capex'!L12</f>
        <v>0</v>
      </c>
    </row>
    <row r="12" spans="1:17" x14ac:dyDescent="0.25">
      <c r="A12" s="63" t="str">
        <f>'A5-Capex'!A13</f>
        <v>Vote 8 - [NAME OF VOTE 8]</v>
      </c>
      <c r="B12" s="542"/>
      <c r="C12" s="1326"/>
      <c r="D12" s="1316"/>
      <c r="E12" s="1316"/>
      <c r="F12" s="1316"/>
      <c r="G12" s="1316"/>
      <c r="H12" s="1316"/>
      <c r="I12" s="1316"/>
      <c r="J12" s="1316"/>
      <c r="K12" s="1316"/>
      <c r="L12" s="1316"/>
      <c r="M12" s="1316"/>
      <c r="N12" s="75">
        <f>O12-SUM(C12:M12)</f>
        <v>0</v>
      </c>
      <c r="O12" s="78">
        <f>'A5-Capex'!J13</f>
        <v>0</v>
      </c>
      <c r="P12" s="76">
        <f>'A5-Capex'!K13</f>
        <v>0</v>
      </c>
      <c r="Q12" s="77">
        <f>'A5-Capex'!L13</f>
        <v>0</v>
      </c>
    </row>
    <row r="13" spans="1:17" x14ac:dyDescent="0.25">
      <c r="A13" s="63" t="str">
        <f>'A5-Capex'!A14</f>
        <v>Vote 9 - [NAME OF VOTE 9]</v>
      </c>
      <c r="B13" s="542"/>
      <c r="C13" s="1326"/>
      <c r="D13" s="1316"/>
      <c r="E13" s="1316"/>
      <c r="F13" s="1316"/>
      <c r="G13" s="1316"/>
      <c r="H13" s="1316"/>
      <c r="I13" s="1316"/>
      <c r="J13" s="1316"/>
      <c r="K13" s="1316"/>
      <c r="L13" s="1316"/>
      <c r="M13" s="1316"/>
      <c r="N13" s="75">
        <f>O13-SUM(C13:M13)</f>
        <v>0</v>
      </c>
      <c r="O13" s="78">
        <f>'A5-Capex'!J14</f>
        <v>0</v>
      </c>
      <c r="P13" s="76">
        <f>'A5-Capex'!K14</f>
        <v>0</v>
      </c>
      <c r="Q13" s="77">
        <f>'A5-Capex'!L14</f>
        <v>0</v>
      </c>
    </row>
    <row r="14" spans="1:17" x14ac:dyDescent="0.25">
      <c r="A14" s="63" t="str">
        <f>'A5-Capex'!A15</f>
        <v>Vote 10 - [NAME OF VOTE 10]</v>
      </c>
      <c r="B14" s="542"/>
      <c r="C14" s="1326"/>
      <c r="D14" s="1316"/>
      <c r="E14" s="1316"/>
      <c r="F14" s="1316"/>
      <c r="G14" s="1316"/>
      <c r="H14" s="1316"/>
      <c r="I14" s="1316"/>
      <c r="J14" s="1316"/>
      <c r="K14" s="1316"/>
      <c r="L14" s="1316"/>
      <c r="M14" s="1316"/>
      <c r="N14" s="75">
        <f t="shared" ref="N14:N19" si="1">O14-SUM(C14:M14)</f>
        <v>0</v>
      </c>
      <c r="O14" s="78">
        <f>'A5-Capex'!J15</f>
        <v>0</v>
      </c>
      <c r="P14" s="76">
        <f>'A5-Capex'!K15</f>
        <v>0</v>
      </c>
      <c r="Q14" s="77">
        <f>'A5-Capex'!L15</f>
        <v>0</v>
      </c>
    </row>
    <row r="15" spans="1:17" x14ac:dyDescent="0.25">
      <c r="A15" s="63" t="str">
        <f>'A5-Capex'!A16</f>
        <v>Vote 11 - [NAME OF VOTE 11]</v>
      </c>
      <c r="B15" s="542"/>
      <c r="C15" s="1326"/>
      <c r="D15" s="1316"/>
      <c r="E15" s="1316"/>
      <c r="F15" s="1316"/>
      <c r="G15" s="1316"/>
      <c r="H15" s="1316"/>
      <c r="I15" s="1316"/>
      <c r="J15" s="1316"/>
      <c r="K15" s="1316"/>
      <c r="L15" s="1316"/>
      <c r="M15" s="1316"/>
      <c r="N15" s="75">
        <f t="shared" si="1"/>
        <v>0</v>
      </c>
      <c r="O15" s="78">
        <f>'A5-Capex'!J16</f>
        <v>0</v>
      </c>
      <c r="P15" s="76">
        <f>'A5-Capex'!K16</f>
        <v>0</v>
      </c>
      <c r="Q15" s="77">
        <f>'A5-Capex'!L16</f>
        <v>0</v>
      </c>
    </row>
    <row r="16" spans="1:17" x14ac:dyDescent="0.25">
      <c r="A16" s="63" t="str">
        <f>'A5-Capex'!A17</f>
        <v>Vote 12 - [NAME OF VOTE 12]</v>
      </c>
      <c r="B16" s="542"/>
      <c r="C16" s="1326"/>
      <c r="D16" s="1316"/>
      <c r="E16" s="1316"/>
      <c r="F16" s="1316"/>
      <c r="G16" s="1316"/>
      <c r="H16" s="1316"/>
      <c r="I16" s="1316"/>
      <c r="J16" s="1316"/>
      <c r="K16" s="1316"/>
      <c r="L16" s="1316"/>
      <c r="M16" s="1316"/>
      <c r="N16" s="75">
        <f t="shared" si="1"/>
        <v>0</v>
      </c>
      <c r="O16" s="78">
        <f>'A5-Capex'!J17</f>
        <v>0</v>
      </c>
      <c r="P16" s="76">
        <f>'A5-Capex'!K17</f>
        <v>0</v>
      </c>
      <c r="Q16" s="77">
        <f>'A5-Capex'!L17</f>
        <v>0</v>
      </c>
    </row>
    <row r="17" spans="1:17" x14ac:dyDescent="0.25">
      <c r="A17" s="63" t="str">
        <f>'A5-Capex'!A18</f>
        <v>Vote 13 - [NAME OF VOTE 13]</v>
      </c>
      <c r="B17" s="542"/>
      <c r="C17" s="1326"/>
      <c r="D17" s="1316"/>
      <c r="E17" s="1316"/>
      <c r="F17" s="1316"/>
      <c r="G17" s="1316"/>
      <c r="H17" s="1316"/>
      <c r="I17" s="1316"/>
      <c r="J17" s="1316"/>
      <c r="K17" s="1316"/>
      <c r="L17" s="1316"/>
      <c r="M17" s="1316"/>
      <c r="N17" s="75">
        <f t="shared" si="1"/>
        <v>0</v>
      </c>
      <c r="O17" s="78">
        <f>'A5-Capex'!J18</f>
        <v>0</v>
      </c>
      <c r="P17" s="76">
        <f>'A5-Capex'!K18</f>
        <v>0</v>
      </c>
      <c r="Q17" s="77">
        <f>'A5-Capex'!L18</f>
        <v>0</v>
      </c>
    </row>
    <row r="18" spans="1:17" x14ac:dyDescent="0.25">
      <c r="A18" s="63" t="str">
        <f>'A5-Capex'!A19</f>
        <v>Vote 14 - [NAME OF VOTE 14]</v>
      </c>
      <c r="B18" s="542"/>
      <c r="C18" s="1326"/>
      <c r="D18" s="1316"/>
      <c r="E18" s="1316"/>
      <c r="F18" s="1316"/>
      <c r="G18" s="1316"/>
      <c r="H18" s="1316"/>
      <c r="I18" s="1316"/>
      <c r="J18" s="1316"/>
      <c r="K18" s="1316"/>
      <c r="L18" s="1316"/>
      <c r="M18" s="1316"/>
      <c r="N18" s="75">
        <f t="shared" si="1"/>
        <v>0</v>
      </c>
      <c r="O18" s="78">
        <f>'A5-Capex'!J19</f>
        <v>0</v>
      </c>
      <c r="P18" s="76">
        <f>'A5-Capex'!K19</f>
        <v>0</v>
      </c>
      <c r="Q18" s="77">
        <f>'A5-Capex'!L19</f>
        <v>0</v>
      </c>
    </row>
    <row r="19" spans="1:17" x14ac:dyDescent="0.25">
      <c r="A19" s="63" t="str">
        <f>'A5-Capex'!A20</f>
        <v>Vote 15 - [NAME OF VOTE 15]</v>
      </c>
      <c r="B19" s="542"/>
      <c r="C19" s="1326"/>
      <c r="D19" s="1316"/>
      <c r="E19" s="1316"/>
      <c r="F19" s="1316"/>
      <c r="G19" s="1316"/>
      <c r="H19" s="1316"/>
      <c r="I19" s="1316"/>
      <c r="J19" s="1316"/>
      <c r="K19" s="1316"/>
      <c r="L19" s="1316"/>
      <c r="M19" s="1316"/>
      <c r="N19" s="75">
        <f t="shared" si="1"/>
        <v>0</v>
      </c>
      <c r="O19" s="78">
        <f>'A5-Capex'!J20</f>
        <v>0</v>
      </c>
      <c r="P19" s="76">
        <f>'A5-Capex'!K20</f>
        <v>0</v>
      </c>
      <c r="Q19" s="77">
        <f>'A5-Capex'!L20</f>
        <v>0</v>
      </c>
    </row>
    <row r="20" spans="1:17" x14ac:dyDescent="0.25">
      <c r="A20" s="70" t="s">
        <v>169</v>
      </c>
      <c r="B20" s="742">
        <v>2</v>
      </c>
      <c r="C20" s="83">
        <f>SUM(C5:C19)</f>
        <v>0</v>
      </c>
      <c r="D20" s="81">
        <f t="shared" ref="D20:Q20" si="2">SUM(D5:D19)</f>
        <v>0</v>
      </c>
      <c r="E20" s="81">
        <f t="shared" si="2"/>
        <v>0</v>
      </c>
      <c r="F20" s="81">
        <f t="shared" si="2"/>
        <v>0</v>
      </c>
      <c r="G20" s="81">
        <f t="shared" si="2"/>
        <v>0</v>
      </c>
      <c r="H20" s="81">
        <f t="shared" si="2"/>
        <v>0</v>
      </c>
      <c r="I20" s="81">
        <f t="shared" si="2"/>
        <v>0</v>
      </c>
      <c r="J20" s="81">
        <f t="shared" si="2"/>
        <v>0</v>
      </c>
      <c r="K20" s="81">
        <f t="shared" si="2"/>
        <v>0</v>
      </c>
      <c r="L20" s="81">
        <f t="shared" si="2"/>
        <v>0</v>
      </c>
      <c r="M20" s="81">
        <f>SUM(M5:M19)</f>
        <v>0</v>
      </c>
      <c r="N20" s="80">
        <f t="shared" si="2"/>
        <v>0</v>
      </c>
      <c r="O20" s="83">
        <f t="shared" si="2"/>
        <v>0</v>
      </c>
      <c r="P20" s="81">
        <f t="shared" si="2"/>
        <v>0</v>
      </c>
      <c r="Q20" s="82">
        <f t="shared" si="2"/>
        <v>0</v>
      </c>
    </row>
    <row r="21" spans="1:17" ht="3.75" customHeight="1" x14ac:dyDescent="0.25">
      <c r="A21" s="740"/>
      <c r="B21" s="741"/>
      <c r="C21" s="88"/>
      <c r="D21" s="86"/>
      <c r="E21" s="86"/>
      <c r="F21" s="86"/>
      <c r="G21" s="86"/>
      <c r="H21" s="86"/>
      <c r="I21" s="86"/>
      <c r="J21" s="86"/>
      <c r="K21" s="86"/>
      <c r="L21" s="86"/>
      <c r="M21" s="86"/>
      <c r="N21" s="85"/>
      <c r="O21" s="88"/>
      <c r="P21" s="86"/>
      <c r="Q21" s="87"/>
    </row>
    <row r="22" spans="1:17" x14ac:dyDescent="0.25">
      <c r="A22" s="54" t="s">
        <v>809</v>
      </c>
      <c r="B22" s="623"/>
      <c r="C22" s="78"/>
      <c r="D22" s="76"/>
      <c r="E22" s="76"/>
      <c r="F22" s="76"/>
      <c r="G22" s="76"/>
      <c r="H22" s="76"/>
      <c r="I22" s="76"/>
      <c r="J22" s="76"/>
      <c r="K22" s="76"/>
      <c r="L22" s="76"/>
      <c r="M22" s="76"/>
      <c r="N22" s="75"/>
      <c r="O22" s="78"/>
      <c r="P22" s="76"/>
      <c r="Q22" s="77"/>
    </row>
    <row r="23" spans="1:17" x14ac:dyDescent="0.25">
      <c r="A23" s="63" t="str">
        <f>'A5-Capex'!A24</f>
        <v>Vote 1 - COUNCIL</v>
      </c>
      <c r="B23" s="542"/>
      <c r="C23" s="1326"/>
      <c r="D23" s="1316"/>
      <c r="E23" s="1316"/>
      <c r="F23" s="1316"/>
      <c r="G23" s="1316"/>
      <c r="H23" s="1316"/>
      <c r="I23" s="1316"/>
      <c r="J23" s="1316"/>
      <c r="K23" s="1316"/>
      <c r="L23" s="1316"/>
      <c r="M23" s="1316"/>
      <c r="N23" s="75">
        <f>O23-SUM(C23:M23)</f>
        <v>0</v>
      </c>
      <c r="O23" s="78">
        <f>'A5-Capex'!J24</f>
        <v>0</v>
      </c>
      <c r="P23" s="76">
        <f>'A5-Capex'!K24</f>
        <v>0</v>
      </c>
      <c r="Q23" s="77">
        <f>'A5-Capex'!L24</f>
        <v>0</v>
      </c>
    </row>
    <row r="24" spans="1:17" x14ac:dyDescent="0.25">
      <c r="A24" s="63" t="str">
        <f>'A5-Capex'!A25</f>
        <v>Vote 2 - OFFICE OF THE MUNICIPAL MANAGER</v>
      </c>
      <c r="B24" s="542"/>
      <c r="C24" s="1326"/>
      <c r="D24" s="1316"/>
      <c r="E24" s="1316"/>
      <c r="F24" s="1316"/>
      <c r="G24" s="1316"/>
      <c r="H24" s="1316"/>
      <c r="I24" s="1316"/>
      <c r="J24" s="1316"/>
      <c r="K24" s="1316"/>
      <c r="L24" s="1316"/>
      <c r="M24" s="1316"/>
      <c r="N24" s="75">
        <f t="shared" ref="N24:N29" si="3">O24-SUM(C24:M24)</f>
        <v>0</v>
      </c>
      <c r="O24" s="78">
        <f>'A5-Capex'!J25</f>
        <v>0</v>
      </c>
      <c r="P24" s="76">
        <f>'A5-Capex'!K25</f>
        <v>0</v>
      </c>
      <c r="Q24" s="77">
        <f>'A5-Capex'!L25</f>
        <v>0</v>
      </c>
    </row>
    <row r="25" spans="1:17" x14ac:dyDescent="0.25">
      <c r="A25" s="63" t="str">
        <f>'A5-Capex'!A26</f>
        <v>Vote 3 - FINANCIAL SERVICES</v>
      </c>
      <c r="B25" s="542"/>
      <c r="C25" s="1326"/>
      <c r="D25" s="1316"/>
      <c r="E25" s="1316"/>
      <c r="F25" s="1316"/>
      <c r="G25" s="1316"/>
      <c r="H25" s="1316"/>
      <c r="I25" s="1316"/>
      <c r="J25" s="1316"/>
      <c r="K25" s="1316"/>
      <c r="L25" s="1316"/>
      <c r="M25" s="1316"/>
      <c r="N25" s="75">
        <f t="shared" si="3"/>
        <v>0</v>
      </c>
      <c r="O25" s="78">
        <f>'A5-Capex'!J26</f>
        <v>0</v>
      </c>
      <c r="P25" s="76">
        <f>'A5-Capex'!K26</f>
        <v>0</v>
      </c>
      <c r="Q25" s="77">
        <f>'A5-Capex'!L26</f>
        <v>0</v>
      </c>
    </row>
    <row r="26" spans="1:17" x14ac:dyDescent="0.25">
      <c r="A26" s="63" t="str">
        <f>'A5-Capex'!A27</f>
        <v>Vote 4 - CORPORATE SERVICES</v>
      </c>
      <c r="B26" s="542"/>
      <c r="C26" s="1326"/>
      <c r="D26" s="1316"/>
      <c r="E26" s="1316"/>
      <c r="F26" s="1316"/>
      <c r="G26" s="1316"/>
      <c r="H26" s="1316"/>
      <c r="I26" s="1316"/>
      <c r="J26" s="1316"/>
      <c r="K26" s="1316"/>
      <c r="L26" s="1316"/>
      <c r="M26" s="1316"/>
      <c r="N26" s="75">
        <f t="shared" si="3"/>
        <v>0</v>
      </c>
      <c r="O26" s="78">
        <f>'A5-Capex'!J27</f>
        <v>0</v>
      </c>
      <c r="P26" s="76">
        <f>'A5-Capex'!K27</f>
        <v>0</v>
      </c>
      <c r="Q26" s="77">
        <f>'A5-Capex'!L27</f>
        <v>0</v>
      </c>
    </row>
    <row r="27" spans="1:17" x14ac:dyDescent="0.25">
      <c r="A27" s="63" t="str">
        <f>'A5-Capex'!A28</f>
        <v>Vote 5 - INFRASTRUCTURE SERVICES</v>
      </c>
      <c r="B27" s="542"/>
      <c r="C27" s="1316">
        <f>O27/12</f>
        <v>2462581.0833333335</v>
      </c>
      <c r="D27" s="1316">
        <v>2462581.0833333335</v>
      </c>
      <c r="E27" s="1316">
        <v>2462581.0833333335</v>
      </c>
      <c r="F27" s="1316">
        <v>2462581.0833333335</v>
      </c>
      <c r="G27" s="1316">
        <v>2462581.0833333335</v>
      </c>
      <c r="H27" s="1316">
        <v>2462581.0833333335</v>
      </c>
      <c r="I27" s="1316">
        <v>2462581.0833333335</v>
      </c>
      <c r="J27" s="1316">
        <v>2462581.0833333335</v>
      </c>
      <c r="K27" s="1316">
        <v>2462581.0833333335</v>
      </c>
      <c r="L27" s="1316">
        <v>2462581.0833333335</v>
      </c>
      <c r="M27" s="1316">
        <v>2462581.0833333335</v>
      </c>
      <c r="N27" s="75">
        <f t="shared" si="3"/>
        <v>2462581.0833333358</v>
      </c>
      <c r="O27" s="78">
        <f>'A5-Capex'!J28</f>
        <v>29550973</v>
      </c>
      <c r="P27" s="76">
        <f>'A5-Capex'!K28</f>
        <v>33550141</v>
      </c>
      <c r="Q27" s="77">
        <f>'A5-Capex'!L28</f>
        <v>0</v>
      </c>
    </row>
    <row r="28" spans="1:17" x14ac:dyDescent="0.25">
      <c r="A28" s="63" t="str">
        <f>'A5-Capex'!A29</f>
        <v>Vote 6 - COMMUNITY SERVICES</v>
      </c>
      <c r="B28" s="542"/>
      <c r="C28" s="1873">
        <f>O28/12</f>
        <v>241372.09166666667</v>
      </c>
      <c r="D28" s="1316">
        <v>241372.09166666667</v>
      </c>
      <c r="E28" s="1316">
        <v>241372.09166666667</v>
      </c>
      <c r="F28" s="1316">
        <v>241372.09166666667</v>
      </c>
      <c r="G28" s="1316">
        <v>241372.09166666667</v>
      </c>
      <c r="H28" s="1316">
        <v>241372.09166666667</v>
      </c>
      <c r="I28" s="1316">
        <v>241372.09166666667</v>
      </c>
      <c r="J28" s="1316">
        <v>241372.09166666667</v>
      </c>
      <c r="K28" s="1316">
        <v>241372.09166666667</v>
      </c>
      <c r="L28" s="1316">
        <v>241372.09166666667</v>
      </c>
      <c r="M28" s="1316">
        <v>241372.09166666667</v>
      </c>
      <c r="N28" s="75">
        <f t="shared" si="3"/>
        <v>241372.09166666586</v>
      </c>
      <c r="O28" s="78">
        <f>'A5-Capex'!J29</f>
        <v>2896465.1</v>
      </c>
      <c r="P28" s="76">
        <f>'A5-Capex'!K29</f>
        <v>16422359</v>
      </c>
      <c r="Q28" s="77">
        <f>'A5-Capex'!L29</f>
        <v>0</v>
      </c>
    </row>
    <row r="29" spans="1:17" x14ac:dyDescent="0.25">
      <c r="A29" s="63" t="str">
        <f>'A5-Capex'!A30</f>
        <v>Vote 7 - [NAME OF VOTE 7]</v>
      </c>
      <c r="B29" s="542"/>
      <c r="C29" s="1326"/>
      <c r="D29" s="1316"/>
      <c r="E29" s="1316"/>
      <c r="F29" s="1316"/>
      <c r="G29" s="1316"/>
      <c r="H29" s="1316"/>
      <c r="I29" s="1316"/>
      <c r="J29" s="1316"/>
      <c r="K29" s="1316"/>
      <c r="L29" s="1316"/>
      <c r="M29" s="1316"/>
      <c r="N29" s="75">
        <f t="shared" si="3"/>
        <v>0</v>
      </c>
      <c r="O29" s="78">
        <f>'A5-Capex'!J30</f>
        <v>0</v>
      </c>
      <c r="P29" s="76">
        <f>'A5-Capex'!K30</f>
        <v>0</v>
      </c>
      <c r="Q29" s="77">
        <f>'A5-Capex'!L30</f>
        <v>0</v>
      </c>
    </row>
    <row r="30" spans="1:17" x14ac:dyDescent="0.25">
      <c r="A30" s="63" t="str">
        <f>'A5-Capex'!A31</f>
        <v>Vote 8 - [NAME OF VOTE 8]</v>
      </c>
      <c r="B30" s="542"/>
      <c r="C30" s="1326"/>
      <c r="D30" s="1316"/>
      <c r="E30" s="1316"/>
      <c r="F30" s="1316"/>
      <c r="G30" s="1316"/>
      <c r="H30" s="1316"/>
      <c r="I30" s="1316"/>
      <c r="J30" s="1316"/>
      <c r="K30" s="1316"/>
      <c r="L30" s="1316"/>
      <c r="M30" s="1316"/>
      <c r="N30" s="75">
        <f>O30-SUM(C30:M30)</f>
        <v>0</v>
      </c>
      <c r="O30" s="78">
        <f>'A5-Capex'!J31</f>
        <v>0</v>
      </c>
      <c r="P30" s="76">
        <f>'A5-Capex'!K31</f>
        <v>0</v>
      </c>
      <c r="Q30" s="77">
        <f>'A5-Capex'!L31</f>
        <v>0</v>
      </c>
    </row>
    <row r="31" spans="1:17" x14ac:dyDescent="0.25">
      <c r="A31" s="63" t="str">
        <f>'A5-Capex'!A32</f>
        <v>Vote 9 - [NAME OF VOTE 9]</v>
      </c>
      <c r="B31" s="542"/>
      <c r="C31" s="1326"/>
      <c r="D31" s="1316"/>
      <c r="E31" s="1316"/>
      <c r="F31" s="1316"/>
      <c r="G31" s="1316"/>
      <c r="H31" s="1316"/>
      <c r="I31" s="1316"/>
      <c r="J31" s="1316"/>
      <c r="K31" s="1316"/>
      <c r="L31" s="1316"/>
      <c r="M31" s="1316"/>
      <c r="N31" s="75">
        <f>O31-SUM(C31:M31)</f>
        <v>0</v>
      </c>
      <c r="O31" s="78">
        <f>'A5-Capex'!J32</f>
        <v>0</v>
      </c>
      <c r="P31" s="76">
        <f>'A5-Capex'!K32</f>
        <v>0</v>
      </c>
      <c r="Q31" s="77">
        <f>'A5-Capex'!L32</f>
        <v>0</v>
      </c>
    </row>
    <row r="32" spans="1:17" x14ac:dyDescent="0.25">
      <c r="A32" s="63" t="str">
        <f>'A5-Capex'!A33</f>
        <v>Vote 10 - [NAME OF VOTE 10]</v>
      </c>
      <c r="B32" s="542"/>
      <c r="C32" s="1326"/>
      <c r="D32" s="1316"/>
      <c r="E32" s="1316"/>
      <c r="F32" s="1316"/>
      <c r="G32" s="1316"/>
      <c r="H32" s="1316"/>
      <c r="I32" s="1316"/>
      <c r="J32" s="1316"/>
      <c r="K32" s="1316"/>
      <c r="L32" s="1316"/>
      <c r="M32" s="1316"/>
      <c r="N32" s="75">
        <f t="shared" ref="N32:N37" si="4">O32-SUM(C32:M32)</f>
        <v>0</v>
      </c>
      <c r="O32" s="78">
        <f>'A5-Capex'!J33</f>
        <v>0</v>
      </c>
      <c r="P32" s="76">
        <f>'A5-Capex'!K33</f>
        <v>0</v>
      </c>
      <c r="Q32" s="77">
        <f>'A5-Capex'!L33</f>
        <v>0</v>
      </c>
    </row>
    <row r="33" spans="1:18" x14ac:dyDescent="0.25">
      <c r="A33" s="63" t="str">
        <f>'A5-Capex'!A34</f>
        <v>Vote 11 - [NAME OF VOTE 11]</v>
      </c>
      <c r="B33" s="542"/>
      <c r="C33" s="1326"/>
      <c r="D33" s="1316"/>
      <c r="E33" s="1316"/>
      <c r="F33" s="1316"/>
      <c r="G33" s="1316"/>
      <c r="H33" s="1316"/>
      <c r="I33" s="1316"/>
      <c r="J33" s="1316"/>
      <c r="K33" s="1316"/>
      <c r="L33" s="1316"/>
      <c r="M33" s="1316"/>
      <c r="N33" s="75">
        <f t="shared" si="4"/>
        <v>0</v>
      </c>
      <c r="O33" s="78">
        <f>'A5-Capex'!J34</f>
        <v>0</v>
      </c>
      <c r="P33" s="76">
        <f>'A5-Capex'!K34</f>
        <v>0</v>
      </c>
      <c r="Q33" s="77">
        <f>'A5-Capex'!L34</f>
        <v>0</v>
      </c>
    </row>
    <row r="34" spans="1:18" x14ac:dyDescent="0.25">
      <c r="A34" s="63" t="str">
        <f>'A5-Capex'!A35</f>
        <v>Vote 12 - [NAME OF VOTE 12]</v>
      </c>
      <c r="B34" s="542"/>
      <c r="C34" s="1326"/>
      <c r="D34" s="1316"/>
      <c r="E34" s="1316"/>
      <c r="F34" s="1316"/>
      <c r="G34" s="1316"/>
      <c r="H34" s="1316"/>
      <c r="I34" s="1316"/>
      <c r="J34" s="1316"/>
      <c r="K34" s="1316"/>
      <c r="L34" s="1316"/>
      <c r="M34" s="1316"/>
      <c r="N34" s="75">
        <f t="shared" si="4"/>
        <v>0</v>
      </c>
      <c r="O34" s="78">
        <f>'A5-Capex'!J35</f>
        <v>0</v>
      </c>
      <c r="P34" s="76">
        <f>'A5-Capex'!K35</f>
        <v>0</v>
      </c>
      <c r="Q34" s="77">
        <f>'A5-Capex'!L35</f>
        <v>0</v>
      </c>
    </row>
    <row r="35" spans="1:18" x14ac:dyDescent="0.25">
      <c r="A35" s="63" t="str">
        <f>'A5-Capex'!A36</f>
        <v>Vote 13 - [NAME OF VOTE 13]</v>
      </c>
      <c r="B35" s="542"/>
      <c r="C35" s="1326"/>
      <c r="D35" s="1316"/>
      <c r="E35" s="1316"/>
      <c r="F35" s="1316"/>
      <c r="G35" s="1316"/>
      <c r="H35" s="1316"/>
      <c r="I35" s="1316"/>
      <c r="J35" s="1316"/>
      <c r="K35" s="1316"/>
      <c r="L35" s="1316"/>
      <c r="M35" s="1316"/>
      <c r="N35" s="75">
        <f t="shared" si="4"/>
        <v>0</v>
      </c>
      <c r="O35" s="78">
        <f>'A5-Capex'!J36</f>
        <v>0</v>
      </c>
      <c r="P35" s="76">
        <f>'A5-Capex'!K36</f>
        <v>0</v>
      </c>
      <c r="Q35" s="77">
        <f>'A5-Capex'!L36</f>
        <v>0</v>
      </c>
    </row>
    <row r="36" spans="1:18" x14ac:dyDescent="0.25">
      <c r="A36" s="63" t="str">
        <f>'A5-Capex'!A37</f>
        <v>Vote 14 - [NAME OF VOTE 14]</v>
      </c>
      <c r="B36" s="542"/>
      <c r="C36" s="1326"/>
      <c r="D36" s="1316"/>
      <c r="E36" s="1316"/>
      <c r="F36" s="1316"/>
      <c r="G36" s="1316"/>
      <c r="H36" s="1316"/>
      <c r="I36" s="1316"/>
      <c r="J36" s="1316"/>
      <c r="K36" s="1316"/>
      <c r="L36" s="1316"/>
      <c r="M36" s="1316"/>
      <c r="N36" s="75">
        <f t="shared" si="4"/>
        <v>0</v>
      </c>
      <c r="O36" s="78">
        <f>'A5-Capex'!J37</f>
        <v>0</v>
      </c>
      <c r="P36" s="76">
        <f>'A5-Capex'!K37</f>
        <v>0</v>
      </c>
      <c r="Q36" s="77">
        <f>'A5-Capex'!L37</f>
        <v>0</v>
      </c>
    </row>
    <row r="37" spans="1:18" x14ac:dyDescent="0.25">
      <c r="A37" s="63" t="str">
        <f>'A5-Capex'!A38</f>
        <v>Vote 15 - [NAME OF VOTE 15]</v>
      </c>
      <c r="B37" s="542"/>
      <c r="C37" s="1326"/>
      <c r="D37" s="1316"/>
      <c r="E37" s="1316"/>
      <c r="F37" s="1316"/>
      <c r="G37" s="1316"/>
      <c r="H37" s="1316"/>
      <c r="I37" s="1316"/>
      <c r="J37" s="1316"/>
      <c r="K37" s="1316"/>
      <c r="L37" s="1316"/>
      <c r="M37" s="1316"/>
      <c r="N37" s="75">
        <f t="shared" si="4"/>
        <v>0</v>
      </c>
      <c r="O37" s="78">
        <f>'A5-Capex'!J38</f>
        <v>0</v>
      </c>
      <c r="P37" s="76">
        <f>'A5-Capex'!K38</f>
        <v>0</v>
      </c>
      <c r="Q37" s="77">
        <f>'A5-Capex'!L38</f>
        <v>0</v>
      </c>
    </row>
    <row r="38" spans="1:18" x14ac:dyDescent="0.25">
      <c r="A38" s="70" t="s">
        <v>1175</v>
      </c>
      <c r="B38" s="742">
        <v>2</v>
      </c>
      <c r="C38" s="83">
        <f t="shared" ref="C38:Q38" si="5">SUM(C23:C37)</f>
        <v>2703953.1750000003</v>
      </c>
      <c r="D38" s="81">
        <f t="shared" si="5"/>
        <v>2703953.1750000003</v>
      </c>
      <c r="E38" s="81">
        <f t="shared" si="5"/>
        <v>2703953.1750000003</v>
      </c>
      <c r="F38" s="81">
        <f t="shared" si="5"/>
        <v>2703953.1750000003</v>
      </c>
      <c r="G38" s="81">
        <f t="shared" si="5"/>
        <v>2703953.1750000003</v>
      </c>
      <c r="H38" s="81">
        <f t="shared" si="5"/>
        <v>2703953.1750000003</v>
      </c>
      <c r="I38" s="81">
        <f t="shared" si="5"/>
        <v>2703953.1750000003</v>
      </c>
      <c r="J38" s="81">
        <f t="shared" si="5"/>
        <v>2703953.1750000003</v>
      </c>
      <c r="K38" s="81">
        <f t="shared" si="5"/>
        <v>2703953.1750000003</v>
      </c>
      <c r="L38" s="81">
        <f t="shared" si="5"/>
        <v>2703953.1750000003</v>
      </c>
      <c r="M38" s="81">
        <f t="shared" si="5"/>
        <v>2703953.1750000003</v>
      </c>
      <c r="N38" s="80">
        <f t="shared" si="5"/>
        <v>2703953.1750000017</v>
      </c>
      <c r="O38" s="83">
        <f t="shared" si="5"/>
        <v>32447438.100000001</v>
      </c>
      <c r="P38" s="81">
        <f t="shared" si="5"/>
        <v>49972500</v>
      </c>
      <c r="Q38" s="82">
        <f t="shared" si="5"/>
        <v>0</v>
      </c>
    </row>
    <row r="39" spans="1:18" x14ac:dyDescent="0.25">
      <c r="A39" s="527" t="s">
        <v>528</v>
      </c>
      <c r="B39" s="557">
        <v>2</v>
      </c>
      <c r="C39" s="97">
        <f>C20+C38</f>
        <v>2703953.1750000003</v>
      </c>
      <c r="D39" s="95">
        <f t="shared" ref="D39:N39" si="6">D20+D38</f>
        <v>2703953.1750000003</v>
      </c>
      <c r="E39" s="95">
        <f t="shared" si="6"/>
        <v>2703953.1750000003</v>
      </c>
      <c r="F39" s="95">
        <f t="shared" si="6"/>
        <v>2703953.1750000003</v>
      </c>
      <c r="G39" s="95">
        <f t="shared" si="6"/>
        <v>2703953.1750000003</v>
      </c>
      <c r="H39" s="95">
        <f t="shared" si="6"/>
        <v>2703953.1750000003</v>
      </c>
      <c r="I39" s="95">
        <f t="shared" si="6"/>
        <v>2703953.1750000003</v>
      </c>
      <c r="J39" s="95">
        <f t="shared" si="6"/>
        <v>2703953.1750000003</v>
      </c>
      <c r="K39" s="95">
        <f t="shared" si="6"/>
        <v>2703953.1750000003</v>
      </c>
      <c r="L39" s="95">
        <f t="shared" si="6"/>
        <v>2703953.1750000003</v>
      </c>
      <c r="M39" s="95">
        <f t="shared" si="6"/>
        <v>2703953.1750000003</v>
      </c>
      <c r="N39" s="94">
        <f t="shared" si="6"/>
        <v>2703953.1750000017</v>
      </c>
      <c r="O39" s="97">
        <f>O20+O38</f>
        <v>32447438.100000001</v>
      </c>
      <c r="P39" s="95">
        <f>P20+P38</f>
        <v>49972500</v>
      </c>
      <c r="Q39" s="96">
        <f>Q20+Q38</f>
        <v>0</v>
      </c>
    </row>
    <row r="40" spans="1:18" x14ac:dyDescent="0.25">
      <c r="A40" s="738"/>
      <c r="B40" s="739"/>
      <c r="C40" s="85"/>
      <c r="D40" s="85"/>
      <c r="E40" s="85"/>
      <c r="F40" s="85"/>
      <c r="G40" s="85"/>
      <c r="H40" s="85"/>
      <c r="I40" s="85"/>
      <c r="J40" s="85"/>
      <c r="K40" s="85"/>
      <c r="L40" s="85"/>
      <c r="M40" s="85"/>
      <c r="N40" s="85"/>
      <c r="O40" s="85"/>
      <c r="P40" s="85"/>
      <c r="Q40" s="85"/>
    </row>
    <row r="41" spans="1:18" x14ac:dyDescent="0.25">
      <c r="A41" s="738"/>
      <c r="B41" s="739"/>
      <c r="C41" s="85"/>
      <c r="D41" s="85"/>
      <c r="E41" s="85"/>
      <c r="F41" s="85"/>
      <c r="G41" s="85"/>
      <c r="H41" s="85"/>
      <c r="I41" s="85"/>
      <c r="J41" s="85"/>
      <c r="K41" s="85"/>
      <c r="L41" s="85"/>
      <c r="M41" s="85"/>
      <c r="N41" s="85"/>
      <c r="O41" s="85"/>
      <c r="P41" s="85"/>
      <c r="Q41" s="85"/>
    </row>
    <row r="42" spans="1:18" s="464" customFormat="1" x14ac:dyDescent="0.25">
      <c r="A42" s="554" t="str">
        <f>head27a</f>
        <v>References</v>
      </c>
      <c r="B42" s="671"/>
      <c r="C42" s="647"/>
      <c r="D42" s="647"/>
      <c r="E42" s="647"/>
      <c r="F42" s="647"/>
      <c r="G42" s="647"/>
      <c r="H42" s="647"/>
      <c r="I42" s="647"/>
      <c r="J42" s="647"/>
      <c r="K42" s="647"/>
      <c r="L42" s="647"/>
      <c r="M42" s="647"/>
      <c r="N42" s="647"/>
      <c r="O42" s="647"/>
      <c r="P42" s="647"/>
      <c r="Q42" s="647"/>
      <c r="R42" s="25"/>
    </row>
    <row r="43" spans="1:18" s="464" customFormat="1" x14ac:dyDescent="0.25">
      <c r="A43" s="132" t="s">
        <v>689</v>
      </c>
      <c r="B43" s="645"/>
      <c r="C43" s="647"/>
      <c r="D43" s="647"/>
      <c r="E43" s="647"/>
      <c r="F43" s="647"/>
      <c r="G43" s="647"/>
      <c r="H43" s="647"/>
      <c r="I43" s="647"/>
      <c r="J43" s="647"/>
      <c r="K43" s="647"/>
      <c r="L43" s="647"/>
      <c r="M43" s="647"/>
      <c r="N43" s="647"/>
      <c r="O43" s="647"/>
      <c r="P43" s="647"/>
      <c r="Q43" s="647"/>
    </row>
    <row r="44" spans="1:18" s="464" customFormat="1" x14ac:dyDescent="0.25">
      <c r="A44" s="132" t="s">
        <v>148</v>
      </c>
      <c r="B44" s="645"/>
    </row>
    <row r="45" spans="1:18" x14ac:dyDescent="0.25">
      <c r="A45" s="108" t="s">
        <v>1354</v>
      </c>
      <c r="B45" s="107"/>
      <c r="O45" s="177">
        <f>O20-'A5-Capex'!J21</f>
        <v>0</v>
      </c>
      <c r="P45" s="177">
        <f>P20-'A5-Capex'!K21</f>
        <v>0</v>
      </c>
      <c r="Q45" s="177">
        <f>Q20-'A5-Capex'!L21</f>
        <v>0</v>
      </c>
    </row>
    <row r="47" spans="1:18" x14ac:dyDescent="0.25">
      <c r="E47" s="25" t="s">
        <v>170</v>
      </c>
    </row>
  </sheetData>
  <mergeCells count="2">
    <mergeCell ref="C2:N2"/>
    <mergeCell ref="O2:Q2"/>
  </mergeCells>
  <phoneticPr fontId="3" type="noConversion"/>
  <printOptions horizontalCentered="1"/>
  <pageMargins left="0" right="0" top="0.78740157480314965" bottom="0.59055118110236227" header="0.51181102362204722" footer="0.39370078740157483"/>
  <pageSetup paperSize="9" scale="87"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pageSetUpPr fitToPage="1"/>
  </sheetPr>
  <dimension ref="A1:E167"/>
  <sheetViews>
    <sheetView showGridLines="0" topLeftCell="A10" zoomScaleNormal="100" workbookViewId="0">
      <selection activeCell="E1" sqref="E1"/>
    </sheetView>
  </sheetViews>
  <sheetFormatPr defaultRowHeight="11.25" x14ac:dyDescent="0.2"/>
  <cols>
    <col min="1" max="1" width="37.42578125" style="1093" customWidth="1"/>
    <col min="2" max="2" width="7.7109375" style="1097" customWidth="1"/>
    <col min="3" max="3" width="47.7109375" style="1098" customWidth="1"/>
    <col min="4" max="4" width="20" style="1093" hidden="1" customWidth="1"/>
    <col min="5" max="5" width="43.42578125" style="1093" customWidth="1"/>
    <col min="6" max="16384" width="9.140625" style="1093"/>
  </cols>
  <sheetData>
    <row r="1" spans="1:5" ht="35.25" customHeight="1" x14ac:dyDescent="0.2">
      <c r="A1" s="1090" t="s">
        <v>1783</v>
      </c>
      <c r="B1" s="1091"/>
      <c r="C1" s="1092" t="s">
        <v>1782</v>
      </c>
      <c r="E1" s="1090" t="s">
        <v>1802</v>
      </c>
    </row>
    <row r="2" spans="1:5" x14ac:dyDescent="0.2">
      <c r="A2" s="1093" t="str">
        <f>B2&amp;" - "&amp;C2</f>
        <v>Vote 1 - COUNCIL</v>
      </c>
      <c r="B2" s="1094" t="s">
        <v>1741</v>
      </c>
      <c r="C2" s="1314" t="s">
        <v>2570</v>
      </c>
      <c r="E2" s="1124"/>
    </row>
    <row r="3" spans="1:5" x14ac:dyDescent="0.2">
      <c r="A3" s="1093" t="str">
        <f>B13&amp;" - "&amp; C13</f>
        <v>Vote 2 - OFFICE OF THE MUNICIPAL MANAGER</v>
      </c>
      <c r="B3" s="1095">
        <v>1.1000000000000001</v>
      </c>
      <c r="C3" s="1315" t="s">
        <v>2571</v>
      </c>
      <c r="D3" s="1093" t="str">
        <f t="shared" ref="D3:D12" si="0">CONCATENATE(B3, " - ", C3)</f>
        <v>1,1 - Council General Expenses</v>
      </c>
      <c r="E3" s="1125" t="s">
        <v>2572</v>
      </c>
    </row>
    <row r="4" spans="1:5" x14ac:dyDescent="0.2">
      <c r="A4" s="1093" t="str">
        <f>B24&amp;" - "&amp;C24</f>
        <v>Vote 3 - FINANCIAL SERVICES</v>
      </c>
      <c r="B4" s="1095">
        <v>1.2</v>
      </c>
      <c r="C4" s="1315" t="s">
        <v>1767</v>
      </c>
      <c r="D4" s="1093" t="str">
        <f t="shared" si="0"/>
        <v>1,2 - [Name of sub-vote]</v>
      </c>
      <c r="E4" s="1125"/>
    </row>
    <row r="5" spans="1:5" x14ac:dyDescent="0.2">
      <c r="A5" s="1093" t="str">
        <f>B35&amp;" - "&amp;C35</f>
        <v>Vote 4 - CORPORATE SERVICES</v>
      </c>
      <c r="B5" s="1095">
        <v>1.3</v>
      </c>
      <c r="C5" s="1315" t="s">
        <v>1767</v>
      </c>
      <c r="D5" s="1093" t="str">
        <f t="shared" si="0"/>
        <v>1,3 - [Name of sub-vote]</v>
      </c>
      <c r="E5" s="1125"/>
    </row>
    <row r="6" spans="1:5" x14ac:dyDescent="0.2">
      <c r="A6" s="1093" t="str">
        <f>B46&amp;" - "&amp;C46</f>
        <v>Vote 5 - INFRASTRUCTURE SERVICES</v>
      </c>
      <c r="B6" s="1095">
        <v>1.4</v>
      </c>
      <c r="C6" s="1315" t="s">
        <v>1767</v>
      </c>
      <c r="D6" s="1093" t="str">
        <f t="shared" si="0"/>
        <v>1,4 - [Name of sub-vote]</v>
      </c>
      <c r="E6" s="1125"/>
    </row>
    <row r="7" spans="1:5" x14ac:dyDescent="0.2">
      <c r="A7" s="1093" t="str">
        <f>B57&amp;" - "&amp;C57</f>
        <v>Vote 6 - COMMUNITY SERVICES</v>
      </c>
      <c r="B7" s="1095">
        <v>1.5</v>
      </c>
      <c r="C7" s="1315" t="s">
        <v>1767</v>
      </c>
      <c r="D7" s="1093" t="str">
        <f t="shared" si="0"/>
        <v>1,5 - [Name of sub-vote]</v>
      </c>
      <c r="E7" s="1125"/>
    </row>
    <row r="8" spans="1:5" x14ac:dyDescent="0.2">
      <c r="A8" s="1093" t="str">
        <f>B69&amp;" - "&amp;C69</f>
        <v>Vote 7 - [NAME OF VOTE 7]</v>
      </c>
      <c r="B8" s="1095">
        <v>1.6</v>
      </c>
      <c r="C8" s="1315" t="s">
        <v>1767</v>
      </c>
      <c r="D8" s="1093" t="str">
        <f t="shared" si="0"/>
        <v>1,6 - [Name of sub-vote]</v>
      </c>
      <c r="E8" s="1125"/>
    </row>
    <row r="9" spans="1:5" x14ac:dyDescent="0.2">
      <c r="A9" s="1093" t="str">
        <f>B80&amp;" - "&amp;C80</f>
        <v>Vote 8 - [NAME OF VOTE 8]</v>
      </c>
      <c r="B9" s="1095">
        <v>1.7</v>
      </c>
      <c r="C9" s="1315" t="s">
        <v>1767</v>
      </c>
      <c r="D9" s="1093" t="str">
        <f t="shared" si="0"/>
        <v>1,7 - [Name of sub-vote]</v>
      </c>
      <c r="E9" s="1125"/>
    </row>
    <row r="10" spans="1:5" x14ac:dyDescent="0.2">
      <c r="A10" s="1093" t="str">
        <f>B91&amp;" - "&amp;C91</f>
        <v>Vote 9 - [NAME OF VOTE 9]</v>
      </c>
      <c r="B10" s="1095">
        <v>1.8</v>
      </c>
      <c r="C10" s="1315" t="s">
        <v>1767</v>
      </c>
      <c r="D10" s="1093" t="str">
        <f t="shared" si="0"/>
        <v>1,8 - [Name of sub-vote]</v>
      </c>
      <c r="E10" s="1125"/>
    </row>
    <row r="11" spans="1:5" x14ac:dyDescent="0.2">
      <c r="A11" s="1093" t="str">
        <f>B102&amp;" - "&amp;C102</f>
        <v>Vote 10 - [NAME OF VOTE 10]</v>
      </c>
      <c r="B11" s="1095">
        <v>1.9</v>
      </c>
      <c r="C11" s="1315" t="s">
        <v>1767</v>
      </c>
      <c r="D11" s="1093" t="str">
        <f t="shared" si="0"/>
        <v>1,9 - [Name of sub-vote]</v>
      </c>
      <c r="E11" s="1125"/>
    </row>
    <row r="12" spans="1:5" x14ac:dyDescent="0.2">
      <c r="A12" s="1093" t="str">
        <f>B113&amp;" - "&amp;C113</f>
        <v>Vote 11 - [NAME OF VOTE 11]</v>
      </c>
      <c r="B12" s="1095" t="s">
        <v>1768</v>
      </c>
      <c r="C12" s="1315" t="s">
        <v>1767</v>
      </c>
      <c r="D12" s="1093" t="str">
        <f t="shared" si="0"/>
        <v>1.10 - [Name of sub-vote]</v>
      </c>
      <c r="E12" s="1125"/>
    </row>
    <row r="13" spans="1:5" x14ac:dyDescent="0.2">
      <c r="A13" s="1093" t="str">
        <f>B124&amp;" - "&amp;C124</f>
        <v>Vote 12 - [NAME OF VOTE 12]</v>
      </c>
      <c r="B13" s="1094" t="s">
        <v>1742</v>
      </c>
      <c r="C13" s="1314" t="s">
        <v>2573</v>
      </c>
      <c r="E13" s="1124"/>
    </row>
    <row r="14" spans="1:5" x14ac:dyDescent="0.2">
      <c r="A14" s="1093" t="str">
        <f>B135&amp;" - "&amp;C135</f>
        <v>Vote 13 - [NAME OF VOTE 13]</v>
      </c>
      <c r="B14" s="1095">
        <v>2.1</v>
      </c>
      <c r="C14" s="1315" t="s">
        <v>2574</v>
      </c>
      <c r="D14" s="1093" t="str">
        <f t="shared" ref="D14:D23" si="1">CONCATENATE(B14, " - ", C14)</f>
        <v>2,1 - Internal Audit</v>
      </c>
      <c r="E14" s="1125" t="s">
        <v>2608</v>
      </c>
    </row>
    <row r="15" spans="1:5" x14ac:dyDescent="0.2">
      <c r="A15" s="1093" t="str">
        <f>B146&amp;" - "&amp;C146</f>
        <v>Vote 14 - [NAME OF VOTE 14]</v>
      </c>
      <c r="B15" s="1095">
        <v>2.2000000000000002</v>
      </c>
      <c r="C15" s="1315" t="s">
        <v>2419</v>
      </c>
      <c r="D15" s="1093" t="str">
        <f t="shared" si="1"/>
        <v>2,2 - Risk Management</v>
      </c>
      <c r="E15" s="1125" t="s">
        <v>2609</v>
      </c>
    </row>
    <row r="16" spans="1:5" x14ac:dyDescent="0.2">
      <c r="A16" s="1093" t="str">
        <f>B157&amp;" - "&amp;C157</f>
        <v>Vote 15 - [NAME OF VOTE 15]</v>
      </c>
      <c r="B16" s="1095">
        <v>2.2999999999999998</v>
      </c>
      <c r="C16" s="1315" t="s">
        <v>2575</v>
      </c>
      <c r="D16" s="1093" t="str">
        <f t="shared" si="1"/>
        <v>2,3 - Institutional Performance Management</v>
      </c>
      <c r="E16" s="1125" t="s">
        <v>2610</v>
      </c>
    </row>
    <row r="17" spans="1:5" x14ac:dyDescent="0.2">
      <c r="B17" s="1095">
        <v>2.4</v>
      </c>
      <c r="C17" s="1315" t="s">
        <v>2576</v>
      </c>
      <c r="D17" s="1093" t="str">
        <f t="shared" si="1"/>
        <v>2,4 - IDP</v>
      </c>
      <c r="E17" s="1125" t="s">
        <v>2611</v>
      </c>
    </row>
    <row r="18" spans="1:5" x14ac:dyDescent="0.2">
      <c r="B18" s="1095">
        <v>2.5</v>
      </c>
      <c r="C18" s="1315" t="s">
        <v>2577</v>
      </c>
      <c r="D18" s="1093" t="str">
        <f t="shared" si="1"/>
        <v>2,5 - Economic Dev &amp; Tourism</v>
      </c>
      <c r="E18" s="1125" t="s">
        <v>2612</v>
      </c>
    </row>
    <row r="19" spans="1:5" x14ac:dyDescent="0.2">
      <c r="B19" s="1095">
        <v>2.6</v>
      </c>
      <c r="C19" s="1315" t="s">
        <v>2578</v>
      </c>
      <c r="D19" s="1093" t="str">
        <f t="shared" si="1"/>
        <v>2,6 - Communication &amp; IGR</v>
      </c>
      <c r="E19" s="1125" t="s">
        <v>2613</v>
      </c>
    </row>
    <row r="20" spans="1:5" x14ac:dyDescent="0.2">
      <c r="B20" s="1095">
        <v>2.7</v>
      </c>
      <c r="C20" s="1315" t="s">
        <v>2579</v>
      </c>
      <c r="D20" s="1093" t="str">
        <f t="shared" si="1"/>
        <v>2,7 - Executive support</v>
      </c>
      <c r="E20" s="1125" t="s">
        <v>2614</v>
      </c>
    </row>
    <row r="21" spans="1:5" x14ac:dyDescent="0.2">
      <c r="A21" s="1124"/>
      <c r="B21" s="1095">
        <v>2.8</v>
      </c>
      <c r="C21" s="1315" t="s">
        <v>1767</v>
      </c>
      <c r="D21" s="1093" t="str">
        <f t="shared" si="1"/>
        <v>2,8 - [Name of sub-vote]</v>
      </c>
      <c r="E21" s="1125" t="s">
        <v>2615</v>
      </c>
    </row>
    <row r="22" spans="1:5" x14ac:dyDescent="0.2">
      <c r="B22" s="1095">
        <v>2.9</v>
      </c>
      <c r="C22" s="1315" t="s">
        <v>1767</v>
      </c>
      <c r="D22" s="1093" t="str">
        <f t="shared" si="1"/>
        <v>2,9 - [Name of sub-vote]</v>
      </c>
      <c r="E22" s="1125"/>
    </row>
    <row r="23" spans="1:5" x14ac:dyDescent="0.2">
      <c r="B23" s="1095" t="s">
        <v>1769</v>
      </c>
      <c r="C23" s="1315" t="s">
        <v>1767</v>
      </c>
      <c r="D23" s="1093" t="str">
        <f t="shared" si="1"/>
        <v>2.10 - [Name of sub-vote]</v>
      </c>
      <c r="E23" s="1125"/>
    </row>
    <row r="24" spans="1:5" x14ac:dyDescent="0.2">
      <c r="B24" s="1094" t="s">
        <v>1743</v>
      </c>
      <c r="C24" s="1314" t="s">
        <v>2580</v>
      </c>
      <c r="E24" s="1125"/>
    </row>
    <row r="25" spans="1:5" x14ac:dyDescent="0.2">
      <c r="B25" s="1095">
        <v>3.1</v>
      </c>
      <c r="C25" s="1315" t="s">
        <v>2579</v>
      </c>
      <c r="D25" s="1093" t="str">
        <f t="shared" ref="D25:D34" si="2">CONCATENATE(B25, " - ", C25)</f>
        <v>3,1 - Executive support</v>
      </c>
      <c r="E25" s="1125" t="s">
        <v>2641</v>
      </c>
    </row>
    <row r="26" spans="1:5" x14ac:dyDescent="0.2">
      <c r="B26" s="1095">
        <v>3.2</v>
      </c>
      <c r="C26" s="1315" t="s">
        <v>2581</v>
      </c>
      <c r="D26" s="1093" t="str">
        <f t="shared" si="2"/>
        <v>3,2 - Budget &amp; Financial Reporting</v>
      </c>
      <c r="E26" s="1125" t="s">
        <v>2642</v>
      </c>
    </row>
    <row r="27" spans="1:5" x14ac:dyDescent="0.2">
      <c r="B27" s="1095">
        <v>3.3</v>
      </c>
      <c r="C27" s="1315" t="s">
        <v>2582</v>
      </c>
      <c r="D27" s="1093" t="str">
        <f t="shared" si="2"/>
        <v>3,3 - Asset &amp; Fleet Management</v>
      </c>
      <c r="E27" s="1125" t="s">
        <v>2643</v>
      </c>
    </row>
    <row r="28" spans="1:5" x14ac:dyDescent="0.2">
      <c r="B28" s="1095">
        <v>3.4</v>
      </c>
      <c r="C28" s="1315" t="s">
        <v>2583</v>
      </c>
      <c r="D28" s="1093" t="str">
        <f t="shared" si="2"/>
        <v>3,4 - Financial Management Information systems</v>
      </c>
      <c r="E28" s="1125" t="s">
        <v>2644</v>
      </c>
    </row>
    <row r="29" spans="1:5" x14ac:dyDescent="0.2">
      <c r="B29" s="1095">
        <v>3.5</v>
      </c>
      <c r="C29" s="1315" t="s">
        <v>2584</v>
      </c>
      <c r="D29" s="1093" t="str">
        <f t="shared" si="2"/>
        <v>3,5 - Cashier Receipting &amp; Debtors</v>
      </c>
      <c r="E29" s="1125" t="s">
        <v>2645</v>
      </c>
    </row>
    <row r="30" spans="1:5" x14ac:dyDescent="0.2">
      <c r="B30" s="1095">
        <v>3.6</v>
      </c>
      <c r="C30" s="1315" t="s">
        <v>2585</v>
      </c>
      <c r="D30" s="1093" t="str">
        <f t="shared" si="2"/>
        <v>3,6 - Credit control</v>
      </c>
      <c r="E30" s="1125" t="s">
        <v>2646</v>
      </c>
    </row>
    <row r="31" spans="1:5" x14ac:dyDescent="0.2">
      <c r="B31" s="1095">
        <v>3.7</v>
      </c>
      <c r="C31" s="1315" t="s">
        <v>1644</v>
      </c>
      <c r="D31" s="1093" t="str">
        <f t="shared" si="2"/>
        <v>3,7 - Expenditure</v>
      </c>
      <c r="E31" s="1125" t="s">
        <v>2647</v>
      </c>
    </row>
    <row r="32" spans="1:5" x14ac:dyDescent="0.2">
      <c r="B32" s="1095">
        <v>3.8</v>
      </c>
      <c r="C32" s="1315" t="s">
        <v>2586</v>
      </c>
      <c r="D32" s="1093" t="str">
        <f t="shared" si="2"/>
        <v>3,8 - Supply Chain</v>
      </c>
      <c r="E32" s="1125" t="s">
        <v>2648</v>
      </c>
    </row>
    <row r="33" spans="2:5" x14ac:dyDescent="0.2">
      <c r="B33" s="1095">
        <v>3.9</v>
      </c>
      <c r="C33" s="1315"/>
      <c r="D33" s="1093" t="str">
        <f t="shared" si="2"/>
        <v xml:space="preserve">3,9 - </v>
      </c>
      <c r="E33" s="1125" t="s">
        <v>2649</v>
      </c>
    </row>
    <row r="34" spans="2:5" x14ac:dyDescent="0.2">
      <c r="B34" s="1095" t="s">
        <v>1770</v>
      </c>
      <c r="C34" s="1315"/>
      <c r="D34" s="1093" t="str">
        <f t="shared" si="2"/>
        <v xml:space="preserve">3.10 - </v>
      </c>
      <c r="E34" s="1125" t="s">
        <v>2650</v>
      </c>
    </row>
    <row r="35" spans="2:5" x14ac:dyDescent="0.2">
      <c r="B35" s="1094" t="s">
        <v>1744</v>
      </c>
      <c r="C35" s="1314" t="s">
        <v>2587</v>
      </c>
      <c r="E35" s="1125"/>
    </row>
    <row r="36" spans="2:5" x14ac:dyDescent="0.2">
      <c r="B36" s="1095">
        <v>4.0999999999999996</v>
      </c>
      <c r="C36" s="1315" t="s">
        <v>2588</v>
      </c>
      <c r="D36" s="1093" t="str">
        <f t="shared" ref="D36:D45" si="3">CONCATENATE(B36, " - ", C36)</f>
        <v>4,1 - Executive support; Secretariat; Registry &amp; Office Auxiliary</v>
      </c>
      <c r="E36" s="1125" t="s">
        <v>2598</v>
      </c>
    </row>
    <row r="37" spans="2:5" x14ac:dyDescent="0.2">
      <c r="B37" s="1095">
        <v>4.2</v>
      </c>
      <c r="C37" s="1315" t="s">
        <v>2589</v>
      </c>
      <c r="D37" s="1093" t="str">
        <f t="shared" si="3"/>
        <v>4,2 - ICT</v>
      </c>
      <c r="E37" s="1125" t="s">
        <v>2599</v>
      </c>
    </row>
    <row r="38" spans="2:5" x14ac:dyDescent="0.2">
      <c r="B38" s="1095">
        <v>4.3</v>
      </c>
      <c r="C38" s="1315" t="s">
        <v>2590</v>
      </c>
      <c r="D38" s="1093" t="str">
        <f t="shared" si="3"/>
        <v>4,3 - Office of Political office bearers</v>
      </c>
      <c r="E38" s="1125" t="s">
        <v>2600</v>
      </c>
    </row>
    <row r="39" spans="2:5" x14ac:dyDescent="0.2">
      <c r="B39" s="1095">
        <v>4.4000000000000004</v>
      </c>
      <c r="C39" s="1315" t="s">
        <v>2591</v>
      </c>
      <c r="D39" s="1093" t="str">
        <f t="shared" si="3"/>
        <v>4,4 - Property Management</v>
      </c>
      <c r="E39" s="1125" t="s">
        <v>2601</v>
      </c>
    </row>
    <row r="40" spans="2:5" x14ac:dyDescent="0.2">
      <c r="B40" s="1095">
        <v>4.5</v>
      </c>
      <c r="C40" s="1315" t="s">
        <v>2592</v>
      </c>
      <c r="D40" s="1093" t="str">
        <f t="shared" si="3"/>
        <v>4,5 - Labour relations &amp; Occupational health</v>
      </c>
      <c r="E40" s="1125" t="s">
        <v>2602</v>
      </c>
    </row>
    <row r="41" spans="2:5" x14ac:dyDescent="0.2">
      <c r="B41" s="1095">
        <v>4.5999999999999996</v>
      </c>
      <c r="C41" s="1315" t="s">
        <v>2593</v>
      </c>
      <c r="D41" s="1093" t="str">
        <f t="shared" si="3"/>
        <v>4,6 - Training &amp; Development</v>
      </c>
      <c r="E41" s="1125" t="s">
        <v>2603</v>
      </c>
    </row>
    <row r="42" spans="2:5" x14ac:dyDescent="0.2">
      <c r="B42" s="1095">
        <v>4.7</v>
      </c>
      <c r="C42" s="1315" t="s">
        <v>2594</v>
      </c>
      <c r="D42" s="1093" t="str">
        <f t="shared" si="3"/>
        <v>4,7 - HR Administration</v>
      </c>
      <c r="E42" s="1125" t="s">
        <v>2604</v>
      </c>
    </row>
    <row r="43" spans="2:5" x14ac:dyDescent="0.2">
      <c r="B43" s="1095">
        <v>4.8</v>
      </c>
      <c r="C43" s="1315" t="s">
        <v>2595</v>
      </c>
      <c r="D43" s="1093" t="str">
        <f t="shared" si="3"/>
        <v>4,8 - Community facilities &amp; halls</v>
      </c>
      <c r="E43" s="1125" t="s">
        <v>2605</v>
      </c>
    </row>
    <row r="44" spans="2:5" x14ac:dyDescent="0.2">
      <c r="B44" s="1095">
        <v>4.9000000000000004</v>
      </c>
      <c r="C44" s="1315" t="s">
        <v>2596</v>
      </c>
      <c r="D44" s="1093" t="str">
        <f t="shared" si="3"/>
        <v>4,9 - Museums &amp; art galleries</v>
      </c>
      <c r="E44" s="1125" t="s">
        <v>2606</v>
      </c>
    </row>
    <row r="45" spans="2:5" x14ac:dyDescent="0.2">
      <c r="B45" s="1095" t="s">
        <v>1771</v>
      </c>
      <c r="C45" s="1315" t="s">
        <v>2597</v>
      </c>
      <c r="D45" s="1093" t="str">
        <f t="shared" si="3"/>
        <v>4.10 - Special Projects Unit</v>
      </c>
      <c r="E45" s="1125" t="s">
        <v>2607</v>
      </c>
    </row>
    <row r="46" spans="2:5" x14ac:dyDescent="0.2">
      <c r="B46" s="1094" t="s">
        <v>1745</v>
      </c>
      <c r="C46" s="1314" t="s">
        <v>2616</v>
      </c>
      <c r="E46" s="1125"/>
    </row>
    <row r="47" spans="2:5" x14ac:dyDescent="0.2">
      <c r="B47" s="1095">
        <v>5.0999999999999996</v>
      </c>
      <c r="C47" s="1315" t="s">
        <v>2579</v>
      </c>
      <c r="D47" s="1093" t="str">
        <f t="shared" ref="D47:D57" si="4">CONCATENATE(B47, " - ", C47)</f>
        <v>5,1 - Executive support</v>
      </c>
      <c r="E47" s="1125" t="s">
        <v>2651</v>
      </c>
    </row>
    <row r="48" spans="2:5" x14ac:dyDescent="0.2">
      <c r="B48" s="1095">
        <v>5.2</v>
      </c>
      <c r="C48" s="1315" t="s">
        <v>2617</v>
      </c>
      <c r="D48" s="1093" t="str">
        <f t="shared" si="4"/>
        <v xml:space="preserve">5,2 - Water services </v>
      </c>
      <c r="E48" s="1125" t="s">
        <v>2652</v>
      </c>
    </row>
    <row r="49" spans="2:5" x14ac:dyDescent="0.2">
      <c r="B49" s="1095">
        <v>5.3</v>
      </c>
      <c r="C49" s="1315" t="s">
        <v>2618</v>
      </c>
      <c r="D49" s="1093" t="str">
        <f t="shared" si="4"/>
        <v>5,3 - Public works</v>
      </c>
      <c r="E49" s="1125" t="s">
        <v>2653</v>
      </c>
    </row>
    <row r="50" spans="2:5" x14ac:dyDescent="0.2">
      <c r="B50" s="1095">
        <v>5.4</v>
      </c>
      <c r="C50" s="1315" t="s">
        <v>2619</v>
      </c>
      <c r="D50" s="1093" t="str">
        <f t="shared" si="4"/>
        <v>5,4 - Waste Water services</v>
      </c>
      <c r="E50" s="1125" t="s">
        <v>2654</v>
      </c>
    </row>
    <row r="51" spans="2:5" x14ac:dyDescent="0.2">
      <c r="B51" s="1095">
        <v>5.5</v>
      </c>
      <c r="C51" s="1315" t="s">
        <v>2620</v>
      </c>
      <c r="D51" s="1093" t="str">
        <f t="shared" si="4"/>
        <v>5,5 - Electrical Services</v>
      </c>
      <c r="E51" s="1125" t="s">
        <v>2655</v>
      </c>
    </row>
    <row r="52" spans="2:5" x14ac:dyDescent="0.2">
      <c r="B52" s="1095">
        <v>5.6</v>
      </c>
      <c r="C52" s="1315" t="s">
        <v>2621</v>
      </c>
      <c r="D52" s="1093" t="str">
        <f t="shared" si="4"/>
        <v>5,6 - Mechanical workshop</v>
      </c>
      <c r="E52" s="1125" t="s">
        <v>2656</v>
      </c>
    </row>
    <row r="53" spans="2:5" x14ac:dyDescent="0.2">
      <c r="B53" s="1095">
        <v>5.7</v>
      </c>
      <c r="C53" s="1315" t="s">
        <v>2622</v>
      </c>
      <c r="D53" s="1093" t="str">
        <f t="shared" si="4"/>
        <v>5,7 - PMU Capital projects &amp; GIS</v>
      </c>
      <c r="E53" s="1125" t="s">
        <v>2657</v>
      </c>
    </row>
    <row r="54" spans="2:5" x14ac:dyDescent="0.2">
      <c r="B54" s="1095">
        <v>5.8</v>
      </c>
      <c r="C54" s="1315" t="s">
        <v>2623</v>
      </c>
      <c r="D54" s="1093" t="str">
        <f t="shared" si="4"/>
        <v>5,8 - Town Planning</v>
      </c>
      <c r="E54" s="1125" t="s">
        <v>2658</v>
      </c>
    </row>
    <row r="55" spans="2:5" x14ac:dyDescent="0.2">
      <c r="B55" s="1095">
        <v>5.9</v>
      </c>
      <c r="C55" s="1315" t="s">
        <v>2624</v>
      </c>
      <c r="D55" s="1093" t="str">
        <f t="shared" si="4"/>
        <v>5,9 - Building Control</v>
      </c>
      <c r="E55" s="1125" t="s">
        <v>2659</v>
      </c>
    </row>
    <row r="56" spans="2:5" x14ac:dyDescent="0.2">
      <c r="B56" s="1095" t="s">
        <v>1772</v>
      </c>
      <c r="C56" s="1315" t="s">
        <v>2625</v>
      </c>
      <c r="D56" s="1093" t="str">
        <f t="shared" si="4"/>
        <v>5.10 - Workshop Carpenter</v>
      </c>
      <c r="E56" s="1125" t="s">
        <v>2660</v>
      </c>
    </row>
    <row r="57" spans="2:5" x14ac:dyDescent="0.2">
      <c r="B57" s="1094" t="s">
        <v>1746</v>
      </c>
      <c r="C57" s="1314" t="s">
        <v>2626</v>
      </c>
      <c r="D57" s="1093" t="str">
        <f t="shared" si="4"/>
        <v>Vote 6 - COMMUNITY SERVICES</v>
      </c>
      <c r="E57" s="1125"/>
    </row>
    <row r="58" spans="2:5" x14ac:dyDescent="0.2">
      <c r="B58" s="1094">
        <v>6.1</v>
      </c>
      <c r="C58" s="1315" t="s">
        <v>2627</v>
      </c>
      <c r="E58" s="1125" t="s">
        <v>2671</v>
      </c>
    </row>
    <row r="59" spans="2:5" x14ac:dyDescent="0.2">
      <c r="B59" s="1097">
        <v>6.2</v>
      </c>
      <c r="C59" s="1315" t="s">
        <v>2628</v>
      </c>
      <c r="D59" s="1093" t="str">
        <f t="shared" ref="D59:D68" si="5">CONCATENATE(B59, " - ", C59)</f>
        <v>6,2 - Parks, Cemetries &amp; public amenities</v>
      </c>
      <c r="E59" s="1125" t="s">
        <v>2661</v>
      </c>
    </row>
    <row r="60" spans="2:5" x14ac:dyDescent="0.2">
      <c r="B60" s="1097">
        <v>6.3</v>
      </c>
      <c r="C60" s="1863" t="s">
        <v>2629</v>
      </c>
      <c r="D60" s="1093" t="str">
        <f t="shared" si="5"/>
        <v>6,3 - Library services</v>
      </c>
      <c r="E60" s="1125" t="s">
        <v>2662</v>
      </c>
    </row>
    <row r="61" spans="2:5" x14ac:dyDescent="0.2">
      <c r="B61" s="1097">
        <v>6.4</v>
      </c>
      <c r="C61" s="1863" t="s">
        <v>2630</v>
      </c>
      <c r="D61" s="1093" t="str">
        <f t="shared" si="5"/>
        <v>6,4 - Human Settlements</v>
      </c>
      <c r="E61" s="1125" t="s">
        <v>2663</v>
      </c>
    </row>
    <row r="62" spans="2:5" x14ac:dyDescent="0.2">
      <c r="B62" s="1097">
        <v>6.5</v>
      </c>
      <c r="C62" s="1863" t="s">
        <v>2631</v>
      </c>
      <c r="D62" s="1093" t="str">
        <f t="shared" si="5"/>
        <v>6,5 - Environmental management</v>
      </c>
      <c r="E62" s="1125" t="s">
        <v>2664</v>
      </c>
    </row>
    <row r="63" spans="2:5" x14ac:dyDescent="0.2">
      <c r="B63" s="1097">
        <v>6.6</v>
      </c>
      <c r="C63" s="1315" t="s">
        <v>2632</v>
      </c>
      <c r="D63" s="1093" t="str">
        <f t="shared" si="5"/>
        <v>6,6 - Traffic &amp; law enforcement services</v>
      </c>
      <c r="E63" s="1125" t="s">
        <v>2665</v>
      </c>
    </row>
    <row r="64" spans="2:5" x14ac:dyDescent="0.2">
      <c r="B64" s="1097">
        <v>6.7</v>
      </c>
      <c r="C64" s="1315" t="s">
        <v>2633</v>
      </c>
      <c r="D64" s="1093" t="str">
        <f t="shared" si="5"/>
        <v>6,7 - Driving license testing station; Motor vehicle registration &amp; Vehicle testing station</v>
      </c>
      <c r="E64" s="1125" t="s">
        <v>2666</v>
      </c>
    </row>
    <row r="65" spans="2:5" x14ac:dyDescent="0.2">
      <c r="B65" s="1097">
        <v>6.8</v>
      </c>
      <c r="C65" s="1315" t="s">
        <v>2634</v>
      </c>
      <c r="D65" s="1093" t="str">
        <f t="shared" si="5"/>
        <v>6,8 - Disaster management &amp; Fire services</v>
      </c>
      <c r="E65" s="1125" t="s">
        <v>2667</v>
      </c>
    </row>
    <row r="66" spans="2:5" x14ac:dyDescent="0.2">
      <c r="B66" s="1097">
        <v>6.9</v>
      </c>
      <c r="C66" s="1315" t="s">
        <v>2635</v>
      </c>
      <c r="D66" s="1093" t="str">
        <f t="shared" si="5"/>
        <v>6,9 - Area Cleansing</v>
      </c>
      <c r="E66" s="1125" t="s">
        <v>2668</v>
      </c>
    </row>
    <row r="67" spans="2:5" x14ac:dyDescent="0.2">
      <c r="B67" s="1097">
        <v>6.1</v>
      </c>
      <c r="C67" s="1315" t="s">
        <v>2636</v>
      </c>
      <c r="D67" s="1093" t="str">
        <f t="shared" si="5"/>
        <v>6,1 - Refuse removal, Skips &amp; illegal dumping</v>
      </c>
      <c r="E67" s="1125" t="s">
        <v>2669</v>
      </c>
    </row>
    <row r="68" spans="2:5" x14ac:dyDescent="0.2">
      <c r="B68" s="1097">
        <v>6.11</v>
      </c>
      <c r="C68" s="1315" t="s">
        <v>2637</v>
      </c>
      <c r="D68" s="1093" t="str">
        <f t="shared" si="5"/>
        <v>6,11 - Landfill sites &amp; transfer stations</v>
      </c>
      <c r="E68" s="1125" t="s">
        <v>2670</v>
      </c>
    </row>
    <row r="69" spans="2:5" x14ac:dyDescent="0.2">
      <c r="B69" s="1096" t="s">
        <v>1747</v>
      </c>
      <c r="C69" s="1314" t="s">
        <v>1784</v>
      </c>
      <c r="E69" s="1125"/>
    </row>
    <row r="70" spans="2:5" x14ac:dyDescent="0.2">
      <c r="B70" s="1095">
        <v>7.1</v>
      </c>
      <c r="C70" s="1315" t="s">
        <v>1767</v>
      </c>
      <c r="D70" s="1093" t="str">
        <f t="shared" ref="D70:D79" si="6">CONCATENATE(B70, " - ", C70)</f>
        <v>7,1 - [Name of sub-vote]</v>
      </c>
      <c r="E70" s="1125" t="s">
        <v>1793</v>
      </c>
    </row>
    <row r="71" spans="2:5" x14ac:dyDescent="0.2">
      <c r="B71" s="1095">
        <v>7.2</v>
      </c>
      <c r="C71" s="1315" t="s">
        <v>1767</v>
      </c>
      <c r="D71" s="1093" t="str">
        <f t="shared" si="6"/>
        <v>7,2 - [Name of sub-vote]</v>
      </c>
      <c r="E71" s="1125"/>
    </row>
    <row r="72" spans="2:5" x14ac:dyDescent="0.2">
      <c r="B72" s="1095">
        <v>7.3</v>
      </c>
      <c r="C72" s="1315" t="s">
        <v>1767</v>
      </c>
      <c r="D72" s="1093" t="str">
        <f t="shared" si="6"/>
        <v>7,3 - [Name of sub-vote]</v>
      </c>
      <c r="E72" s="1125"/>
    </row>
    <row r="73" spans="2:5" x14ac:dyDescent="0.2">
      <c r="B73" s="1095">
        <v>7.4</v>
      </c>
      <c r="C73" s="1315" t="s">
        <v>1767</v>
      </c>
      <c r="D73" s="1093" t="str">
        <f t="shared" si="6"/>
        <v>7,4 - [Name of sub-vote]</v>
      </c>
      <c r="E73" s="1125"/>
    </row>
    <row r="74" spans="2:5" x14ac:dyDescent="0.2">
      <c r="B74" s="1095">
        <v>7.5</v>
      </c>
      <c r="C74" s="1315" t="s">
        <v>1767</v>
      </c>
      <c r="D74" s="1093" t="str">
        <f t="shared" si="6"/>
        <v>7,5 - [Name of sub-vote]</v>
      </c>
      <c r="E74" s="1125"/>
    </row>
    <row r="75" spans="2:5" x14ac:dyDescent="0.2">
      <c r="B75" s="1095">
        <v>7.6</v>
      </c>
      <c r="C75" s="1315" t="s">
        <v>1767</v>
      </c>
      <c r="D75" s="1093" t="str">
        <f t="shared" si="6"/>
        <v>7,6 - [Name of sub-vote]</v>
      </c>
      <c r="E75" s="1125"/>
    </row>
    <row r="76" spans="2:5" x14ac:dyDescent="0.2">
      <c r="B76" s="1095">
        <v>7.7</v>
      </c>
      <c r="C76" s="1315" t="s">
        <v>1767</v>
      </c>
      <c r="D76" s="1093" t="str">
        <f t="shared" si="6"/>
        <v>7,7 - [Name of sub-vote]</v>
      </c>
      <c r="E76" s="1125"/>
    </row>
    <row r="77" spans="2:5" x14ac:dyDescent="0.2">
      <c r="B77" s="1095">
        <v>7.8</v>
      </c>
      <c r="C77" s="1315" t="s">
        <v>1767</v>
      </c>
      <c r="D77" s="1093" t="str">
        <f t="shared" si="6"/>
        <v>7,8 - [Name of sub-vote]</v>
      </c>
      <c r="E77" s="1125"/>
    </row>
    <row r="78" spans="2:5" x14ac:dyDescent="0.2">
      <c r="B78" s="1095">
        <v>7.9</v>
      </c>
      <c r="C78" s="1315" t="s">
        <v>1767</v>
      </c>
      <c r="D78" s="1093" t="str">
        <f t="shared" si="6"/>
        <v>7,9 - [Name of sub-vote]</v>
      </c>
      <c r="E78" s="1125"/>
    </row>
    <row r="79" spans="2:5" x14ac:dyDescent="0.2">
      <c r="B79" s="1095" t="s">
        <v>1773</v>
      </c>
      <c r="C79" s="1315" t="s">
        <v>1767</v>
      </c>
      <c r="D79" s="1093" t="str">
        <f t="shared" si="6"/>
        <v>7.10 - [Name of sub-vote]</v>
      </c>
      <c r="E79" s="1125"/>
    </row>
    <row r="80" spans="2:5" x14ac:dyDescent="0.2">
      <c r="B80" s="1096" t="s">
        <v>1748</v>
      </c>
      <c r="C80" s="1314" t="s">
        <v>1785</v>
      </c>
      <c r="E80" s="1125"/>
    </row>
    <row r="81" spans="2:5" x14ac:dyDescent="0.2">
      <c r="B81" s="1095">
        <v>8.1</v>
      </c>
      <c r="C81" s="1315" t="s">
        <v>1767</v>
      </c>
      <c r="D81" s="1093" t="str">
        <f t="shared" ref="D81:D90" si="7">CONCATENATE(B81, " - ", C81)</f>
        <v>8,1 - [Name of sub-vote]</v>
      </c>
      <c r="E81" s="1125" t="s">
        <v>1794</v>
      </c>
    </row>
    <row r="82" spans="2:5" x14ac:dyDescent="0.2">
      <c r="B82" s="1095">
        <v>8.1999999999999993</v>
      </c>
      <c r="C82" s="1315" t="s">
        <v>1767</v>
      </c>
      <c r="D82" s="1093" t="str">
        <f t="shared" si="7"/>
        <v>8,2 - [Name of sub-vote]</v>
      </c>
      <c r="E82" s="1125"/>
    </row>
    <row r="83" spans="2:5" x14ac:dyDescent="0.2">
      <c r="B83" s="1095">
        <v>8.3000000000000007</v>
      </c>
      <c r="C83" s="1315" t="s">
        <v>1767</v>
      </c>
      <c r="D83" s="1093" t="str">
        <f t="shared" si="7"/>
        <v>8,3 - [Name of sub-vote]</v>
      </c>
      <c r="E83" s="1125"/>
    </row>
    <row r="84" spans="2:5" x14ac:dyDescent="0.2">
      <c r="B84" s="1095">
        <v>8.4</v>
      </c>
      <c r="C84" s="1315" t="s">
        <v>1767</v>
      </c>
      <c r="D84" s="1093" t="str">
        <f t="shared" si="7"/>
        <v>8,4 - [Name of sub-vote]</v>
      </c>
      <c r="E84" s="1125"/>
    </row>
    <row r="85" spans="2:5" x14ac:dyDescent="0.2">
      <c r="B85" s="1095">
        <v>8.5</v>
      </c>
      <c r="C85" s="1315" t="s">
        <v>1767</v>
      </c>
      <c r="D85" s="1093" t="str">
        <f t="shared" si="7"/>
        <v>8,5 - [Name of sub-vote]</v>
      </c>
      <c r="E85" s="1125"/>
    </row>
    <row r="86" spans="2:5" x14ac:dyDescent="0.2">
      <c r="B86" s="1095">
        <v>8.6</v>
      </c>
      <c r="C86" s="1315" t="s">
        <v>1767</v>
      </c>
      <c r="D86" s="1093" t="str">
        <f t="shared" si="7"/>
        <v>8,6 - [Name of sub-vote]</v>
      </c>
      <c r="E86" s="1125"/>
    </row>
    <row r="87" spans="2:5" x14ac:dyDescent="0.2">
      <c r="B87" s="1095">
        <v>8.6999999999999993</v>
      </c>
      <c r="C87" s="1315" t="s">
        <v>1767</v>
      </c>
      <c r="D87" s="1093" t="str">
        <f t="shared" si="7"/>
        <v>8,7 - [Name of sub-vote]</v>
      </c>
      <c r="E87" s="1125"/>
    </row>
    <row r="88" spans="2:5" x14ac:dyDescent="0.2">
      <c r="B88" s="1095">
        <v>8.8000000000000007</v>
      </c>
      <c r="C88" s="1315" t="s">
        <v>1767</v>
      </c>
      <c r="D88" s="1093" t="str">
        <f t="shared" si="7"/>
        <v>8,8 - [Name of sub-vote]</v>
      </c>
      <c r="E88" s="1125"/>
    </row>
    <row r="89" spans="2:5" x14ac:dyDescent="0.2">
      <c r="B89" s="1095">
        <v>8.9</v>
      </c>
      <c r="C89" s="1315" t="s">
        <v>1767</v>
      </c>
      <c r="D89" s="1093" t="str">
        <f t="shared" si="7"/>
        <v>8,9 - [Name of sub-vote]</v>
      </c>
      <c r="E89" s="1125"/>
    </row>
    <row r="90" spans="2:5" x14ac:dyDescent="0.2">
      <c r="B90" s="1095" t="s">
        <v>1774</v>
      </c>
      <c r="C90" s="1315" t="s">
        <v>1767</v>
      </c>
      <c r="D90" s="1093" t="str">
        <f t="shared" si="7"/>
        <v>8.10 - [Name of sub-vote]</v>
      </c>
      <c r="E90" s="1125"/>
    </row>
    <row r="91" spans="2:5" x14ac:dyDescent="0.2">
      <c r="B91" s="1096" t="s">
        <v>1749</v>
      </c>
      <c r="C91" s="1314" t="s">
        <v>1786</v>
      </c>
      <c r="E91" s="1125"/>
    </row>
    <row r="92" spans="2:5" x14ac:dyDescent="0.2">
      <c r="B92" s="1095">
        <v>9.1</v>
      </c>
      <c r="C92" s="1315" t="s">
        <v>1767</v>
      </c>
      <c r="D92" s="1093" t="str">
        <f t="shared" ref="D92:D101" si="8">CONCATENATE(B92, " - ", C92)</f>
        <v>9,1 - [Name of sub-vote]</v>
      </c>
      <c r="E92" s="1125" t="s">
        <v>1795</v>
      </c>
    </row>
    <row r="93" spans="2:5" x14ac:dyDescent="0.2">
      <c r="B93" s="1095">
        <v>9.1999999999999993</v>
      </c>
      <c r="C93" s="1315" t="s">
        <v>1767</v>
      </c>
      <c r="D93" s="1093" t="str">
        <f t="shared" si="8"/>
        <v>9,2 - [Name of sub-vote]</v>
      </c>
      <c r="E93" s="1125"/>
    </row>
    <row r="94" spans="2:5" x14ac:dyDescent="0.2">
      <c r="B94" s="1095">
        <v>9.3000000000000007</v>
      </c>
      <c r="C94" s="1315" t="s">
        <v>1767</v>
      </c>
      <c r="D94" s="1093" t="str">
        <f t="shared" si="8"/>
        <v>9,3 - [Name of sub-vote]</v>
      </c>
      <c r="E94" s="1125"/>
    </row>
    <row r="95" spans="2:5" x14ac:dyDescent="0.2">
      <c r="B95" s="1095">
        <v>9.4</v>
      </c>
      <c r="C95" s="1315" t="s">
        <v>1767</v>
      </c>
      <c r="D95" s="1093" t="str">
        <f t="shared" si="8"/>
        <v>9,4 - [Name of sub-vote]</v>
      </c>
      <c r="E95" s="1125"/>
    </row>
    <row r="96" spans="2:5" x14ac:dyDescent="0.2">
      <c r="B96" s="1095">
        <v>9.5</v>
      </c>
      <c r="C96" s="1315" t="s">
        <v>1767</v>
      </c>
      <c r="D96" s="1093" t="str">
        <f t="shared" si="8"/>
        <v>9,5 - [Name of sub-vote]</v>
      </c>
      <c r="E96" s="1125"/>
    </row>
    <row r="97" spans="2:5" x14ac:dyDescent="0.2">
      <c r="B97" s="1095">
        <v>9.6</v>
      </c>
      <c r="C97" s="1315" t="s">
        <v>1767</v>
      </c>
      <c r="D97" s="1093" t="str">
        <f t="shared" si="8"/>
        <v>9,6 - [Name of sub-vote]</v>
      </c>
      <c r="E97" s="1125"/>
    </row>
    <row r="98" spans="2:5" x14ac:dyDescent="0.2">
      <c r="B98" s="1095">
        <v>9.6999999999999993</v>
      </c>
      <c r="C98" s="1315" t="s">
        <v>1767</v>
      </c>
      <c r="D98" s="1093" t="str">
        <f t="shared" si="8"/>
        <v>9,7 - [Name of sub-vote]</v>
      </c>
      <c r="E98" s="1125"/>
    </row>
    <row r="99" spans="2:5" x14ac:dyDescent="0.2">
      <c r="B99" s="1095">
        <v>9.8000000000000007</v>
      </c>
      <c r="C99" s="1315" t="s">
        <v>1767</v>
      </c>
      <c r="D99" s="1093" t="str">
        <f t="shared" si="8"/>
        <v>9,8 - [Name of sub-vote]</v>
      </c>
      <c r="E99" s="1125"/>
    </row>
    <row r="100" spans="2:5" x14ac:dyDescent="0.2">
      <c r="B100" s="1095">
        <v>9.9</v>
      </c>
      <c r="C100" s="1315" t="s">
        <v>1767</v>
      </c>
      <c r="D100" s="1093" t="str">
        <f t="shared" si="8"/>
        <v>9,9 - [Name of sub-vote]</v>
      </c>
      <c r="E100" s="1125"/>
    </row>
    <row r="101" spans="2:5" x14ac:dyDescent="0.2">
      <c r="B101" s="1095" t="s">
        <v>1775</v>
      </c>
      <c r="C101" s="1315" t="s">
        <v>1767</v>
      </c>
      <c r="D101" s="1093" t="str">
        <f t="shared" si="8"/>
        <v>9.10 - [Name of sub-vote]</v>
      </c>
      <c r="E101" s="1125"/>
    </row>
    <row r="102" spans="2:5" x14ac:dyDescent="0.2">
      <c r="B102" s="1096" t="s">
        <v>1750</v>
      </c>
      <c r="C102" s="1314" t="s">
        <v>1787</v>
      </c>
      <c r="E102" s="1125"/>
    </row>
    <row r="103" spans="2:5" x14ac:dyDescent="0.2">
      <c r="B103" s="1095">
        <v>10.1</v>
      </c>
      <c r="C103" s="1315" t="s">
        <v>1767</v>
      </c>
      <c r="D103" s="1093" t="str">
        <f t="shared" ref="D103:D112" si="9">CONCATENATE(B103, " - ", C103)</f>
        <v>10,1 - [Name of sub-vote]</v>
      </c>
      <c r="E103" s="1125" t="s">
        <v>1796</v>
      </c>
    </row>
    <row r="104" spans="2:5" x14ac:dyDescent="0.2">
      <c r="B104" s="1095">
        <v>10.199999999999999</v>
      </c>
      <c r="C104" s="1315" t="s">
        <v>1767</v>
      </c>
      <c r="D104" s="1093" t="str">
        <f t="shared" si="9"/>
        <v>10,2 - [Name of sub-vote]</v>
      </c>
      <c r="E104" s="1125"/>
    </row>
    <row r="105" spans="2:5" x14ac:dyDescent="0.2">
      <c r="B105" s="1095">
        <v>10.3</v>
      </c>
      <c r="C105" s="1315" t="s">
        <v>1767</v>
      </c>
      <c r="D105" s="1093" t="str">
        <f t="shared" si="9"/>
        <v>10,3 - [Name of sub-vote]</v>
      </c>
      <c r="E105" s="1125"/>
    </row>
    <row r="106" spans="2:5" x14ac:dyDescent="0.2">
      <c r="B106" s="1095">
        <v>10.4</v>
      </c>
      <c r="C106" s="1315" t="s">
        <v>1767</v>
      </c>
      <c r="D106" s="1093" t="str">
        <f t="shared" si="9"/>
        <v>10,4 - [Name of sub-vote]</v>
      </c>
      <c r="E106" s="1125"/>
    </row>
    <row r="107" spans="2:5" x14ac:dyDescent="0.2">
      <c r="B107" s="1095">
        <v>10.5</v>
      </c>
      <c r="C107" s="1315" t="s">
        <v>1767</v>
      </c>
      <c r="D107" s="1093" t="str">
        <f t="shared" si="9"/>
        <v>10,5 - [Name of sub-vote]</v>
      </c>
      <c r="E107" s="1125"/>
    </row>
    <row r="108" spans="2:5" x14ac:dyDescent="0.2">
      <c r="B108" s="1095">
        <v>10.6</v>
      </c>
      <c r="C108" s="1315" t="s">
        <v>1767</v>
      </c>
      <c r="D108" s="1093" t="str">
        <f t="shared" si="9"/>
        <v>10,6 - [Name of sub-vote]</v>
      </c>
      <c r="E108" s="1125"/>
    </row>
    <row r="109" spans="2:5" x14ac:dyDescent="0.2">
      <c r="B109" s="1095">
        <v>10.7</v>
      </c>
      <c r="C109" s="1315" t="s">
        <v>1767</v>
      </c>
      <c r="D109" s="1093" t="str">
        <f t="shared" si="9"/>
        <v>10,7 - [Name of sub-vote]</v>
      </c>
      <c r="E109" s="1125"/>
    </row>
    <row r="110" spans="2:5" x14ac:dyDescent="0.2">
      <c r="B110" s="1095">
        <v>10.8</v>
      </c>
      <c r="C110" s="1315" t="s">
        <v>1767</v>
      </c>
      <c r="D110" s="1093" t="str">
        <f t="shared" si="9"/>
        <v>10,8 - [Name of sub-vote]</v>
      </c>
      <c r="E110" s="1125"/>
    </row>
    <row r="111" spans="2:5" x14ac:dyDescent="0.2">
      <c r="B111" s="1095">
        <v>10.9</v>
      </c>
      <c r="C111" s="1315" t="s">
        <v>1767</v>
      </c>
      <c r="D111" s="1093" t="str">
        <f t="shared" si="9"/>
        <v>10,9 - [Name of sub-vote]</v>
      </c>
      <c r="E111" s="1125"/>
    </row>
    <row r="112" spans="2:5" x14ac:dyDescent="0.2">
      <c r="B112" s="1095" t="s">
        <v>1776</v>
      </c>
      <c r="C112" s="1315" t="s">
        <v>1767</v>
      </c>
      <c r="D112" s="1093" t="str">
        <f t="shared" si="9"/>
        <v>10.10 - [Name of sub-vote]</v>
      </c>
      <c r="E112" s="1125"/>
    </row>
    <row r="113" spans="2:5" x14ac:dyDescent="0.2">
      <c r="B113" s="1096" t="s">
        <v>1751</v>
      </c>
      <c r="C113" s="1314" t="s">
        <v>1788</v>
      </c>
      <c r="E113" s="1125"/>
    </row>
    <row r="114" spans="2:5" x14ac:dyDescent="0.2">
      <c r="B114" s="1095">
        <v>11.1</v>
      </c>
      <c r="C114" s="1315" t="s">
        <v>1767</v>
      </c>
      <c r="D114" s="1093" t="str">
        <f t="shared" ref="D114:D123" si="10">CONCATENATE(B114, " - ", C114)</f>
        <v>11,1 - [Name of sub-vote]</v>
      </c>
      <c r="E114" s="1125" t="s">
        <v>1797</v>
      </c>
    </row>
    <row r="115" spans="2:5" x14ac:dyDescent="0.2">
      <c r="B115" s="1095">
        <v>11.2</v>
      </c>
      <c r="C115" s="1315" t="s">
        <v>1767</v>
      </c>
      <c r="D115" s="1093" t="str">
        <f t="shared" si="10"/>
        <v>11,2 - [Name of sub-vote]</v>
      </c>
      <c r="E115" s="1125"/>
    </row>
    <row r="116" spans="2:5" x14ac:dyDescent="0.2">
      <c r="B116" s="1095">
        <v>11.3</v>
      </c>
      <c r="C116" s="1315" t="s">
        <v>1767</v>
      </c>
      <c r="D116" s="1093" t="str">
        <f t="shared" si="10"/>
        <v>11,3 - [Name of sub-vote]</v>
      </c>
      <c r="E116" s="1125"/>
    </row>
    <row r="117" spans="2:5" x14ac:dyDescent="0.2">
      <c r="B117" s="1095">
        <v>11.4</v>
      </c>
      <c r="C117" s="1315" t="s">
        <v>1767</v>
      </c>
      <c r="D117" s="1093" t="str">
        <f t="shared" si="10"/>
        <v>11,4 - [Name of sub-vote]</v>
      </c>
      <c r="E117" s="1125"/>
    </row>
    <row r="118" spans="2:5" x14ac:dyDescent="0.2">
      <c r="B118" s="1095">
        <v>11.5</v>
      </c>
      <c r="C118" s="1315" t="s">
        <v>1767</v>
      </c>
      <c r="D118" s="1093" t="str">
        <f t="shared" si="10"/>
        <v>11,5 - [Name of sub-vote]</v>
      </c>
      <c r="E118" s="1125"/>
    </row>
    <row r="119" spans="2:5" x14ac:dyDescent="0.2">
      <c r="B119" s="1095">
        <v>11.6</v>
      </c>
      <c r="C119" s="1315" t="s">
        <v>1767</v>
      </c>
      <c r="D119" s="1093" t="str">
        <f t="shared" si="10"/>
        <v>11,6 - [Name of sub-vote]</v>
      </c>
      <c r="E119" s="1125"/>
    </row>
    <row r="120" spans="2:5" x14ac:dyDescent="0.2">
      <c r="B120" s="1095">
        <v>11.7</v>
      </c>
      <c r="C120" s="1315" t="s">
        <v>1767</v>
      </c>
      <c r="D120" s="1093" t="str">
        <f t="shared" si="10"/>
        <v>11,7 - [Name of sub-vote]</v>
      </c>
      <c r="E120" s="1125"/>
    </row>
    <row r="121" spans="2:5" x14ac:dyDescent="0.2">
      <c r="B121" s="1095">
        <v>11.8</v>
      </c>
      <c r="C121" s="1315" t="s">
        <v>1767</v>
      </c>
      <c r="D121" s="1093" t="str">
        <f t="shared" si="10"/>
        <v>11,8 - [Name of sub-vote]</v>
      </c>
      <c r="E121" s="1125"/>
    </row>
    <row r="122" spans="2:5" x14ac:dyDescent="0.2">
      <c r="B122" s="1095">
        <v>11.9</v>
      </c>
      <c r="C122" s="1315" t="s">
        <v>1767</v>
      </c>
      <c r="D122" s="1093" t="str">
        <f t="shared" si="10"/>
        <v>11,9 - [Name of sub-vote]</v>
      </c>
      <c r="E122" s="1125"/>
    </row>
    <row r="123" spans="2:5" x14ac:dyDescent="0.2">
      <c r="B123" s="1095" t="s">
        <v>1777</v>
      </c>
      <c r="C123" s="1315" t="s">
        <v>1767</v>
      </c>
      <c r="D123" s="1093" t="str">
        <f t="shared" si="10"/>
        <v>11.10 - [Name of sub-vote]</v>
      </c>
      <c r="E123" s="1125"/>
    </row>
    <row r="124" spans="2:5" x14ac:dyDescent="0.2">
      <c r="B124" s="1096" t="s">
        <v>1752</v>
      </c>
      <c r="C124" s="1314" t="s">
        <v>1789</v>
      </c>
      <c r="E124" s="1125"/>
    </row>
    <row r="125" spans="2:5" x14ac:dyDescent="0.2">
      <c r="B125" s="1095">
        <v>12.1</v>
      </c>
      <c r="C125" s="1315" t="s">
        <v>1767</v>
      </c>
      <c r="D125" s="1093" t="str">
        <f t="shared" ref="D125:D134" si="11">CONCATENATE(B125, " - ", C125)</f>
        <v>12,1 - [Name of sub-vote]</v>
      </c>
      <c r="E125" s="1125" t="s">
        <v>1798</v>
      </c>
    </row>
    <row r="126" spans="2:5" x14ac:dyDescent="0.2">
      <c r="B126" s="1095">
        <v>12.2</v>
      </c>
      <c r="C126" s="1315" t="s">
        <v>1767</v>
      </c>
      <c r="D126" s="1093" t="str">
        <f t="shared" si="11"/>
        <v>12,2 - [Name of sub-vote]</v>
      </c>
      <c r="E126" s="1125"/>
    </row>
    <row r="127" spans="2:5" x14ac:dyDescent="0.2">
      <c r="B127" s="1095">
        <v>12.3</v>
      </c>
      <c r="C127" s="1315" t="s">
        <v>1767</v>
      </c>
      <c r="D127" s="1093" t="str">
        <f t="shared" si="11"/>
        <v>12,3 - [Name of sub-vote]</v>
      </c>
      <c r="E127" s="1125"/>
    </row>
    <row r="128" spans="2:5" x14ac:dyDescent="0.2">
      <c r="B128" s="1095">
        <v>12.4</v>
      </c>
      <c r="C128" s="1315" t="s">
        <v>1767</v>
      </c>
      <c r="D128" s="1093" t="str">
        <f t="shared" si="11"/>
        <v>12,4 - [Name of sub-vote]</v>
      </c>
      <c r="E128" s="1125"/>
    </row>
    <row r="129" spans="2:5" x14ac:dyDescent="0.2">
      <c r="B129" s="1095">
        <v>12.5</v>
      </c>
      <c r="C129" s="1315" t="s">
        <v>1767</v>
      </c>
      <c r="D129" s="1093" t="str">
        <f t="shared" si="11"/>
        <v>12,5 - [Name of sub-vote]</v>
      </c>
      <c r="E129" s="1125"/>
    </row>
    <row r="130" spans="2:5" x14ac:dyDescent="0.2">
      <c r="B130" s="1095">
        <v>12.6</v>
      </c>
      <c r="C130" s="1315" t="s">
        <v>1767</v>
      </c>
      <c r="D130" s="1093" t="str">
        <f t="shared" si="11"/>
        <v>12,6 - [Name of sub-vote]</v>
      </c>
      <c r="E130" s="1125"/>
    </row>
    <row r="131" spans="2:5" x14ac:dyDescent="0.2">
      <c r="B131" s="1095">
        <v>12.7</v>
      </c>
      <c r="C131" s="1315" t="s">
        <v>1767</v>
      </c>
      <c r="D131" s="1093" t="str">
        <f t="shared" si="11"/>
        <v>12,7 - [Name of sub-vote]</v>
      </c>
      <c r="E131" s="1125"/>
    </row>
    <row r="132" spans="2:5" x14ac:dyDescent="0.2">
      <c r="B132" s="1095">
        <v>12.8</v>
      </c>
      <c r="C132" s="1315" t="s">
        <v>1767</v>
      </c>
      <c r="D132" s="1093" t="str">
        <f t="shared" si="11"/>
        <v>12,8 - [Name of sub-vote]</v>
      </c>
      <c r="E132" s="1125"/>
    </row>
    <row r="133" spans="2:5" x14ac:dyDescent="0.2">
      <c r="B133" s="1095">
        <v>12.9</v>
      </c>
      <c r="C133" s="1315" t="s">
        <v>1767</v>
      </c>
      <c r="D133" s="1093" t="str">
        <f t="shared" si="11"/>
        <v>12,9 - [Name of sub-vote]</v>
      </c>
      <c r="E133" s="1125"/>
    </row>
    <row r="134" spans="2:5" x14ac:dyDescent="0.2">
      <c r="B134" s="1095" t="s">
        <v>1778</v>
      </c>
      <c r="C134" s="1315" t="s">
        <v>1767</v>
      </c>
      <c r="D134" s="1093" t="str">
        <f t="shared" si="11"/>
        <v>12.10 - [Name of sub-vote]</v>
      </c>
      <c r="E134" s="1125"/>
    </row>
    <row r="135" spans="2:5" x14ac:dyDescent="0.2">
      <c r="B135" s="1096" t="s">
        <v>1753</v>
      </c>
      <c r="C135" s="1314" t="s">
        <v>1790</v>
      </c>
      <c r="E135" s="1125"/>
    </row>
    <row r="136" spans="2:5" x14ac:dyDescent="0.2">
      <c r="B136" s="1095">
        <v>13.1</v>
      </c>
      <c r="C136" s="1315" t="s">
        <v>1767</v>
      </c>
      <c r="D136" s="1093" t="str">
        <f t="shared" ref="D136:D145" si="12">CONCATENATE(B136, " - ", C136)</f>
        <v>13,1 - [Name of sub-vote]</v>
      </c>
      <c r="E136" s="1125" t="s">
        <v>1799</v>
      </c>
    </row>
    <row r="137" spans="2:5" x14ac:dyDescent="0.2">
      <c r="B137" s="1095">
        <v>13.2</v>
      </c>
      <c r="C137" s="1315" t="s">
        <v>1767</v>
      </c>
      <c r="D137" s="1093" t="str">
        <f t="shared" si="12"/>
        <v>13,2 - [Name of sub-vote]</v>
      </c>
      <c r="E137" s="1125"/>
    </row>
    <row r="138" spans="2:5" x14ac:dyDescent="0.2">
      <c r="B138" s="1095">
        <v>13.3</v>
      </c>
      <c r="C138" s="1315" t="s">
        <v>1767</v>
      </c>
      <c r="D138" s="1093" t="str">
        <f t="shared" si="12"/>
        <v>13,3 - [Name of sub-vote]</v>
      </c>
      <c r="E138" s="1125"/>
    </row>
    <row r="139" spans="2:5" x14ac:dyDescent="0.2">
      <c r="B139" s="1095">
        <v>13.4</v>
      </c>
      <c r="C139" s="1315" t="s">
        <v>1767</v>
      </c>
      <c r="D139" s="1093" t="str">
        <f t="shared" si="12"/>
        <v>13,4 - [Name of sub-vote]</v>
      </c>
      <c r="E139" s="1125"/>
    </row>
    <row r="140" spans="2:5" x14ac:dyDescent="0.2">
      <c r="B140" s="1095">
        <v>13.5</v>
      </c>
      <c r="C140" s="1315" t="s">
        <v>1767</v>
      </c>
      <c r="D140" s="1093" t="str">
        <f t="shared" si="12"/>
        <v>13,5 - [Name of sub-vote]</v>
      </c>
      <c r="E140" s="1125"/>
    </row>
    <row r="141" spans="2:5" x14ac:dyDescent="0.2">
      <c r="B141" s="1095">
        <v>13.6</v>
      </c>
      <c r="C141" s="1315" t="s">
        <v>1767</v>
      </c>
      <c r="D141" s="1093" t="str">
        <f t="shared" si="12"/>
        <v>13,6 - [Name of sub-vote]</v>
      </c>
      <c r="E141" s="1125"/>
    </row>
    <row r="142" spans="2:5" x14ac:dyDescent="0.2">
      <c r="B142" s="1095">
        <v>13.7</v>
      </c>
      <c r="C142" s="1315" t="s">
        <v>1767</v>
      </c>
      <c r="D142" s="1093" t="str">
        <f t="shared" si="12"/>
        <v>13,7 - [Name of sub-vote]</v>
      </c>
      <c r="E142" s="1125"/>
    </row>
    <row r="143" spans="2:5" x14ac:dyDescent="0.2">
      <c r="B143" s="1095">
        <v>13.8</v>
      </c>
      <c r="C143" s="1315" t="s">
        <v>1767</v>
      </c>
      <c r="D143" s="1093" t="str">
        <f t="shared" si="12"/>
        <v>13,8 - [Name of sub-vote]</v>
      </c>
      <c r="E143" s="1125"/>
    </row>
    <row r="144" spans="2:5" x14ac:dyDescent="0.2">
      <c r="B144" s="1095">
        <v>13.9</v>
      </c>
      <c r="C144" s="1315" t="s">
        <v>1767</v>
      </c>
      <c r="D144" s="1093" t="str">
        <f t="shared" si="12"/>
        <v>13,9 - [Name of sub-vote]</v>
      </c>
      <c r="E144" s="1125"/>
    </row>
    <row r="145" spans="2:5" x14ac:dyDescent="0.2">
      <c r="B145" s="1095" t="s">
        <v>1779</v>
      </c>
      <c r="C145" s="1315" t="s">
        <v>1767</v>
      </c>
      <c r="D145" s="1093" t="str">
        <f t="shared" si="12"/>
        <v>13.10 - [Name of sub-vote]</v>
      </c>
      <c r="E145" s="1125"/>
    </row>
    <row r="146" spans="2:5" x14ac:dyDescent="0.2">
      <c r="B146" s="1096" t="s">
        <v>1754</v>
      </c>
      <c r="C146" s="1314" t="s">
        <v>1791</v>
      </c>
      <c r="E146" s="1125"/>
    </row>
    <row r="147" spans="2:5" x14ac:dyDescent="0.2">
      <c r="B147" s="1095">
        <v>14.1</v>
      </c>
      <c r="C147" s="1315" t="s">
        <v>1767</v>
      </c>
      <c r="D147" s="1093" t="str">
        <f t="shared" ref="D147:D156" si="13">CONCATENATE(B147, " - ", C147)</f>
        <v>14,1 - [Name of sub-vote]</v>
      </c>
      <c r="E147" s="1125" t="s">
        <v>1800</v>
      </c>
    </row>
    <row r="148" spans="2:5" x14ac:dyDescent="0.2">
      <c r="B148" s="1095">
        <v>14.2</v>
      </c>
      <c r="C148" s="1315" t="s">
        <v>1767</v>
      </c>
      <c r="D148" s="1093" t="str">
        <f t="shared" si="13"/>
        <v>14,2 - [Name of sub-vote]</v>
      </c>
      <c r="E148" s="1125"/>
    </row>
    <row r="149" spans="2:5" x14ac:dyDescent="0.2">
      <c r="B149" s="1095">
        <v>14.3</v>
      </c>
      <c r="C149" s="1315" t="s">
        <v>1767</v>
      </c>
      <c r="D149" s="1093" t="str">
        <f t="shared" si="13"/>
        <v>14,3 - [Name of sub-vote]</v>
      </c>
      <c r="E149" s="1125"/>
    </row>
    <row r="150" spans="2:5" x14ac:dyDescent="0.2">
      <c r="B150" s="1095">
        <v>14.4</v>
      </c>
      <c r="C150" s="1315" t="s">
        <v>1767</v>
      </c>
      <c r="D150" s="1093" t="str">
        <f t="shared" si="13"/>
        <v>14,4 - [Name of sub-vote]</v>
      </c>
      <c r="E150" s="1125"/>
    </row>
    <row r="151" spans="2:5" x14ac:dyDescent="0.2">
      <c r="B151" s="1095">
        <v>14.5</v>
      </c>
      <c r="C151" s="1315" t="s">
        <v>1767</v>
      </c>
      <c r="D151" s="1093" t="str">
        <f t="shared" si="13"/>
        <v>14,5 - [Name of sub-vote]</v>
      </c>
      <c r="E151" s="1125"/>
    </row>
    <row r="152" spans="2:5" x14ac:dyDescent="0.2">
      <c r="B152" s="1095">
        <v>14.6</v>
      </c>
      <c r="C152" s="1315" t="s">
        <v>1767</v>
      </c>
      <c r="D152" s="1093" t="str">
        <f t="shared" si="13"/>
        <v>14,6 - [Name of sub-vote]</v>
      </c>
      <c r="E152" s="1125"/>
    </row>
    <row r="153" spans="2:5" x14ac:dyDescent="0.2">
      <c r="B153" s="1095">
        <v>14.7</v>
      </c>
      <c r="C153" s="1315" t="s">
        <v>1767</v>
      </c>
      <c r="D153" s="1093" t="str">
        <f t="shared" si="13"/>
        <v>14,7 - [Name of sub-vote]</v>
      </c>
      <c r="E153" s="1125"/>
    </row>
    <row r="154" spans="2:5" x14ac:dyDescent="0.2">
      <c r="B154" s="1095">
        <v>14.8</v>
      </c>
      <c r="C154" s="1315" t="s">
        <v>1767</v>
      </c>
      <c r="D154" s="1093" t="str">
        <f t="shared" si="13"/>
        <v>14,8 - [Name of sub-vote]</v>
      </c>
      <c r="E154" s="1125"/>
    </row>
    <row r="155" spans="2:5" x14ac:dyDescent="0.2">
      <c r="B155" s="1095">
        <v>14.9</v>
      </c>
      <c r="C155" s="1315" t="s">
        <v>1767</v>
      </c>
      <c r="D155" s="1093" t="str">
        <f t="shared" si="13"/>
        <v>14,9 - [Name of sub-vote]</v>
      </c>
      <c r="E155" s="1125"/>
    </row>
    <row r="156" spans="2:5" x14ac:dyDescent="0.2">
      <c r="B156" s="1095" t="s">
        <v>1780</v>
      </c>
      <c r="C156" s="1315" t="s">
        <v>1767</v>
      </c>
      <c r="D156" s="1093" t="str">
        <f t="shared" si="13"/>
        <v>14.10 - [Name of sub-vote]</v>
      </c>
      <c r="E156" s="1125"/>
    </row>
    <row r="157" spans="2:5" x14ac:dyDescent="0.2">
      <c r="B157" s="1096" t="s">
        <v>1755</v>
      </c>
      <c r="C157" s="1314" t="s">
        <v>1792</v>
      </c>
      <c r="E157" s="1125"/>
    </row>
    <row r="158" spans="2:5" x14ac:dyDescent="0.2">
      <c r="B158" s="1095">
        <v>15.1</v>
      </c>
      <c r="C158" s="1315" t="s">
        <v>1767</v>
      </c>
      <c r="D158" s="1093" t="str">
        <f t="shared" ref="D158:D167" si="14">CONCATENATE(B158, " - ", C158)</f>
        <v>15,1 - [Name of sub-vote]</v>
      </c>
      <c r="E158" s="1125" t="s">
        <v>1801</v>
      </c>
    </row>
    <row r="159" spans="2:5" x14ac:dyDescent="0.2">
      <c r="B159" s="1095">
        <v>15.2</v>
      </c>
      <c r="C159" s="1315" t="s">
        <v>1767</v>
      </c>
      <c r="D159" s="1093" t="str">
        <f t="shared" si="14"/>
        <v>15,2 - [Name of sub-vote]</v>
      </c>
      <c r="E159" s="1125"/>
    </row>
    <row r="160" spans="2:5" x14ac:dyDescent="0.2">
      <c r="B160" s="1095">
        <v>15.3</v>
      </c>
      <c r="C160" s="1315" t="s">
        <v>1767</v>
      </c>
      <c r="D160" s="1093" t="str">
        <f t="shared" si="14"/>
        <v>15,3 - [Name of sub-vote]</v>
      </c>
      <c r="E160" s="1125"/>
    </row>
    <row r="161" spans="2:5" x14ac:dyDescent="0.2">
      <c r="B161" s="1095">
        <v>15.4</v>
      </c>
      <c r="C161" s="1315" t="s">
        <v>1767</v>
      </c>
      <c r="D161" s="1093" t="str">
        <f t="shared" si="14"/>
        <v>15,4 - [Name of sub-vote]</v>
      </c>
      <c r="E161" s="1125"/>
    </row>
    <row r="162" spans="2:5" x14ac:dyDescent="0.2">
      <c r="B162" s="1095">
        <v>15.5</v>
      </c>
      <c r="C162" s="1315" t="s">
        <v>1767</v>
      </c>
      <c r="D162" s="1093" t="str">
        <f t="shared" si="14"/>
        <v>15,5 - [Name of sub-vote]</v>
      </c>
      <c r="E162" s="1125"/>
    </row>
    <row r="163" spans="2:5" x14ac:dyDescent="0.2">
      <c r="B163" s="1095">
        <v>15.6</v>
      </c>
      <c r="C163" s="1315" t="s">
        <v>1767</v>
      </c>
      <c r="D163" s="1093" t="str">
        <f t="shared" si="14"/>
        <v>15,6 - [Name of sub-vote]</v>
      </c>
      <c r="E163" s="1125"/>
    </row>
    <row r="164" spans="2:5" x14ac:dyDescent="0.2">
      <c r="B164" s="1095">
        <v>15.7</v>
      </c>
      <c r="C164" s="1315" t="s">
        <v>1767</v>
      </c>
      <c r="D164" s="1093" t="str">
        <f t="shared" si="14"/>
        <v>15,7 - [Name of sub-vote]</v>
      </c>
      <c r="E164" s="1125"/>
    </row>
    <row r="165" spans="2:5" x14ac:dyDescent="0.2">
      <c r="B165" s="1095">
        <v>15.8</v>
      </c>
      <c r="C165" s="1315" t="s">
        <v>1767</v>
      </c>
      <c r="D165" s="1093" t="str">
        <f t="shared" si="14"/>
        <v>15,8 - [Name of sub-vote]</v>
      </c>
      <c r="E165" s="1125"/>
    </row>
    <row r="166" spans="2:5" x14ac:dyDescent="0.2">
      <c r="B166" s="1095">
        <v>15.9</v>
      </c>
      <c r="C166" s="1315" t="s">
        <v>1767</v>
      </c>
      <c r="D166" s="1093" t="str">
        <f t="shared" si="14"/>
        <v>15,9 - [Name of sub-vote]</v>
      </c>
      <c r="E166" s="1125"/>
    </row>
    <row r="167" spans="2:5" x14ac:dyDescent="0.2">
      <c r="B167" s="1095" t="s">
        <v>1781</v>
      </c>
      <c r="C167" s="1315" t="s">
        <v>1767</v>
      </c>
      <c r="D167" s="1093" t="str">
        <f t="shared" si="14"/>
        <v>15.10 - [Name of sub-vote]</v>
      </c>
      <c r="E167" s="1125"/>
    </row>
  </sheetData>
  <phoneticPr fontId="3" type="noConversion"/>
  <dataValidations count="15">
    <dataValidation type="list" allowBlank="1" showInputMessage="1" showErrorMessage="1" sqref="E3:E12" xr:uid="{00000000-0002-0000-0400-000000000000}">
      <formula1>Vote1</formula1>
    </dataValidation>
    <dataValidation type="list" allowBlank="1" showInputMessage="1" showErrorMessage="1" sqref="E14:E23" xr:uid="{00000000-0002-0000-0400-000001000000}">
      <formula1>Vote2</formula1>
    </dataValidation>
    <dataValidation type="list" allowBlank="1" showInputMessage="1" showErrorMessage="1" sqref="E25:E34" xr:uid="{00000000-0002-0000-0400-000002000000}">
      <formula1>Vote3</formula1>
    </dataValidation>
    <dataValidation type="list" allowBlank="1" showInputMessage="1" showErrorMessage="1" sqref="E36:E45" xr:uid="{00000000-0002-0000-0400-000003000000}">
      <formula1>Vote4</formula1>
    </dataValidation>
    <dataValidation type="list" allowBlank="1" showInputMessage="1" showErrorMessage="1" sqref="E47:E56" xr:uid="{00000000-0002-0000-0400-000004000000}">
      <formula1>Vote5</formula1>
    </dataValidation>
    <dataValidation type="list" allowBlank="1" showInputMessage="1" showErrorMessage="1" sqref="E59:E68" xr:uid="{00000000-0002-0000-0400-000005000000}">
      <formula1>Vote6</formula1>
    </dataValidation>
    <dataValidation type="list" allowBlank="1" showInputMessage="1" showErrorMessage="1" sqref="E70:E79" xr:uid="{00000000-0002-0000-0400-000006000000}">
      <formula1>Vote7</formula1>
    </dataValidation>
    <dataValidation type="list" allowBlank="1" showInputMessage="1" showErrorMessage="1" sqref="E81:E90" xr:uid="{00000000-0002-0000-0400-000007000000}">
      <formula1>Vote8</formula1>
    </dataValidation>
    <dataValidation type="list" allowBlank="1" showInputMessage="1" showErrorMessage="1" sqref="E92:E101" xr:uid="{00000000-0002-0000-0400-000008000000}">
      <formula1>Vote9</formula1>
    </dataValidation>
    <dataValidation type="list" allowBlank="1" showInputMessage="1" showErrorMessage="1" sqref="E103:E112" xr:uid="{00000000-0002-0000-0400-000009000000}">
      <formula1>Vote10</formula1>
    </dataValidation>
    <dataValidation type="list" allowBlank="1" showInputMessage="1" showErrorMessage="1" sqref="E114:E123" xr:uid="{00000000-0002-0000-0400-00000A000000}">
      <formula1>Vote11</formula1>
    </dataValidation>
    <dataValidation type="list" allowBlank="1" showInputMessage="1" showErrorMessage="1" sqref="E125:E134" xr:uid="{00000000-0002-0000-0400-00000B000000}">
      <formula1>Vote12</formula1>
    </dataValidation>
    <dataValidation type="list" allowBlank="1" showInputMessage="1" showErrorMessage="1" sqref="E136:E145" xr:uid="{00000000-0002-0000-0400-00000C000000}">
      <formula1>Vote13</formula1>
    </dataValidation>
    <dataValidation type="list" allowBlank="1" showInputMessage="1" showErrorMessage="1" sqref="E147:E156" xr:uid="{00000000-0002-0000-0400-00000D000000}">
      <formula1>Vote14</formula1>
    </dataValidation>
    <dataValidation type="list" allowBlank="1" showInputMessage="1" showErrorMessage="1" sqref="E158:E167" xr:uid="{00000000-0002-0000-0400-00000E000000}">
      <formula1>Vote15</formula1>
    </dataValidation>
  </dataValidations>
  <pageMargins left="0.74803149606299213" right="0.74803149606299213" top="0.98425196850393704" bottom="0.98425196850393704" header="0.51181102362204722" footer="0.51181102362204722"/>
  <pageSetup paperSize="9" scale="60" fitToHeight="2" orientation="portrait"/>
  <headerFooter alignWithMargins="0"/>
  <ignoredErrors>
    <ignoredError sqref="B12 B23 B34 B45 B56 B79 B90 B101 B112 B123 B134 B145 B156 B167" numberStoredAsText="1"/>
  </ignoredError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Q40"/>
  <sheetViews>
    <sheetView showGridLines="0" zoomScaleNormal="100" workbookViewId="0">
      <pane xSplit="2" ySplit="3" topLeftCell="C4" activePane="bottomRight" state="frozen"/>
      <selection pane="topRight"/>
      <selection pane="bottomLeft"/>
      <selection pane="bottomRight" activeCell="I39" sqref="I39"/>
    </sheetView>
  </sheetViews>
  <sheetFormatPr defaultRowHeight="12.75" x14ac:dyDescent="0.25"/>
  <cols>
    <col min="1" max="1" width="30.7109375" style="25" customWidth="1"/>
    <col min="2" max="2" width="3" style="25" customWidth="1"/>
    <col min="3" max="14" width="8.28515625" style="25" customWidth="1"/>
    <col min="15" max="17" width="9.28515625" style="25" customWidth="1"/>
    <col min="18" max="16384" width="9.140625" style="25"/>
  </cols>
  <sheetData>
    <row r="1" spans="1:17" ht="13.5" customHeight="1" x14ac:dyDescent="0.25">
      <c r="A1" s="23" t="str">
        <f>muni&amp;" - "&amp; TableA29</f>
        <v>EC101 Dr Beyers Naude - Supporting Table SA29 Budgeted monthly capital expenditure (functional classification)</v>
      </c>
      <c r="B1" s="23"/>
      <c r="C1" s="23"/>
      <c r="D1" s="23"/>
      <c r="E1" s="23"/>
      <c r="F1" s="23"/>
      <c r="G1" s="23"/>
      <c r="H1" s="23"/>
      <c r="I1" s="23"/>
      <c r="J1" s="23"/>
      <c r="K1" s="23"/>
      <c r="L1" s="23"/>
      <c r="M1" s="23"/>
      <c r="N1" s="23"/>
      <c r="O1" s="23"/>
      <c r="P1" s="23"/>
      <c r="Q1" s="23"/>
    </row>
    <row r="2" spans="1:17" ht="27" customHeight="1" x14ac:dyDescent="0.25">
      <c r="A2" s="614" t="str">
        <f>desc</f>
        <v>Description</v>
      </c>
      <c r="B2" s="625" t="str">
        <f>head27</f>
        <v>Ref</v>
      </c>
      <c r="C2" s="1907" t="str">
        <f>Head9</f>
        <v>Budget Year 2019/20</v>
      </c>
      <c r="D2" s="1908"/>
      <c r="E2" s="1908"/>
      <c r="F2" s="1908"/>
      <c r="G2" s="1908"/>
      <c r="H2" s="1908"/>
      <c r="I2" s="1908"/>
      <c r="J2" s="1908"/>
      <c r="K2" s="1908"/>
      <c r="L2" s="1908"/>
      <c r="M2" s="1908"/>
      <c r="N2" s="1908"/>
      <c r="O2" s="1904" t="s">
        <v>1580</v>
      </c>
      <c r="P2" s="1905"/>
      <c r="Q2" s="1906"/>
    </row>
    <row r="3" spans="1:17" ht="25.5" x14ac:dyDescent="0.25">
      <c r="A3" s="53" t="s">
        <v>573</v>
      </c>
      <c r="B3" s="626"/>
      <c r="C3" s="141" t="s">
        <v>629</v>
      </c>
      <c r="D3" s="585" t="s">
        <v>1252</v>
      </c>
      <c r="E3" s="585" t="s">
        <v>1253</v>
      </c>
      <c r="F3" s="585" t="s">
        <v>1254</v>
      </c>
      <c r="G3" s="585" t="s">
        <v>360</v>
      </c>
      <c r="H3" s="585" t="s">
        <v>361</v>
      </c>
      <c r="I3" s="585" t="s">
        <v>612</v>
      </c>
      <c r="J3" s="585" t="s">
        <v>362</v>
      </c>
      <c r="K3" s="585" t="s">
        <v>614</v>
      </c>
      <c r="L3" s="585" t="s">
        <v>615</v>
      </c>
      <c r="M3" s="585" t="s">
        <v>616</v>
      </c>
      <c r="N3" s="202" t="s">
        <v>617</v>
      </c>
      <c r="O3" s="141" t="str">
        <f>Head9</f>
        <v>Budget Year 2019/20</v>
      </c>
      <c r="P3" s="203" t="str">
        <f>Head10</f>
        <v>Budget Year +1 2020/21</v>
      </c>
      <c r="Q3" s="204" t="str">
        <f>Head11</f>
        <v>Budget Year +2 2021/22</v>
      </c>
    </row>
    <row r="4" spans="1:17" x14ac:dyDescent="0.25">
      <c r="A4" s="54" t="str">
        <f>'A5-Capex'!A42</f>
        <v>Capital Expenditure - Functional</v>
      </c>
      <c r="B4" s="623">
        <v>1</v>
      </c>
      <c r="C4" s="78"/>
      <c r="D4" s="76"/>
      <c r="E4" s="76"/>
      <c r="F4" s="76"/>
      <c r="G4" s="76"/>
      <c r="H4" s="76"/>
      <c r="I4" s="76"/>
      <c r="J4" s="76"/>
      <c r="K4" s="76"/>
      <c r="L4" s="76"/>
      <c r="M4" s="76"/>
      <c r="N4" s="75"/>
      <c r="O4" s="78"/>
      <c r="P4" s="76"/>
      <c r="Q4" s="77"/>
    </row>
    <row r="5" spans="1:17" x14ac:dyDescent="0.25">
      <c r="A5" s="728" t="str">
        <f>'A5-Capex'!A43</f>
        <v>Governance and administration</v>
      </c>
      <c r="B5" s="542"/>
      <c r="C5" s="88">
        <f>SUM(C6:C8)</f>
        <v>0</v>
      </c>
      <c r="D5" s="86">
        <f>SUM(D6:D8)</f>
        <v>0</v>
      </c>
      <c r="E5" s="86">
        <f t="shared" ref="E5:M5" si="0">SUM(E6:E8)</f>
        <v>0</v>
      </c>
      <c r="F5" s="86">
        <f t="shared" si="0"/>
        <v>0</v>
      </c>
      <c r="G5" s="86">
        <f t="shared" si="0"/>
        <v>0</v>
      </c>
      <c r="H5" s="86">
        <f t="shared" si="0"/>
        <v>0</v>
      </c>
      <c r="I5" s="86">
        <f t="shared" si="0"/>
        <v>0</v>
      </c>
      <c r="J5" s="86">
        <f t="shared" si="0"/>
        <v>0</v>
      </c>
      <c r="K5" s="86">
        <f t="shared" si="0"/>
        <v>0</v>
      </c>
      <c r="L5" s="86">
        <f t="shared" si="0"/>
        <v>0</v>
      </c>
      <c r="M5" s="86">
        <f t="shared" si="0"/>
        <v>0</v>
      </c>
      <c r="N5" s="85">
        <f>O5-SUM(C5:M5)</f>
        <v>0</v>
      </c>
      <c r="O5" s="88">
        <f>'A5-Capex'!J43</f>
        <v>0</v>
      </c>
      <c r="P5" s="86">
        <f>'A5-Capex'!K43</f>
        <v>0</v>
      </c>
      <c r="Q5" s="87">
        <f>'A5-Capex'!L43</f>
        <v>0</v>
      </c>
    </row>
    <row r="6" spans="1:17" x14ac:dyDescent="0.25">
      <c r="A6" s="187" t="str">
        <f>'A5-Capex'!A44</f>
        <v>Executive and council</v>
      </c>
      <c r="B6" s="542"/>
      <c r="C6" s="1326"/>
      <c r="D6" s="1316"/>
      <c r="E6" s="1316"/>
      <c r="F6" s="1316"/>
      <c r="G6" s="1316"/>
      <c r="H6" s="1316"/>
      <c r="I6" s="1316"/>
      <c r="J6" s="1316"/>
      <c r="K6" s="1316"/>
      <c r="L6" s="1316"/>
      <c r="M6" s="1316"/>
      <c r="N6" s="75">
        <f t="shared" ref="N6:N23" si="1">O6-SUM(C6:M6)</f>
        <v>0</v>
      </c>
      <c r="O6" s="78">
        <f>'A5-Capex'!J44</f>
        <v>0</v>
      </c>
      <c r="P6" s="76">
        <f>'A5-Capex'!K44</f>
        <v>0</v>
      </c>
      <c r="Q6" s="77">
        <f>'A5-Capex'!L44</f>
        <v>0</v>
      </c>
    </row>
    <row r="7" spans="1:17" x14ac:dyDescent="0.25">
      <c r="A7" s="187" t="str">
        <f>'A5-Capex'!A45</f>
        <v>Finance and administration</v>
      </c>
      <c r="B7" s="542"/>
      <c r="C7" s="1333"/>
      <c r="D7" s="1329"/>
      <c r="E7" s="1329"/>
      <c r="F7" s="1329"/>
      <c r="G7" s="1329"/>
      <c r="H7" s="1329"/>
      <c r="I7" s="1329"/>
      <c r="J7" s="1329"/>
      <c r="K7" s="1329"/>
      <c r="L7" s="1329"/>
      <c r="M7" s="1329"/>
      <c r="N7" s="75">
        <f t="shared" si="1"/>
        <v>0</v>
      </c>
      <c r="O7" s="78">
        <f>'A5-Capex'!J45</f>
        <v>0</v>
      </c>
      <c r="P7" s="76">
        <f>'A5-Capex'!K45</f>
        <v>0</v>
      </c>
      <c r="Q7" s="77">
        <f>'A5-Capex'!L45</f>
        <v>0</v>
      </c>
    </row>
    <row r="8" spans="1:17" x14ac:dyDescent="0.25">
      <c r="A8" s="187" t="str">
        <f>'A5-Capex'!A46</f>
        <v>Internal audit</v>
      </c>
      <c r="B8" s="542"/>
      <c r="C8" s="1326"/>
      <c r="D8" s="1316"/>
      <c r="E8" s="1316"/>
      <c r="F8" s="1316"/>
      <c r="G8" s="1316"/>
      <c r="H8" s="1316"/>
      <c r="I8" s="1316"/>
      <c r="J8" s="1316"/>
      <c r="K8" s="1316"/>
      <c r="L8" s="1316"/>
      <c r="M8" s="1316"/>
      <c r="N8" s="75">
        <f t="shared" si="1"/>
        <v>0</v>
      </c>
      <c r="O8" s="78">
        <f>'A5-Capex'!J46</f>
        <v>0</v>
      </c>
      <c r="P8" s="76">
        <f>'A5-Capex'!K46</f>
        <v>0</v>
      </c>
      <c r="Q8" s="77">
        <f>'A5-Capex'!L46</f>
        <v>0</v>
      </c>
    </row>
    <row r="9" spans="1:17" x14ac:dyDescent="0.25">
      <c r="A9" s="728" t="str">
        <f>'A5-Capex'!A47</f>
        <v>Community and public safety</v>
      </c>
      <c r="B9" s="542"/>
      <c r="C9" s="88">
        <f>SUM(C10:C14)</f>
        <v>0</v>
      </c>
      <c r="D9" s="86">
        <f t="shared" ref="D9:M9" si="2">SUM(D10:D14)</f>
        <v>0</v>
      </c>
      <c r="E9" s="86">
        <f t="shared" si="2"/>
        <v>0</v>
      </c>
      <c r="F9" s="86">
        <f t="shared" si="2"/>
        <v>0</v>
      </c>
      <c r="G9" s="86">
        <f t="shared" si="2"/>
        <v>0</v>
      </c>
      <c r="H9" s="86">
        <f t="shared" si="2"/>
        <v>0</v>
      </c>
      <c r="I9" s="86">
        <f t="shared" si="2"/>
        <v>0</v>
      </c>
      <c r="J9" s="86">
        <f t="shared" si="2"/>
        <v>0</v>
      </c>
      <c r="K9" s="86">
        <f t="shared" si="2"/>
        <v>0</v>
      </c>
      <c r="L9" s="86">
        <f t="shared" si="2"/>
        <v>0</v>
      </c>
      <c r="M9" s="86">
        <f t="shared" si="2"/>
        <v>0</v>
      </c>
      <c r="N9" s="85">
        <f t="shared" si="1"/>
        <v>0</v>
      </c>
      <c r="O9" s="88">
        <f>'A5-Capex'!J47</f>
        <v>0</v>
      </c>
      <c r="P9" s="86">
        <f>'A5-Capex'!K47</f>
        <v>10000000</v>
      </c>
      <c r="Q9" s="87">
        <f>'A5-Capex'!L47</f>
        <v>0</v>
      </c>
    </row>
    <row r="10" spans="1:17" x14ac:dyDescent="0.25">
      <c r="A10" s="187" t="str">
        <f>'A5-Capex'!A48</f>
        <v>Community and social services</v>
      </c>
      <c r="B10" s="542"/>
      <c r="C10" s="1326"/>
      <c r="D10" s="1316"/>
      <c r="E10" s="1316"/>
      <c r="F10" s="1316"/>
      <c r="G10" s="1316"/>
      <c r="H10" s="1316"/>
      <c r="I10" s="1316"/>
      <c r="J10" s="1316"/>
      <c r="K10" s="1316"/>
      <c r="L10" s="1316"/>
      <c r="M10" s="1316"/>
      <c r="N10" s="75">
        <f t="shared" si="1"/>
        <v>0</v>
      </c>
      <c r="O10" s="78">
        <f>'A5-Capex'!J48</f>
        <v>0</v>
      </c>
      <c r="P10" s="76">
        <f>'A5-Capex'!K48</f>
        <v>0</v>
      </c>
      <c r="Q10" s="77">
        <f>'A5-Capex'!L48</f>
        <v>0</v>
      </c>
    </row>
    <row r="11" spans="1:17" x14ac:dyDescent="0.25">
      <c r="A11" s="187" t="str">
        <f>'A5-Capex'!A49</f>
        <v>Sport and recreation</v>
      </c>
      <c r="B11" s="542"/>
      <c r="C11" s="1326"/>
      <c r="D11" s="1316"/>
      <c r="E11" s="1316"/>
      <c r="F11" s="1316"/>
      <c r="G11" s="1316"/>
      <c r="H11" s="1316"/>
      <c r="I11" s="1316"/>
      <c r="J11" s="1316"/>
      <c r="K11" s="1316"/>
      <c r="L11" s="1316"/>
      <c r="M11" s="1316"/>
      <c r="N11" s="75">
        <f t="shared" si="1"/>
        <v>0</v>
      </c>
      <c r="O11" s="78">
        <f>'A5-Capex'!J49</f>
        <v>0</v>
      </c>
      <c r="P11" s="76">
        <f>'A5-Capex'!K49</f>
        <v>10000000</v>
      </c>
      <c r="Q11" s="77">
        <f>'A5-Capex'!L49</f>
        <v>0</v>
      </c>
    </row>
    <row r="12" spans="1:17" x14ac:dyDescent="0.25">
      <c r="A12" s="187" t="str">
        <f>'A5-Capex'!A50</f>
        <v>Public safety</v>
      </c>
      <c r="B12" s="542"/>
      <c r="C12" s="1326"/>
      <c r="D12" s="1316"/>
      <c r="E12" s="1316"/>
      <c r="F12" s="1316"/>
      <c r="G12" s="1316"/>
      <c r="H12" s="1316"/>
      <c r="I12" s="1316"/>
      <c r="J12" s="1316"/>
      <c r="K12" s="1316"/>
      <c r="L12" s="1316"/>
      <c r="M12" s="1316"/>
      <c r="N12" s="75">
        <f t="shared" si="1"/>
        <v>0</v>
      </c>
      <c r="O12" s="78">
        <f>'A5-Capex'!J50</f>
        <v>0</v>
      </c>
      <c r="P12" s="76">
        <f>'A5-Capex'!K50</f>
        <v>0</v>
      </c>
      <c r="Q12" s="77">
        <f>'A5-Capex'!L50</f>
        <v>0</v>
      </c>
    </row>
    <row r="13" spans="1:17" x14ac:dyDescent="0.25">
      <c r="A13" s="187" t="str">
        <f>'A5-Capex'!A51</f>
        <v>Housing</v>
      </c>
      <c r="B13" s="542"/>
      <c r="C13" s="1326"/>
      <c r="D13" s="1316"/>
      <c r="E13" s="1316"/>
      <c r="F13" s="1316"/>
      <c r="G13" s="1316"/>
      <c r="H13" s="1316"/>
      <c r="I13" s="1316"/>
      <c r="J13" s="1316"/>
      <c r="K13" s="1316"/>
      <c r="L13" s="1316"/>
      <c r="M13" s="1316"/>
      <c r="N13" s="75">
        <f t="shared" si="1"/>
        <v>0</v>
      </c>
      <c r="O13" s="78">
        <f>'A5-Capex'!J51</f>
        <v>0</v>
      </c>
      <c r="P13" s="76">
        <f>'A5-Capex'!K51</f>
        <v>0</v>
      </c>
      <c r="Q13" s="77">
        <f>'A5-Capex'!L51</f>
        <v>0</v>
      </c>
    </row>
    <row r="14" spans="1:17" x14ac:dyDescent="0.25">
      <c r="A14" s="187" t="str">
        <f>'A5-Capex'!A52</f>
        <v>Health</v>
      </c>
      <c r="B14" s="542"/>
      <c r="C14" s="1326"/>
      <c r="D14" s="1316"/>
      <c r="E14" s="1316"/>
      <c r="F14" s="1316"/>
      <c r="G14" s="1316"/>
      <c r="H14" s="1316"/>
      <c r="I14" s="1316"/>
      <c r="J14" s="1316"/>
      <c r="K14" s="1316"/>
      <c r="L14" s="1316"/>
      <c r="M14" s="1316"/>
      <c r="N14" s="75">
        <f t="shared" si="1"/>
        <v>0</v>
      </c>
      <c r="O14" s="78">
        <f>'A5-Capex'!J52</f>
        <v>0</v>
      </c>
      <c r="P14" s="76">
        <f>'A5-Capex'!K52</f>
        <v>0</v>
      </c>
      <c r="Q14" s="77">
        <f>'A5-Capex'!L52</f>
        <v>0</v>
      </c>
    </row>
    <row r="15" spans="1:17" x14ac:dyDescent="0.25">
      <c r="A15" s="728" t="str">
        <f>'A5-Capex'!A53</f>
        <v>Economic and environmental services</v>
      </c>
      <c r="B15" s="542"/>
      <c r="C15" s="88">
        <f>SUM(C16:C18)</f>
        <v>0</v>
      </c>
      <c r="D15" s="86">
        <f t="shared" ref="D15:M15" si="3">SUM(D16:D18)</f>
        <v>0</v>
      </c>
      <c r="E15" s="86">
        <f t="shared" si="3"/>
        <v>0</v>
      </c>
      <c r="F15" s="86">
        <f t="shared" si="3"/>
        <v>0</v>
      </c>
      <c r="G15" s="86">
        <f t="shared" si="3"/>
        <v>0</v>
      </c>
      <c r="H15" s="86">
        <f t="shared" si="3"/>
        <v>0</v>
      </c>
      <c r="I15" s="86">
        <f t="shared" si="3"/>
        <v>0</v>
      </c>
      <c r="J15" s="86">
        <f t="shared" si="3"/>
        <v>0</v>
      </c>
      <c r="K15" s="86">
        <f t="shared" si="3"/>
        <v>0</v>
      </c>
      <c r="L15" s="86">
        <f t="shared" si="3"/>
        <v>0</v>
      </c>
      <c r="M15" s="86">
        <f t="shared" si="3"/>
        <v>0</v>
      </c>
      <c r="N15" s="85">
        <f t="shared" si="1"/>
        <v>10300134</v>
      </c>
      <c r="O15" s="88">
        <f>'A5-Capex'!J53</f>
        <v>10300134</v>
      </c>
      <c r="P15" s="86">
        <f>'A5-Capex'!K53</f>
        <v>0</v>
      </c>
      <c r="Q15" s="87">
        <f>'A5-Capex'!L53</f>
        <v>0</v>
      </c>
    </row>
    <row r="16" spans="1:17" x14ac:dyDescent="0.25">
      <c r="A16" s="187" t="str">
        <f>'A5-Capex'!A54</f>
        <v>Planning and development</v>
      </c>
      <c r="B16" s="542"/>
      <c r="C16" s="1326"/>
      <c r="D16" s="1316"/>
      <c r="E16" s="1316"/>
      <c r="F16" s="1316"/>
      <c r="G16" s="1316"/>
      <c r="H16" s="1316"/>
      <c r="I16" s="1316"/>
      <c r="J16" s="1316"/>
      <c r="K16" s="1316"/>
      <c r="L16" s="1316"/>
      <c r="M16" s="1316"/>
      <c r="N16" s="75">
        <f t="shared" si="1"/>
        <v>0</v>
      </c>
      <c r="O16" s="78">
        <f>'A5-Capex'!J54</f>
        <v>0</v>
      </c>
      <c r="P16" s="76">
        <f>'A5-Capex'!K54</f>
        <v>0</v>
      </c>
      <c r="Q16" s="77">
        <f>'A5-Capex'!L54</f>
        <v>0</v>
      </c>
    </row>
    <row r="17" spans="1:17" x14ac:dyDescent="0.25">
      <c r="A17" s="187" t="str">
        <f>'A5-Capex'!A55</f>
        <v>Road transport</v>
      </c>
      <c r="B17" s="542"/>
      <c r="C17" s="1326"/>
      <c r="D17" s="1316"/>
      <c r="E17" s="1316"/>
      <c r="F17" s="1316"/>
      <c r="G17" s="1316"/>
      <c r="H17" s="1316"/>
      <c r="I17" s="1316"/>
      <c r="J17" s="1316"/>
      <c r="K17" s="1316"/>
      <c r="L17" s="1316"/>
      <c r="M17" s="1316"/>
      <c r="N17" s="75">
        <f t="shared" si="1"/>
        <v>10300134</v>
      </c>
      <c r="O17" s="78">
        <f>'A5-Capex'!J55</f>
        <v>10300134</v>
      </c>
      <c r="P17" s="76">
        <f>'A5-Capex'!K55</f>
        <v>0</v>
      </c>
      <c r="Q17" s="77">
        <f>'A5-Capex'!L55</f>
        <v>0</v>
      </c>
    </row>
    <row r="18" spans="1:17" x14ac:dyDescent="0.25">
      <c r="A18" s="187" t="str">
        <f>'A5-Capex'!A56</f>
        <v>Environmental protection</v>
      </c>
      <c r="B18" s="542"/>
      <c r="C18" s="1326"/>
      <c r="D18" s="1316"/>
      <c r="E18" s="1316"/>
      <c r="F18" s="1316"/>
      <c r="G18" s="1316"/>
      <c r="H18" s="1316"/>
      <c r="I18" s="1316"/>
      <c r="J18" s="1316"/>
      <c r="K18" s="1316"/>
      <c r="L18" s="1316"/>
      <c r="M18" s="1316"/>
      <c r="N18" s="75">
        <f t="shared" si="1"/>
        <v>0</v>
      </c>
      <c r="O18" s="78">
        <f>'A5-Capex'!J56</f>
        <v>0</v>
      </c>
      <c r="P18" s="76">
        <f>'A5-Capex'!K56</f>
        <v>0</v>
      </c>
      <c r="Q18" s="77">
        <f>'A5-Capex'!L56</f>
        <v>0</v>
      </c>
    </row>
    <row r="19" spans="1:17" x14ac:dyDescent="0.25">
      <c r="A19" s="728" t="str">
        <f>'A5-Capex'!A57</f>
        <v>Trading services</v>
      </c>
      <c r="B19" s="542"/>
      <c r="C19" s="88">
        <f>SUM(C20:C23)</f>
        <v>0</v>
      </c>
      <c r="D19" s="86">
        <f t="shared" ref="D19:M19" si="4">SUM(D20:D23)</f>
        <v>0</v>
      </c>
      <c r="E19" s="86">
        <f t="shared" si="4"/>
        <v>0</v>
      </c>
      <c r="F19" s="86">
        <f t="shared" si="4"/>
        <v>0</v>
      </c>
      <c r="G19" s="86">
        <f t="shared" si="4"/>
        <v>0</v>
      </c>
      <c r="H19" s="86">
        <f t="shared" si="4"/>
        <v>0</v>
      </c>
      <c r="I19" s="86">
        <f t="shared" si="4"/>
        <v>0</v>
      </c>
      <c r="J19" s="86">
        <f t="shared" si="4"/>
        <v>0</v>
      </c>
      <c r="K19" s="86">
        <f t="shared" si="4"/>
        <v>0</v>
      </c>
      <c r="L19" s="86">
        <f t="shared" si="4"/>
        <v>0</v>
      </c>
      <c r="M19" s="86">
        <f t="shared" si="4"/>
        <v>0</v>
      </c>
      <c r="N19" s="85">
        <f>O19-SUM(C19:M19)</f>
        <v>22147304.100000001</v>
      </c>
      <c r="O19" s="88">
        <f>'A5-Capex'!J57</f>
        <v>22147304.100000001</v>
      </c>
      <c r="P19" s="86">
        <f>'A5-Capex'!K57</f>
        <v>39972500</v>
      </c>
      <c r="Q19" s="87">
        <f>'A5-Capex'!L57</f>
        <v>0</v>
      </c>
    </row>
    <row r="20" spans="1:17" x14ac:dyDescent="0.25">
      <c r="A20" s="187" t="str">
        <f>'A5-Capex'!A58</f>
        <v>Energy sources</v>
      </c>
      <c r="B20" s="542"/>
      <c r="C20" s="1326"/>
      <c r="D20" s="1316"/>
      <c r="E20" s="1316"/>
      <c r="F20" s="1316"/>
      <c r="G20" s="1316"/>
      <c r="H20" s="1316"/>
      <c r="I20" s="1316"/>
      <c r="J20" s="1316"/>
      <c r="K20" s="1316"/>
      <c r="L20" s="1316"/>
      <c r="M20" s="1316"/>
      <c r="N20" s="75">
        <f t="shared" si="1"/>
        <v>0</v>
      </c>
      <c r="O20" s="78">
        <f>'A5-Capex'!J58</f>
        <v>0</v>
      </c>
      <c r="P20" s="76">
        <f>'A5-Capex'!K58</f>
        <v>5500000</v>
      </c>
      <c r="Q20" s="77">
        <f>'A5-Capex'!L58</f>
        <v>0</v>
      </c>
    </row>
    <row r="21" spans="1:17" x14ac:dyDescent="0.25">
      <c r="A21" s="187" t="str">
        <f>'A5-Capex'!A59</f>
        <v>Water management</v>
      </c>
      <c r="B21" s="542"/>
      <c r="C21" s="1326"/>
      <c r="D21" s="1316"/>
      <c r="E21" s="1316"/>
      <c r="F21" s="1316"/>
      <c r="G21" s="1316"/>
      <c r="H21" s="1316"/>
      <c r="I21" s="1316"/>
      <c r="J21" s="1316"/>
      <c r="K21" s="1316"/>
      <c r="L21" s="1316"/>
      <c r="M21" s="1316"/>
      <c r="N21" s="75">
        <f t="shared" si="1"/>
        <v>19250839</v>
      </c>
      <c r="O21" s="78">
        <f>'A5-Capex'!J59</f>
        <v>19250839</v>
      </c>
      <c r="P21" s="76">
        <f>'A5-Capex'!K59</f>
        <v>28050141</v>
      </c>
      <c r="Q21" s="77">
        <f>'A5-Capex'!L59</f>
        <v>0</v>
      </c>
    </row>
    <row r="22" spans="1:17" x14ac:dyDescent="0.25">
      <c r="A22" s="187" t="str">
        <f>'A5-Capex'!A60</f>
        <v>Waste water management</v>
      </c>
      <c r="B22" s="542"/>
      <c r="C22" s="1326"/>
      <c r="D22" s="1316"/>
      <c r="E22" s="1316"/>
      <c r="F22" s="1316"/>
      <c r="G22" s="1316"/>
      <c r="H22" s="1316"/>
      <c r="I22" s="1316"/>
      <c r="J22" s="1316"/>
      <c r="K22" s="1316"/>
      <c r="L22" s="1316"/>
      <c r="M22" s="1316"/>
      <c r="N22" s="75">
        <f t="shared" si="1"/>
        <v>0</v>
      </c>
      <c r="O22" s="78">
        <f>'A5-Capex'!J60</f>
        <v>0</v>
      </c>
      <c r="P22" s="76">
        <f>'A5-Capex'!K60</f>
        <v>0</v>
      </c>
      <c r="Q22" s="77">
        <f>'A5-Capex'!L60</f>
        <v>0</v>
      </c>
    </row>
    <row r="23" spans="1:17" x14ac:dyDescent="0.25">
      <c r="A23" s="187" t="str">
        <f>'A5-Capex'!A61</f>
        <v>Waste management</v>
      </c>
      <c r="B23" s="542"/>
      <c r="C23" s="1326"/>
      <c r="D23" s="1316"/>
      <c r="E23" s="1316"/>
      <c r="F23" s="1316"/>
      <c r="G23" s="1316"/>
      <c r="H23" s="1316"/>
      <c r="I23" s="1316"/>
      <c r="J23" s="1316"/>
      <c r="K23" s="1316"/>
      <c r="L23" s="1316"/>
      <c r="M23" s="1316"/>
      <c r="N23" s="75">
        <f t="shared" si="1"/>
        <v>2896465.1</v>
      </c>
      <c r="O23" s="78">
        <f>'A5-Capex'!J61</f>
        <v>2896465.1</v>
      </c>
      <c r="P23" s="76">
        <f>'A5-Capex'!K61</f>
        <v>6422359</v>
      </c>
      <c r="Q23" s="77">
        <f>'A5-Capex'!L61</f>
        <v>0</v>
      </c>
    </row>
    <row r="24" spans="1:17" x14ac:dyDescent="0.25">
      <c r="A24" s="728" t="str">
        <f>'A5-Capex'!A62</f>
        <v>Other</v>
      </c>
      <c r="B24" s="542"/>
      <c r="C24" s="1342"/>
      <c r="D24" s="1340"/>
      <c r="E24" s="1340"/>
      <c r="F24" s="1340"/>
      <c r="G24" s="1340"/>
      <c r="H24" s="1340"/>
      <c r="I24" s="1340"/>
      <c r="J24" s="1340"/>
      <c r="K24" s="1340"/>
      <c r="L24" s="1340"/>
      <c r="M24" s="1340"/>
      <c r="N24" s="85">
        <f>O24-SUM(C24:M24)</f>
        <v>0</v>
      </c>
      <c r="O24" s="88">
        <f>'A5-Capex'!J62</f>
        <v>0</v>
      </c>
      <c r="P24" s="86">
        <f>'A5-Capex'!K62</f>
        <v>0</v>
      </c>
      <c r="Q24" s="87">
        <f>'A5-Capex'!L62</f>
        <v>0</v>
      </c>
    </row>
    <row r="25" spans="1:17" x14ac:dyDescent="0.25">
      <c r="A25" s="527" t="str">
        <f>'A5-Capex'!A63</f>
        <v>Total Capital Expenditure - Functional</v>
      </c>
      <c r="B25" s="557">
        <v>2</v>
      </c>
      <c r="C25" s="98">
        <f>C5+C9+C15+C19+C24</f>
        <v>0</v>
      </c>
      <c r="D25" s="95">
        <f t="shared" ref="D25:Q25" si="5">D5+D9+D15+D19+D24</f>
        <v>0</v>
      </c>
      <c r="E25" s="95">
        <f t="shared" si="5"/>
        <v>0</v>
      </c>
      <c r="F25" s="95">
        <f t="shared" si="5"/>
        <v>0</v>
      </c>
      <c r="G25" s="95">
        <f t="shared" si="5"/>
        <v>0</v>
      </c>
      <c r="H25" s="95">
        <f t="shared" si="5"/>
        <v>0</v>
      </c>
      <c r="I25" s="95">
        <f t="shared" si="5"/>
        <v>0</v>
      </c>
      <c r="J25" s="95">
        <f t="shared" si="5"/>
        <v>0</v>
      </c>
      <c r="K25" s="95">
        <f t="shared" si="5"/>
        <v>0</v>
      </c>
      <c r="L25" s="95">
        <f t="shared" si="5"/>
        <v>0</v>
      </c>
      <c r="M25" s="95">
        <f t="shared" si="5"/>
        <v>0</v>
      </c>
      <c r="N25" s="1083">
        <f>N5+N9+N15+N19+N24</f>
        <v>32447438.100000001</v>
      </c>
      <c r="O25" s="98">
        <f t="shared" si="5"/>
        <v>32447438.100000001</v>
      </c>
      <c r="P25" s="95">
        <f t="shared" si="5"/>
        <v>49972500</v>
      </c>
      <c r="Q25" s="474">
        <f t="shared" si="5"/>
        <v>0</v>
      </c>
    </row>
    <row r="26" spans="1:17" ht="7.5" customHeight="1" x14ac:dyDescent="0.25">
      <c r="A26" s="740"/>
      <c r="B26" s="1285"/>
      <c r="C26" s="824"/>
      <c r="D26" s="86"/>
      <c r="E26" s="86"/>
      <c r="F26" s="86"/>
      <c r="G26" s="86"/>
      <c r="H26" s="86"/>
      <c r="I26" s="86"/>
      <c r="J26" s="86"/>
      <c r="K26" s="86"/>
      <c r="L26" s="86"/>
      <c r="M26" s="86"/>
      <c r="N26" s="823"/>
      <c r="O26" s="89"/>
      <c r="P26" s="86"/>
      <c r="Q26" s="392"/>
    </row>
    <row r="27" spans="1:17" s="464" customFormat="1" x14ac:dyDescent="0.25">
      <c r="A27" s="54" t="s">
        <v>424</v>
      </c>
      <c r="B27" s="55"/>
      <c r="C27" s="76"/>
      <c r="D27" s="76"/>
      <c r="E27" s="76"/>
      <c r="F27" s="76"/>
      <c r="G27" s="76"/>
      <c r="H27" s="76"/>
      <c r="I27" s="76"/>
      <c r="J27" s="76"/>
      <c r="K27" s="76"/>
      <c r="L27" s="76"/>
      <c r="M27" s="1286"/>
      <c r="N27" s="1288"/>
      <c r="O27" s="1289"/>
      <c r="P27" s="1286"/>
      <c r="Q27" s="1287"/>
    </row>
    <row r="28" spans="1:17" s="464" customFormat="1" x14ac:dyDescent="0.25">
      <c r="A28" s="187" t="s">
        <v>1379</v>
      </c>
      <c r="B28" s="55"/>
      <c r="C28" s="1316"/>
      <c r="D28" s="1316"/>
      <c r="E28" s="1316"/>
      <c r="F28" s="1316"/>
      <c r="G28" s="1316"/>
      <c r="H28" s="1316"/>
      <c r="I28" s="1316"/>
      <c r="J28" s="1316"/>
      <c r="K28" s="1316"/>
      <c r="L28" s="1316"/>
      <c r="M28" s="1316"/>
      <c r="N28" s="823">
        <f>O28-SUM(C28:M28)</f>
        <v>32447438.100000001</v>
      </c>
      <c r="O28" s="89">
        <f>'A5-Capex'!J66</f>
        <v>32447438.100000001</v>
      </c>
      <c r="P28" s="86">
        <f>'A5-Capex'!K66</f>
        <v>49972500</v>
      </c>
      <c r="Q28" s="392">
        <f>'A5-Capex'!L66</f>
        <v>0</v>
      </c>
    </row>
    <row r="29" spans="1:17" s="464" customFormat="1" x14ac:dyDescent="0.25">
      <c r="A29" s="187" t="s">
        <v>472</v>
      </c>
      <c r="B29" s="55"/>
      <c r="C29" s="1329"/>
      <c r="D29" s="1316"/>
      <c r="E29" s="1316"/>
      <c r="F29" s="1316"/>
      <c r="G29" s="1316"/>
      <c r="H29" s="1316"/>
      <c r="I29" s="1316"/>
      <c r="J29" s="1316"/>
      <c r="K29" s="1316"/>
      <c r="L29" s="1316"/>
      <c r="M29" s="1316"/>
      <c r="N29" s="332">
        <f t="shared" ref="N29:N35" si="6">O29-SUM(C29:M29)</f>
        <v>0</v>
      </c>
      <c r="O29" s="79">
        <f>'A5-Capex'!J67</f>
        <v>0</v>
      </c>
      <c r="P29" s="76">
        <f>'A5-Capex'!K67</f>
        <v>0</v>
      </c>
      <c r="Q29" s="333">
        <f>'A5-Capex'!L67</f>
        <v>0</v>
      </c>
    </row>
    <row r="30" spans="1:17" x14ac:dyDescent="0.25">
      <c r="A30" s="187" t="s">
        <v>473</v>
      </c>
      <c r="B30" s="55"/>
      <c r="C30" s="1329"/>
      <c r="D30" s="1329"/>
      <c r="E30" s="1329"/>
      <c r="F30" s="1329"/>
      <c r="G30" s="1329"/>
      <c r="H30" s="1329"/>
      <c r="I30" s="1316"/>
      <c r="J30" s="1329"/>
      <c r="K30" s="1329"/>
      <c r="L30" s="1329"/>
      <c r="M30" s="1316"/>
      <c r="N30" s="332">
        <f t="shared" si="6"/>
        <v>0</v>
      </c>
      <c r="O30" s="117">
        <f>'A5-Capex'!J68</f>
        <v>0</v>
      </c>
      <c r="P30" s="114">
        <f>'A5-Capex'!K68</f>
        <v>0</v>
      </c>
      <c r="Q30" s="1291">
        <f>'A5-Capex'!L68</f>
        <v>0</v>
      </c>
    </row>
    <row r="31" spans="1:17" x14ac:dyDescent="0.25">
      <c r="A31" s="187" t="s">
        <v>913</v>
      </c>
      <c r="B31" s="55"/>
      <c r="C31" s="1329"/>
      <c r="D31" s="1329"/>
      <c r="E31" s="1329"/>
      <c r="F31" s="1329"/>
      <c r="G31" s="1329"/>
      <c r="H31" s="1329"/>
      <c r="I31" s="1316"/>
      <c r="J31" s="1329"/>
      <c r="K31" s="1329"/>
      <c r="L31" s="1329"/>
      <c r="M31" s="1316"/>
      <c r="N31" s="332">
        <f>O31-SUM(C31:M31)</f>
        <v>0</v>
      </c>
      <c r="O31" s="79">
        <f>'A5-Capex'!J69</f>
        <v>0</v>
      </c>
      <c r="P31" s="76">
        <f>'A5-Capex'!K69</f>
        <v>0</v>
      </c>
      <c r="Q31" s="333">
        <f>'A5-Capex'!L69</f>
        <v>0</v>
      </c>
    </row>
    <row r="32" spans="1:17" x14ac:dyDescent="0.25">
      <c r="A32" s="189" t="s">
        <v>1190</v>
      </c>
      <c r="B32" s="55"/>
      <c r="C32" s="81">
        <f t="shared" ref="C32:Q32" si="7">SUM(C28:C31)</f>
        <v>0</v>
      </c>
      <c r="D32" s="81">
        <f t="shared" si="7"/>
        <v>0</v>
      </c>
      <c r="E32" s="81">
        <f t="shared" si="7"/>
        <v>0</v>
      </c>
      <c r="F32" s="81">
        <f t="shared" si="7"/>
        <v>0</v>
      </c>
      <c r="G32" s="81">
        <f t="shared" si="7"/>
        <v>0</v>
      </c>
      <c r="H32" s="81">
        <f t="shared" si="7"/>
        <v>0</v>
      </c>
      <c r="I32" s="81">
        <f t="shared" si="7"/>
        <v>0</v>
      </c>
      <c r="J32" s="81">
        <f t="shared" si="7"/>
        <v>0</v>
      </c>
      <c r="K32" s="81">
        <f t="shared" si="7"/>
        <v>0</v>
      </c>
      <c r="L32" s="81">
        <f t="shared" si="7"/>
        <v>0</v>
      </c>
      <c r="M32" s="81">
        <f t="shared" si="7"/>
        <v>0</v>
      </c>
      <c r="N32" s="472">
        <f>SUM(N28:N31)</f>
        <v>32447438.100000001</v>
      </c>
      <c r="O32" s="801">
        <f t="shared" si="7"/>
        <v>32447438.100000001</v>
      </c>
      <c r="P32" s="81">
        <f t="shared" si="7"/>
        <v>49972500</v>
      </c>
      <c r="Q32" s="472">
        <f t="shared" si="7"/>
        <v>0</v>
      </c>
    </row>
    <row r="33" spans="1:17" ht="1.9" customHeight="1" x14ac:dyDescent="0.25">
      <c r="A33" s="189"/>
      <c r="B33" s="55"/>
      <c r="C33" s="114"/>
      <c r="D33" s="76"/>
      <c r="E33" s="76"/>
      <c r="F33" s="76"/>
      <c r="G33" s="76"/>
      <c r="H33" s="76"/>
      <c r="I33" s="76"/>
      <c r="J33" s="76"/>
      <c r="K33" s="76"/>
      <c r="L33" s="76"/>
      <c r="M33" s="76"/>
      <c r="N33" s="332"/>
      <c r="O33" s="79"/>
      <c r="P33" s="76"/>
      <c r="Q33" s="333"/>
    </row>
    <row r="34" spans="1:17" x14ac:dyDescent="0.25">
      <c r="A34" s="189" t="s">
        <v>1132</v>
      </c>
      <c r="B34" s="55"/>
      <c r="C34" s="1316"/>
      <c r="D34" s="1316"/>
      <c r="E34" s="1316"/>
      <c r="F34" s="1316"/>
      <c r="G34" s="1316"/>
      <c r="H34" s="1316"/>
      <c r="I34" s="1316"/>
      <c r="J34" s="1316"/>
      <c r="K34" s="1316"/>
      <c r="L34" s="1316"/>
      <c r="M34" s="1316"/>
      <c r="N34" s="332">
        <f t="shared" si="6"/>
        <v>0</v>
      </c>
      <c r="O34" s="79">
        <f>'A5-Capex'!J72</f>
        <v>0</v>
      </c>
      <c r="P34" s="76">
        <f>'A5-Capex'!K72</f>
        <v>0</v>
      </c>
      <c r="Q34" s="333">
        <f>'A5-Capex'!L72</f>
        <v>0</v>
      </c>
    </row>
    <row r="35" spans="1:17" x14ac:dyDescent="0.25">
      <c r="A35" s="189" t="s">
        <v>425</v>
      </c>
      <c r="B35" s="55"/>
      <c r="C35" s="1316"/>
      <c r="D35" s="1316"/>
      <c r="E35" s="1316"/>
      <c r="F35" s="1316"/>
      <c r="G35" s="1316"/>
      <c r="H35" s="1316"/>
      <c r="I35" s="1316"/>
      <c r="J35" s="1316"/>
      <c r="K35" s="1316"/>
      <c r="L35" s="1316"/>
      <c r="M35" s="1316"/>
      <c r="N35" s="332">
        <f t="shared" si="6"/>
        <v>0</v>
      </c>
      <c r="O35" s="79">
        <f>'A5-Capex'!J73</f>
        <v>0</v>
      </c>
      <c r="P35" s="76">
        <f>'A5-Capex'!K73</f>
        <v>0</v>
      </c>
      <c r="Q35" s="333">
        <f>'A5-Capex'!L73</f>
        <v>0</v>
      </c>
    </row>
    <row r="36" spans="1:17" x14ac:dyDescent="0.25">
      <c r="A36" s="92" t="s">
        <v>677</v>
      </c>
      <c r="B36" s="93"/>
      <c r="C36" s="95">
        <f>+C32+C34+C35</f>
        <v>0</v>
      </c>
      <c r="D36" s="95">
        <f t="shared" ref="D36:Q36" si="8">+D32+D34+D35</f>
        <v>0</v>
      </c>
      <c r="E36" s="95">
        <f t="shared" si="8"/>
        <v>0</v>
      </c>
      <c r="F36" s="95">
        <f t="shared" si="8"/>
        <v>0</v>
      </c>
      <c r="G36" s="95">
        <f t="shared" si="8"/>
        <v>0</v>
      </c>
      <c r="H36" s="95">
        <f t="shared" si="8"/>
        <v>0</v>
      </c>
      <c r="I36" s="95">
        <f t="shared" si="8"/>
        <v>0</v>
      </c>
      <c r="J36" s="95">
        <f t="shared" si="8"/>
        <v>0</v>
      </c>
      <c r="K36" s="95">
        <f t="shared" si="8"/>
        <v>0</v>
      </c>
      <c r="L36" s="95">
        <f t="shared" si="8"/>
        <v>0</v>
      </c>
      <c r="M36" s="1290">
        <f t="shared" si="8"/>
        <v>0</v>
      </c>
      <c r="N36" s="1292">
        <f t="shared" si="8"/>
        <v>32447438.100000001</v>
      </c>
      <c r="O36" s="1293">
        <f t="shared" si="8"/>
        <v>32447438.100000001</v>
      </c>
      <c r="P36" s="1290">
        <f t="shared" si="8"/>
        <v>49972500</v>
      </c>
      <c r="Q36" s="1294">
        <f t="shared" si="8"/>
        <v>0</v>
      </c>
    </row>
    <row r="37" spans="1:17" x14ac:dyDescent="0.25">
      <c r="A37" s="554" t="str">
        <f>head27a</f>
        <v>References</v>
      </c>
      <c r="B37" s="670"/>
      <c r="C37" s="647"/>
      <c r="D37" s="647"/>
      <c r="E37" s="647"/>
      <c r="F37" s="647"/>
      <c r="G37" s="647"/>
      <c r="H37" s="647"/>
      <c r="I37" s="647"/>
      <c r="J37" s="647"/>
      <c r="K37" s="647"/>
      <c r="L37" s="647"/>
    </row>
    <row r="38" spans="1:17" x14ac:dyDescent="0.25">
      <c r="A38" s="132" t="s">
        <v>689</v>
      </c>
      <c r="B38" s="464"/>
      <c r="C38" s="647"/>
      <c r="D38" s="647"/>
      <c r="E38" s="647"/>
      <c r="F38" s="647"/>
      <c r="G38" s="647"/>
      <c r="H38" s="647"/>
      <c r="I38" s="647"/>
      <c r="J38" s="647"/>
      <c r="K38" s="647"/>
      <c r="L38" s="647"/>
    </row>
    <row r="39" spans="1:17" x14ac:dyDescent="0.25">
      <c r="A39" s="132" t="str">
        <f>'SA28'!A44</f>
        <v>2. Total Capital Expenditure must reconcile to Budgeted Capital Expenditure</v>
      </c>
      <c r="B39" s="464"/>
      <c r="C39" s="464"/>
      <c r="D39" s="464"/>
      <c r="E39" s="464"/>
      <c r="F39" s="464"/>
      <c r="G39" s="464"/>
      <c r="H39" s="464"/>
      <c r="I39" s="464"/>
      <c r="J39" s="464"/>
      <c r="K39" s="464"/>
      <c r="L39" s="464"/>
    </row>
    <row r="40" spans="1:17" x14ac:dyDescent="0.25">
      <c r="A40" s="108" t="s">
        <v>1354</v>
      </c>
      <c r="B40" s="108"/>
    </row>
  </sheetData>
  <mergeCells count="2">
    <mergeCell ref="C2:N2"/>
    <mergeCell ref="O2:Q2"/>
  </mergeCells>
  <phoneticPr fontId="3" type="noConversion"/>
  <printOptions horizontalCentered="1"/>
  <pageMargins left="0" right="0" top="0.78740157480314965" bottom="0.59055118110236227" header="0.51181102362204722" footer="0.39370078740157483"/>
  <pageSetup paperSize="9" scale="91"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AR190"/>
  <sheetViews>
    <sheetView showGridLines="0" zoomScaleNormal="100" workbookViewId="0">
      <pane xSplit="1" ySplit="3" topLeftCell="B31" activePane="bottomRight" state="frozen"/>
      <selection pane="topRight"/>
      <selection pane="bottomLeft"/>
      <selection pane="bottomRight" activeCell="F55" sqref="F55"/>
    </sheetView>
  </sheetViews>
  <sheetFormatPr defaultRowHeight="12.75" x14ac:dyDescent="0.25"/>
  <cols>
    <col min="1" max="1" width="30.7109375" style="25" customWidth="1"/>
    <col min="2" max="13" width="8.28515625" style="25" customWidth="1"/>
    <col min="14" max="16" width="9.28515625" style="25" customWidth="1"/>
    <col min="17" max="17" width="9.7109375" style="25" hidden="1" customWidth="1"/>
    <col min="18" max="18" width="9.42578125" style="25" hidden="1" customWidth="1"/>
    <col min="19" max="19" width="9.7109375" style="25" hidden="1" customWidth="1"/>
    <col min="20" max="20" width="11.28515625" style="25" customWidth="1"/>
    <col min="21" max="21" width="9.42578125" style="25" bestFit="1" customWidth="1"/>
    <col min="22" max="25" width="9.7109375" style="25" bestFit="1" customWidth="1"/>
    <col min="26" max="27" width="9.42578125" style="25" bestFit="1" customWidth="1"/>
    <col min="28" max="28" width="9.7109375" style="25" bestFit="1" customWidth="1"/>
    <col min="29" max="16384" width="9.140625" style="25"/>
  </cols>
  <sheetData>
    <row r="1" spans="1:19" ht="13.5" customHeight="1" x14ac:dyDescent="0.25">
      <c r="A1" s="23" t="str">
        <f>muni&amp;" - "&amp; TableA30</f>
        <v>EC101 Dr Beyers Naude - Supporting Table SA30 Budgeted monthly cash flow</v>
      </c>
      <c r="B1" s="23"/>
      <c r="C1" s="23"/>
      <c r="D1" s="23"/>
      <c r="E1" s="23"/>
      <c r="F1" s="23"/>
      <c r="G1" s="23"/>
      <c r="H1" s="23"/>
      <c r="I1" s="23"/>
      <c r="J1" s="23"/>
      <c r="K1" s="23"/>
      <c r="L1" s="23"/>
      <c r="M1" s="23"/>
      <c r="N1" s="23"/>
      <c r="O1" s="23"/>
      <c r="P1" s="23"/>
      <c r="Q1" s="23"/>
    </row>
    <row r="2" spans="1:19" ht="28.5" customHeight="1" x14ac:dyDescent="0.25">
      <c r="A2" s="629" t="s">
        <v>358</v>
      </c>
      <c r="B2" s="1907" t="str">
        <f>Head9</f>
        <v>Budget Year 2019/20</v>
      </c>
      <c r="C2" s="1908"/>
      <c r="D2" s="1908"/>
      <c r="E2" s="1908"/>
      <c r="F2" s="1908"/>
      <c r="G2" s="1908"/>
      <c r="H2" s="1908"/>
      <c r="I2" s="1908"/>
      <c r="J2" s="1908"/>
      <c r="K2" s="1908"/>
      <c r="L2" s="1908"/>
      <c r="M2" s="1908"/>
      <c r="N2" s="1904" t="s">
        <v>1580</v>
      </c>
      <c r="O2" s="1905"/>
      <c r="P2" s="1906"/>
    </row>
    <row r="3" spans="1:19" ht="25.5" x14ac:dyDescent="0.25">
      <c r="A3" s="53" t="s">
        <v>573</v>
      </c>
      <c r="B3" s="1298" t="s">
        <v>629</v>
      </c>
      <c r="C3" s="585" t="s">
        <v>1252</v>
      </c>
      <c r="D3" s="585" t="s">
        <v>1253</v>
      </c>
      <c r="E3" s="585" t="s">
        <v>1254</v>
      </c>
      <c r="F3" s="585" t="s">
        <v>610</v>
      </c>
      <c r="G3" s="585" t="s">
        <v>611</v>
      </c>
      <c r="H3" s="585" t="s">
        <v>612</v>
      </c>
      <c r="I3" s="585" t="s">
        <v>613</v>
      </c>
      <c r="J3" s="585" t="s">
        <v>614</v>
      </c>
      <c r="K3" s="585" t="s">
        <v>615</v>
      </c>
      <c r="L3" s="585" t="s">
        <v>616</v>
      </c>
      <c r="M3" s="204" t="s">
        <v>617</v>
      </c>
      <c r="N3" s="1298" t="str">
        <f>Head9</f>
        <v>Budget Year 2019/20</v>
      </c>
      <c r="O3" s="585" t="str">
        <f>Head10</f>
        <v>Budget Year +1 2020/21</v>
      </c>
      <c r="P3" s="586" t="str">
        <f>Head11</f>
        <v>Budget Year +2 2021/22</v>
      </c>
    </row>
    <row r="4" spans="1:19" x14ac:dyDescent="0.25">
      <c r="A4" s="54" t="s">
        <v>794</v>
      </c>
      <c r="B4" s="174"/>
      <c r="C4" s="149"/>
      <c r="D4" s="149"/>
      <c r="E4" s="149"/>
      <c r="F4" s="149"/>
      <c r="G4" s="149"/>
      <c r="H4" s="149"/>
      <c r="I4" s="149"/>
      <c r="J4" s="149"/>
      <c r="K4" s="149"/>
      <c r="L4" s="149"/>
      <c r="M4" s="152"/>
      <c r="N4" s="1081">
        <v>1</v>
      </c>
      <c r="O4" s="149"/>
      <c r="P4" s="541"/>
    </row>
    <row r="5" spans="1:19" x14ac:dyDescent="0.25">
      <c r="A5" s="63" t="str">
        <f>'A4-FinPerf RE'!A5</f>
        <v>Property rates</v>
      </c>
      <c r="B5" s="1318">
        <f>N5/12</f>
        <v>3245252.426541666</v>
      </c>
      <c r="C5" s="1316">
        <v>3245252.426541666</v>
      </c>
      <c r="D5" s="1316">
        <v>3245252.426541666</v>
      </c>
      <c r="E5" s="1316">
        <v>3245252.426541666</v>
      </c>
      <c r="F5" s="1316">
        <v>3245252.426541666</v>
      </c>
      <c r="G5" s="1316">
        <v>3245252.426541666</v>
      </c>
      <c r="H5" s="1316">
        <v>3245252.426541666</v>
      </c>
      <c r="I5" s="1316">
        <v>3245252.426541666</v>
      </c>
      <c r="J5" s="1316">
        <v>3245252.426541666</v>
      </c>
      <c r="K5" s="1316">
        <v>3245252.426541666</v>
      </c>
      <c r="L5" s="1316">
        <v>3245252.426541666</v>
      </c>
      <c r="M5" s="77">
        <f t="shared" ref="M5:M19" si="0">N5-SUM(B5:L5)</f>
        <v>3245252.4265416637</v>
      </c>
      <c r="N5" s="1318">
        <f>40992662.23*0.95</f>
        <v>38943029.118499994</v>
      </c>
      <c r="O5" s="1316">
        <f>N5*1.06</f>
        <v>41279610.865609996</v>
      </c>
      <c r="P5" s="1319">
        <f>O5*1.06</f>
        <v>43756387.517546602</v>
      </c>
      <c r="Q5" s="1327">
        <v>100001</v>
      </c>
      <c r="R5" s="1326">
        <v>100001</v>
      </c>
      <c r="S5" s="1326">
        <v>100001</v>
      </c>
    </row>
    <row r="6" spans="1:19" x14ac:dyDescent="0.25">
      <c r="A6" s="63" t="str">
        <f>'A4-FinPerf RE'!A6</f>
        <v>Service charges - electricity revenue</v>
      </c>
      <c r="B6" s="1318">
        <f t="shared" ref="B6:B19" si="1">N6/12</f>
        <v>10294502.143066665</v>
      </c>
      <c r="C6" s="1316">
        <v>10294502.143066665</v>
      </c>
      <c r="D6" s="1316">
        <v>10294502.143066665</v>
      </c>
      <c r="E6" s="1316">
        <v>10294502.143066665</v>
      </c>
      <c r="F6" s="1316">
        <v>10294502.143066665</v>
      </c>
      <c r="G6" s="1316">
        <v>10294502.143066665</v>
      </c>
      <c r="H6" s="1316">
        <v>10294502.143066665</v>
      </c>
      <c r="I6" s="1316">
        <v>10294502.143066665</v>
      </c>
      <c r="J6" s="1316">
        <v>10294502.143066665</v>
      </c>
      <c r="K6" s="1316">
        <v>10294502.143066665</v>
      </c>
      <c r="L6" s="1316">
        <v>10294502.143066665</v>
      </c>
      <c r="M6" s="77">
        <f t="shared" si="0"/>
        <v>10294502.143066689</v>
      </c>
      <c r="N6" s="1318">
        <f>130035816.544*0.95</f>
        <v>123534025.71679999</v>
      </c>
      <c r="O6" s="1316">
        <f t="shared" ref="O6:P6" si="2">N6*1.06</f>
        <v>130946067.25980799</v>
      </c>
      <c r="P6" s="1319">
        <f t="shared" si="2"/>
        <v>138802831.29539648</v>
      </c>
    </row>
    <row r="7" spans="1:19" x14ac:dyDescent="0.25">
      <c r="A7" s="63" t="str">
        <f>'A4-FinPerf RE'!A7</f>
        <v>Service charges - water revenue</v>
      </c>
      <c r="B7" s="1318">
        <f t="shared" si="1"/>
        <v>2180520.4285833333</v>
      </c>
      <c r="C7" s="1316">
        <v>2180520.4285833333</v>
      </c>
      <c r="D7" s="1316">
        <v>2180520.4285833333</v>
      </c>
      <c r="E7" s="1316">
        <v>2180520.4285833333</v>
      </c>
      <c r="F7" s="1316">
        <v>2180520.4285833333</v>
      </c>
      <c r="G7" s="1316">
        <v>2180520.4285833333</v>
      </c>
      <c r="H7" s="1316">
        <v>2180520.4285833333</v>
      </c>
      <c r="I7" s="1316">
        <v>2180520.4285833333</v>
      </c>
      <c r="J7" s="1316">
        <v>2180520.4285833333</v>
      </c>
      <c r="K7" s="1316">
        <v>2180520.4285833333</v>
      </c>
      <c r="L7" s="1316">
        <v>2180520.4285833333</v>
      </c>
      <c r="M7" s="77">
        <f t="shared" si="0"/>
        <v>2180520.4285833389</v>
      </c>
      <c r="N7" s="1318">
        <f>27543415.94*0.95</f>
        <v>26166245.142999999</v>
      </c>
      <c r="O7" s="1316">
        <f t="shared" ref="O7:P7" si="3">N7*1.06</f>
        <v>27736219.851580001</v>
      </c>
      <c r="P7" s="1319">
        <f t="shared" si="3"/>
        <v>29400393.042674802</v>
      </c>
    </row>
    <row r="8" spans="1:19" x14ac:dyDescent="0.25">
      <c r="A8" s="63" t="str">
        <f>'A4-FinPerf RE'!A8</f>
        <v>Service charges - sanitation revenue</v>
      </c>
      <c r="B8" s="1318">
        <f t="shared" si="1"/>
        <v>1297179.9953333333</v>
      </c>
      <c r="C8" s="1316">
        <v>1297179.9953333333</v>
      </c>
      <c r="D8" s="1316">
        <v>1297179.9953333333</v>
      </c>
      <c r="E8" s="1316">
        <v>1297179.9953333333</v>
      </c>
      <c r="F8" s="1316">
        <v>1297179.9953333333</v>
      </c>
      <c r="G8" s="1316">
        <v>1297179.9953333333</v>
      </c>
      <c r="H8" s="1316">
        <v>1297179.9953333333</v>
      </c>
      <c r="I8" s="1316">
        <v>1297179.9953333333</v>
      </c>
      <c r="J8" s="1316">
        <v>1297179.9953333333</v>
      </c>
      <c r="K8" s="1316">
        <v>1297179.9953333333</v>
      </c>
      <c r="L8" s="1316">
        <v>1297179.9953333333</v>
      </c>
      <c r="M8" s="77">
        <f t="shared" si="0"/>
        <v>1297179.9953333344</v>
      </c>
      <c r="N8" s="1318">
        <f>(-2186455.48+18571887)*0.95</f>
        <v>15566159.943999998</v>
      </c>
      <c r="O8" s="1316">
        <f t="shared" ref="O8:P8" si="4">N8*1.06</f>
        <v>16500129.540639998</v>
      </c>
      <c r="P8" s="1319">
        <f t="shared" si="4"/>
        <v>17490137.3130784</v>
      </c>
    </row>
    <row r="9" spans="1:19" x14ac:dyDescent="0.25">
      <c r="A9" s="63" t="str">
        <f>'A4-FinPerf RE'!A9</f>
        <v>Service charges - refuse revenue</v>
      </c>
      <c r="B9" s="1318">
        <f t="shared" si="1"/>
        <v>1813432.5055833331</v>
      </c>
      <c r="C9" s="1316">
        <v>1813432.5055833331</v>
      </c>
      <c r="D9" s="1316">
        <v>1813432.5055833331</v>
      </c>
      <c r="E9" s="1316">
        <v>1813432.5055833331</v>
      </c>
      <c r="F9" s="1316">
        <v>1813432.5055833331</v>
      </c>
      <c r="G9" s="1316">
        <v>1813432.5055833331</v>
      </c>
      <c r="H9" s="1316">
        <v>1813432.5055833331</v>
      </c>
      <c r="I9" s="1316">
        <v>1813432.5055833331</v>
      </c>
      <c r="J9" s="1316">
        <v>1813432.5055833331</v>
      </c>
      <c r="K9" s="1316">
        <v>1813432.5055833331</v>
      </c>
      <c r="L9" s="1316">
        <v>1813432.5055833331</v>
      </c>
      <c r="M9" s="77">
        <f t="shared" si="0"/>
        <v>1813432.505583331</v>
      </c>
      <c r="N9" s="1318">
        <f>22906515.86*0.95</f>
        <v>21761190.066999998</v>
      </c>
      <c r="O9" s="1316">
        <f t="shared" ref="O9:P9" si="5">N9*1.06</f>
        <v>23066861.471019998</v>
      </c>
      <c r="P9" s="1319">
        <f t="shared" si="5"/>
        <v>24450873.159281198</v>
      </c>
    </row>
    <row r="10" spans="1:19" ht="1.9" customHeight="1" x14ac:dyDescent="0.25">
      <c r="A10" s="63"/>
      <c r="B10" s="1318">
        <f t="shared" si="1"/>
        <v>0</v>
      </c>
      <c r="C10" s="76">
        <v>0</v>
      </c>
      <c r="D10" s="76">
        <v>0</v>
      </c>
      <c r="E10" s="76">
        <v>0</v>
      </c>
      <c r="F10" s="76">
        <v>0</v>
      </c>
      <c r="G10" s="76">
        <v>0</v>
      </c>
      <c r="H10" s="76">
        <v>0</v>
      </c>
      <c r="I10" s="76">
        <v>0</v>
      </c>
      <c r="J10" s="76">
        <v>0</v>
      </c>
      <c r="K10" s="76">
        <v>0</v>
      </c>
      <c r="L10" s="76">
        <v>0</v>
      </c>
      <c r="M10" s="77"/>
      <c r="N10" s="79"/>
      <c r="O10" s="1316">
        <f t="shared" ref="O10:P10" si="6">N10*1.06</f>
        <v>0</v>
      </c>
      <c r="P10" s="1319">
        <f t="shared" si="6"/>
        <v>0</v>
      </c>
    </row>
    <row r="11" spans="1:19" x14ac:dyDescent="0.25">
      <c r="A11" s="63" t="str">
        <f>'A4-FinPerf RE'!A11</f>
        <v>Rental of facilities and equipment</v>
      </c>
      <c r="B11" s="1318">
        <f t="shared" si="1"/>
        <v>73582.313649999996</v>
      </c>
      <c r="C11" s="1316">
        <v>73582.313649999996</v>
      </c>
      <c r="D11" s="1316">
        <v>73582.313649999996</v>
      </c>
      <c r="E11" s="1316">
        <v>73582.313649999996</v>
      </c>
      <c r="F11" s="1316">
        <v>73582.313649999996</v>
      </c>
      <c r="G11" s="1316">
        <v>73582.313649999996</v>
      </c>
      <c r="H11" s="1316">
        <v>73582.313649999996</v>
      </c>
      <c r="I11" s="1316">
        <v>73582.313649999996</v>
      </c>
      <c r="J11" s="1316">
        <v>73582.313649999996</v>
      </c>
      <c r="K11" s="1316">
        <v>73582.313649999996</v>
      </c>
      <c r="L11" s="1316">
        <v>73582.313649999996</v>
      </c>
      <c r="M11" s="77">
        <f t="shared" si="0"/>
        <v>73582.313649999793</v>
      </c>
      <c r="N11" s="1318">
        <f>929460.804*0.95</f>
        <v>882987.76379999996</v>
      </c>
      <c r="O11" s="1316">
        <f t="shared" ref="O11:P11" si="7">N11*1.06</f>
        <v>935967.02962799999</v>
      </c>
      <c r="P11" s="1319">
        <f t="shared" si="7"/>
        <v>992125.05140568002</v>
      </c>
    </row>
    <row r="12" spans="1:19" x14ac:dyDescent="0.25">
      <c r="A12" s="63" t="str">
        <f>'A4-FinPerf RE'!A12</f>
        <v>Interest earned - external investments</v>
      </c>
      <c r="B12" s="1318">
        <f t="shared" si="1"/>
        <v>272346.5</v>
      </c>
      <c r="C12" s="1316">
        <v>272346.5</v>
      </c>
      <c r="D12" s="1316">
        <v>272346.5</v>
      </c>
      <c r="E12" s="1316">
        <v>272346.5</v>
      </c>
      <c r="F12" s="1316">
        <v>272346.5</v>
      </c>
      <c r="G12" s="1316">
        <v>272346.5</v>
      </c>
      <c r="H12" s="1316">
        <v>272346.5</v>
      </c>
      <c r="I12" s="1316">
        <v>272346.5</v>
      </c>
      <c r="J12" s="1316">
        <v>272346.5</v>
      </c>
      <c r="K12" s="1316">
        <v>272346.5</v>
      </c>
      <c r="L12" s="1316">
        <v>272346.5</v>
      </c>
      <c r="M12" s="77">
        <f t="shared" si="0"/>
        <v>272346.5</v>
      </c>
      <c r="N12" s="1318">
        <v>3268158</v>
      </c>
      <c r="O12" s="1316">
        <f t="shared" ref="O12:P12" si="8">N12*1.06</f>
        <v>3464247.48</v>
      </c>
      <c r="P12" s="1319">
        <f t="shared" si="8"/>
        <v>3672102.3288000003</v>
      </c>
    </row>
    <row r="13" spans="1:19" x14ac:dyDescent="0.25">
      <c r="A13" s="63" t="str">
        <f>'A4-FinPerf RE'!A13</f>
        <v>Interest earned - outstanding debtors</v>
      </c>
      <c r="B13" s="1318">
        <f t="shared" si="1"/>
        <v>324858.83333333331</v>
      </c>
      <c r="C13" s="1316">
        <v>324858.83333333331</v>
      </c>
      <c r="D13" s="1316">
        <v>324858.83333333331</v>
      </c>
      <c r="E13" s="1316">
        <v>324858.83333333331</v>
      </c>
      <c r="F13" s="1316">
        <v>324858.83333333331</v>
      </c>
      <c r="G13" s="1316">
        <v>324858.83333333331</v>
      </c>
      <c r="H13" s="1316">
        <v>324858.83333333331</v>
      </c>
      <c r="I13" s="1316">
        <v>324858.83333333331</v>
      </c>
      <c r="J13" s="1316">
        <v>324858.83333333331</v>
      </c>
      <c r="K13" s="1316">
        <v>324858.83333333331</v>
      </c>
      <c r="L13" s="1316">
        <v>324858.83333333331</v>
      </c>
      <c r="M13" s="77">
        <f t="shared" si="0"/>
        <v>324858.83333333302</v>
      </c>
      <c r="N13" s="1318">
        <f>4103480*0.95</f>
        <v>3898306</v>
      </c>
      <c r="O13" s="1316">
        <f t="shared" ref="O13:P13" si="9">N13*1.06</f>
        <v>4132204.3600000003</v>
      </c>
      <c r="P13" s="1319">
        <f t="shared" si="9"/>
        <v>4380136.6216000002</v>
      </c>
    </row>
    <row r="14" spans="1:19" x14ac:dyDescent="0.25">
      <c r="A14" s="63" t="str">
        <f>'A4-FinPerf RE'!A14</f>
        <v>Dividends received</v>
      </c>
      <c r="B14" s="1318">
        <f t="shared" si="1"/>
        <v>0</v>
      </c>
      <c r="C14" s="1316">
        <v>0</v>
      </c>
      <c r="D14" s="1316">
        <v>0</v>
      </c>
      <c r="E14" s="1316">
        <v>0</v>
      </c>
      <c r="F14" s="1316">
        <v>0</v>
      </c>
      <c r="G14" s="1316">
        <v>0</v>
      </c>
      <c r="H14" s="1316">
        <v>0</v>
      </c>
      <c r="I14" s="1316">
        <v>0</v>
      </c>
      <c r="J14" s="1316">
        <v>0</v>
      </c>
      <c r="K14" s="1316">
        <v>0</v>
      </c>
      <c r="L14" s="1316">
        <v>0</v>
      </c>
      <c r="M14" s="77">
        <f t="shared" si="0"/>
        <v>0</v>
      </c>
      <c r="N14" s="1318"/>
      <c r="O14" s="1316">
        <f t="shared" ref="O14:P14" si="10">N14*1.06</f>
        <v>0</v>
      </c>
      <c r="P14" s="1319">
        <f t="shared" si="10"/>
        <v>0</v>
      </c>
    </row>
    <row r="15" spans="1:19" x14ac:dyDescent="0.25">
      <c r="A15" s="63" t="str">
        <f>'A4-FinPerf RE'!A15</f>
        <v>Fines, penalties and forfeits</v>
      </c>
      <c r="B15" s="1318">
        <f t="shared" si="1"/>
        <v>929.16666666666663</v>
      </c>
      <c r="C15" s="1316">
        <v>929.16666666666663</v>
      </c>
      <c r="D15" s="1316">
        <v>929.16666666666663</v>
      </c>
      <c r="E15" s="1316">
        <v>929.16666666666663</v>
      </c>
      <c r="F15" s="1316">
        <v>929.16666666666663</v>
      </c>
      <c r="G15" s="1316">
        <v>929.16666666666663</v>
      </c>
      <c r="H15" s="1316">
        <v>929.16666666666663</v>
      </c>
      <c r="I15" s="1316">
        <v>929.16666666666663</v>
      </c>
      <c r="J15" s="1316">
        <v>929.16666666666663</v>
      </c>
      <c r="K15" s="1316">
        <v>929.16666666666663</v>
      </c>
      <c r="L15" s="1316">
        <v>929.16666666666663</v>
      </c>
      <c r="M15" s="77">
        <f t="shared" si="0"/>
        <v>929.16666666666788</v>
      </c>
      <c r="N15" s="1318">
        <v>11150</v>
      </c>
      <c r="O15" s="1316">
        <f t="shared" ref="O15:P15" si="11">N15*1.06</f>
        <v>11819</v>
      </c>
      <c r="P15" s="1319">
        <f t="shared" si="11"/>
        <v>12528.140000000001</v>
      </c>
    </row>
    <row r="16" spans="1:19" x14ac:dyDescent="0.25">
      <c r="A16" s="63" t="str">
        <f>'A4-FinPerf RE'!A16</f>
        <v>Licences and permits</v>
      </c>
      <c r="B16" s="1318">
        <f t="shared" si="1"/>
        <v>137682.41666666666</v>
      </c>
      <c r="C16" s="1316">
        <v>137682.41666666666</v>
      </c>
      <c r="D16" s="1316">
        <v>137682.41666666666</v>
      </c>
      <c r="E16" s="1316">
        <v>137682.41666666666</v>
      </c>
      <c r="F16" s="1316">
        <v>137682.41666666666</v>
      </c>
      <c r="G16" s="1316">
        <v>137682.41666666666</v>
      </c>
      <c r="H16" s="1316">
        <v>137682.41666666666</v>
      </c>
      <c r="I16" s="1316">
        <v>137682.41666666666</v>
      </c>
      <c r="J16" s="1316">
        <v>137682.41666666666</v>
      </c>
      <c r="K16" s="1316">
        <v>137682.41666666666</v>
      </c>
      <c r="L16" s="1316">
        <v>137682.41666666666</v>
      </c>
      <c r="M16" s="77">
        <f t="shared" si="0"/>
        <v>137682.41666666651</v>
      </c>
      <c r="N16" s="1318">
        <v>1652189</v>
      </c>
      <c r="O16" s="1316">
        <f t="shared" ref="O16:P16" si="12">N16*1.06</f>
        <v>1751320.34</v>
      </c>
      <c r="P16" s="1319">
        <f t="shared" si="12"/>
        <v>1856399.5604000001</v>
      </c>
    </row>
    <row r="17" spans="1:16" x14ac:dyDescent="0.25">
      <c r="A17" s="63" t="str">
        <f>'A4-FinPerf RE'!A17</f>
        <v>Agency services</v>
      </c>
      <c r="B17" s="1318">
        <f t="shared" si="1"/>
        <v>305678.33333333331</v>
      </c>
      <c r="C17" s="1316">
        <v>305678.33333333331</v>
      </c>
      <c r="D17" s="1316">
        <v>305678.33333333331</v>
      </c>
      <c r="E17" s="1316">
        <v>305678.33333333331</v>
      </c>
      <c r="F17" s="1316">
        <v>305678.33333333331</v>
      </c>
      <c r="G17" s="1316">
        <v>305678.33333333331</v>
      </c>
      <c r="H17" s="1316">
        <v>305678.33333333331</v>
      </c>
      <c r="I17" s="1316">
        <v>305678.33333333331</v>
      </c>
      <c r="J17" s="1316">
        <v>305678.33333333331</v>
      </c>
      <c r="K17" s="1316">
        <v>305678.33333333331</v>
      </c>
      <c r="L17" s="1316">
        <v>305678.33333333331</v>
      </c>
      <c r="M17" s="77">
        <f t="shared" si="0"/>
        <v>305678.33333333302</v>
      </c>
      <c r="N17" s="1318">
        <v>3668140</v>
      </c>
      <c r="O17" s="1316">
        <f t="shared" ref="O17:P17" si="13">N17*1.06</f>
        <v>3888228.4000000004</v>
      </c>
      <c r="P17" s="1319">
        <f t="shared" si="13"/>
        <v>4121522.1040000007</v>
      </c>
    </row>
    <row r="18" spans="1:16" x14ac:dyDescent="0.25">
      <c r="A18" s="63" t="s">
        <v>496</v>
      </c>
      <c r="B18" s="1318">
        <f>N18/3</f>
        <v>34110684.833333336</v>
      </c>
      <c r="C18" s="1316"/>
      <c r="D18" s="1316"/>
      <c r="E18" s="1316"/>
      <c r="F18" s="1316"/>
      <c r="G18" s="1316">
        <f>N18/3</f>
        <v>34110684.833333336</v>
      </c>
      <c r="H18" s="1316"/>
      <c r="I18" s="1316"/>
      <c r="J18" s="1316">
        <f>N18/3</f>
        <v>34110684.833333336</v>
      </c>
      <c r="K18" s="1316"/>
      <c r="L18" s="1316"/>
      <c r="M18" s="77">
        <f t="shared" si="0"/>
        <v>0</v>
      </c>
      <c r="N18" s="1318">
        <v>102332054.5</v>
      </c>
      <c r="O18" s="1316">
        <f t="shared" ref="O18:P18" si="14">N18*1.06</f>
        <v>108471977.77000001</v>
      </c>
      <c r="P18" s="1319">
        <f t="shared" si="14"/>
        <v>114980296.43620002</v>
      </c>
    </row>
    <row r="19" spans="1:16" x14ac:dyDescent="0.25">
      <c r="A19" s="63" t="str">
        <f>'A4-FinPerf RE'!A19</f>
        <v>Other revenue</v>
      </c>
      <c r="B19" s="1318">
        <f t="shared" si="1"/>
        <v>450849.22916666669</v>
      </c>
      <c r="C19" s="1316">
        <v>450849.22916666669</v>
      </c>
      <c r="D19" s="1316">
        <v>450849.22916666669</v>
      </c>
      <c r="E19" s="1316">
        <v>450849.22916666669</v>
      </c>
      <c r="F19" s="1316">
        <v>450849.22916666669</v>
      </c>
      <c r="G19" s="1316">
        <v>450849.22916666669</v>
      </c>
      <c r="H19" s="1316">
        <v>450849.22916666669</v>
      </c>
      <c r="I19" s="1316">
        <v>450849.22916666669</v>
      </c>
      <c r="J19" s="1316">
        <v>450849.22916666669</v>
      </c>
      <c r="K19" s="1316">
        <v>450849.22916666669</v>
      </c>
      <c r="L19" s="1316">
        <v>450849.22916666669</v>
      </c>
      <c r="M19" s="77">
        <f t="shared" si="0"/>
        <v>450849.22916666698</v>
      </c>
      <c r="N19" s="1318">
        <f>(5565853.5-3113255)+(3113255*0.95)</f>
        <v>5410190.75</v>
      </c>
      <c r="O19" s="1316">
        <f t="shared" ref="O19:P19" si="15">N19*1.06</f>
        <v>5734802.1950000003</v>
      </c>
      <c r="P19" s="1319">
        <f t="shared" si="15"/>
        <v>6078890.326700001</v>
      </c>
    </row>
    <row r="20" spans="1:16" x14ac:dyDescent="0.25">
      <c r="A20" s="118" t="s">
        <v>1430</v>
      </c>
      <c r="B20" s="84">
        <f>SUM(B5:B9)+SUM(B11:B19)</f>
        <v>54507499.125258327</v>
      </c>
      <c r="C20" s="81">
        <f t="shared" ref="C20:P20" si="16">SUM(C5:C9)+SUM(C11:C19)</f>
        <v>20396814.291924998</v>
      </c>
      <c r="D20" s="81">
        <f t="shared" si="16"/>
        <v>20396814.291924998</v>
      </c>
      <c r="E20" s="81">
        <f t="shared" si="16"/>
        <v>20396814.291924998</v>
      </c>
      <c r="F20" s="81">
        <f t="shared" si="16"/>
        <v>20396814.291924998</v>
      </c>
      <c r="G20" s="81">
        <f t="shared" si="16"/>
        <v>54507499.125258327</v>
      </c>
      <c r="H20" s="81">
        <f t="shared" si="16"/>
        <v>20396814.291924998</v>
      </c>
      <c r="I20" s="81">
        <f t="shared" si="16"/>
        <v>20396814.291924998</v>
      </c>
      <c r="J20" s="81">
        <f t="shared" si="16"/>
        <v>54507499.125258327</v>
      </c>
      <c r="K20" s="81">
        <f t="shared" si="16"/>
        <v>20396814.291924998</v>
      </c>
      <c r="L20" s="81">
        <f t="shared" si="16"/>
        <v>20396814.291924998</v>
      </c>
      <c r="M20" s="82">
        <f t="shared" si="16"/>
        <v>20396814.291925024</v>
      </c>
      <c r="N20" s="84">
        <f t="shared" si="16"/>
        <v>347093826.00309998</v>
      </c>
      <c r="O20" s="81">
        <f t="shared" si="16"/>
        <v>367919455.56328595</v>
      </c>
      <c r="P20" s="472">
        <f t="shared" si="16"/>
        <v>389994622.89708316</v>
      </c>
    </row>
    <row r="21" spans="1:16" ht="4.9000000000000004" customHeight="1" x14ac:dyDescent="0.25">
      <c r="A21" s="74"/>
      <c r="B21" s="79"/>
      <c r="C21" s="76"/>
      <c r="D21" s="76"/>
      <c r="E21" s="76"/>
      <c r="F21" s="76"/>
      <c r="G21" s="76"/>
      <c r="H21" s="76"/>
      <c r="I21" s="76"/>
      <c r="J21" s="76"/>
      <c r="K21" s="76"/>
      <c r="L21" s="76"/>
      <c r="M21" s="77"/>
      <c r="N21" s="79"/>
      <c r="O21" s="76"/>
      <c r="P21" s="333"/>
    </row>
    <row r="22" spans="1:16" ht="11.25" customHeight="1" x14ac:dyDescent="0.25">
      <c r="A22" s="70" t="s">
        <v>810</v>
      </c>
      <c r="B22" s="79"/>
      <c r="C22" s="76"/>
      <c r="D22" s="76"/>
      <c r="E22" s="76"/>
      <c r="F22" s="76"/>
      <c r="G22" s="76"/>
      <c r="H22" s="76"/>
      <c r="I22" s="76"/>
      <c r="J22" s="76"/>
      <c r="K22" s="76"/>
      <c r="L22" s="76"/>
      <c r="M22" s="77"/>
      <c r="N22" s="79"/>
      <c r="O22" s="76"/>
      <c r="P22" s="333"/>
    </row>
    <row r="23" spans="1:16" ht="11.25" customHeight="1" x14ac:dyDescent="0.25">
      <c r="A23" s="63" t="s">
        <v>495</v>
      </c>
      <c r="B23" s="1316">
        <f>N23/3</f>
        <v>11272666.666666666</v>
      </c>
      <c r="C23" s="1316"/>
      <c r="D23" s="1316"/>
      <c r="E23" s="1316"/>
      <c r="F23" s="1316"/>
      <c r="G23" s="1316">
        <v>11272666.666666666</v>
      </c>
      <c r="H23" s="1316"/>
      <c r="I23" s="1316"/>
      <c r="J23" s="1316">
        <v>11272666.666666666</v>
      </c>
      <c r="K23" s="1316"/>
      <c r="L23" s="1316"/>
      <c r="M23" s="77">
        <f t="shared" ref="M23:M31" si="17">N23-SUM(B23:L23)</f>
        <v>0</v>
      </c>
      <c r="N23" s="1318">
        <v>33818000</v>
      </c>
      <c r="O23" s="1316">
        <f>N23*1.06</f>
        <v>35847080</v>
      </c>
      <c r="P23" s="1319">
        <f>O23*1.06</f>
        <v>37997904.800000004</v>
      </c>
    </row>
    <row r="24" spans="1:16" ht="90" customHeight="1" x14ac:dyDescent="0.25">
      <c r="A24" s="146" t="str">
        <f>'A4-FinPerf RE'!A39&amp;" &amp; "&amp;'A4-FinPerf RE'!A40</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4" s="1318"/>
      <c r="C24" s="1316"/>
      <c r="D24" s="1316"/>
      <c r="E24" s="1316"/>
      <c r="F24" s="1316"/>
      <c r="G24" s="1316"/>
      <c r="H24" s="1316"/>
      <c r="I24" s="1316"/>
      <c r="J24" s="1316"/>
      <c r="K24" s="1316"/>
      <c r="L24" s="1316"/>
      <c r="M24" s="77">
        <f t="shared" si="17"/>
        <v>0</v>
      </c>
      <c r="N24" s="1318"/>
      <c r="O24" s="1316"/>
      <c r="P24" s="1319"/>
    </row>
    <row r="25" spans="1:16" ht="11.25" customHeight="1" x14ac:dyDescent="0.25">
      <c r="A25" s="63" t="str">
        <f>'A7-CFlow'!A21</f>
        <v>Proceeds on disposal of PPE</v>
      </c>
      <c r="B25" s="1318"/>
      <c r="C25" s="1316"/>
      <c r="D25" s="1316"/>
      <c r="E25" s="1316"/>
      <c r="F25" s="1316"/>
      <c r="G25" s="1316"/>
      <c r="H25" s="1316"/>
      <c r="I25" s="1316"/>
      <c r="J25" s="1316"/>
      <c r="K25" s="1316"/>
      <c r="L25" s="1316"/>
      <c r="M25" s="77">
        <f t="shared" si="17"/>
        <v>0</v>
      </c>
      <c r="N25" s="1318"/>
      <c r="O25" s="1316"/>
      <c r="P25" s="1319"/>
    </row>
    <row r="26" spans="1:16" ht="11.25" customHeight="1" x14ac:dyDescent="0.25">
      <c r="A26" s="63" t="str">
        <f>'A7-CFlow'!A31</f>
        <v>Short term loans</v>
      </c>
      <c r="B26" s="1318"/>
      <c r="C26" s="1316"/>
      <c r="D26" s="1316"/>
      <c r="E26" s="1316"/>
      <c r="F26" s="1316"/>
      <c r="G26" s="1316"/>
      <c r="H26" s="1316"/>
      <c r="I26" s="1316"/>
      <c r="J26" s="1316"/>
      <c r="K26" s="1316"/>
      <c r="L26" s="1316"/>
      <c r="M26" s="77">
        <f t="shared" si="17"/>
        <v>0</v>
      </c>
      <c r="N26" s="1318"/>
      <c r="O26" s="1316"/>
      <c r="P26" s="1319"/>
    </row>
    <row r="27" spans="1:16" ht="11.25" customHeight="1" x14ac:dyDescent="0.25">
      <c r="A27" s="63" t="str">
        <f>'A7-CFlow'!A32</f>
        <v>Borrowing long term/refinancing</v>
      </c>
      <c r="B27" s="1318"/>
      <c r="C27" s="1316"/>
      <c r="D27" s="1316"/>
      <c r="E27" s="1316"/>
      <c r="F27" s="1316"/>
      <c r="G27" s="1316"/>
      <c r="H27" s="1316"/>
      <c r="I27" s="1316"/>
      <c r="J27" s="1316"/>
      <c r="K27" s="1316"/>
      <c r="L27" s="1316"/>
      <c r="M27" s="77">
        <f t="shared" si="17"/>
        <v>0</v>
      </c>
      <c r="N27" s="1318"/>
      <c r="O27" s="1316"/>
      <c r="P27" s="1319"/>
    </row>
    <row r="28" spans="1:16" ht="11.25" customHeight="1" x14ac:dyDescent="0.25">
      <c r="A28" s="63" t="str">
        <f>'A7-CFlow'!A33</f>
        <v>Increase (decrease) in consumer deposits</v>
      </c>
      <c r="B28" s="1318"/>
      <c r="C28" s="1316"/>
      <c r="D28" s="1316"/>
      <c r="E28" s="1316"/>
      <c r="F28" s="1316"/>
      <c r="G28" s="1316"/>
      <c r="H28" s="1316"/>
      <c r="I28" s="1316"/>
      <c r="J28" s="1316"/>
      <c r="K28" s="1316"/>
      <c r="L28" s="1316"/>
      <c r="M28" s="77">
        <f t="shared" si="17"/>
        <v>0</v>
      </c>
      <c r="N28" s="1318"/>
      <c r="O28" s="1316"/>
      <c r="P28" s="1319"/>
    </row>
    <row r="29" spans="1:16" ht="11.25" customHeight="1" x14ac:dyDescent="0.25">
      <c r="A29" s="63" t="str">
        <f>'A7-CFlow'!A22</f>
        <v>Decrease (Increase) in non-current debtors</v>
      </c>
      <c r="B29" s="1318"/>
      <c r="C29" s="1316"/>
      <c r="D29" s="1316"/>
      <c r="E29" s="1316"/>
      <c r="F29" s="1316"/>
      <c r="G29" s="1316"/>
      <c r="H29" s="1316"/>
      <c r="I29" s="1316"/>
      <c r="J29" s="1316"/>
      <c r="K29" s="1316"/>
      <c r="L29" s="1316"/>
      <c r="M29" s="77">
        <f t="shared" si="17"/>
        <v>0</v>
      </c>
      <c r="N29" s="1318"/>
      <c r="O29" s="1316"/>
      <c r="P29" s="1319"/>
    </row>
    <row r="30" spans="1:16" ht="11.25" customHeight="1" x14ac:dyDescent="0.25">
      <c r="A30" s="63" t="str">
        <f>'A7-CFlow'!A23</f>
        <v>Decrease (increase) other non-current receivables</v>
      </c>
      <c r="B30" s="1318"/>
      <c r="C30" s="1316"/>
      <c r="D30" s="1316"/>
      <c r="E30" s="1316"/>
      <c r="F30" s="1316"/>
      <c r="G30" s="1316"/>
      <c r="H30" s="1316"/>
      <c r="I30" s="1316"/>
      <c r="J30" s="1316"/>
      <c r="K30" s="1316"/>
      <c r="L30" s="1316"/>
      <c r="M30" s="77">
        <f t="shared" si="17"/>
        <v>0</v>
      </c>
      <c r="N30" s="1318"/>
      <c r="O30" s="1316"/>
      <c r="P30" s="1319"/>
    </row>
    <row r="31" spans="1:16" ht="11.25" customHeight="1" x14ac:dyDescent="0.25">
      <c r="A31" s="63" t="str">
        <f>'A7-CFlow'!A24</f>
        <v>Decrease (increase) in non-current investments</v>
      </c>
      <c r="B31" s="1318"/>
      <c r="C31" s="1316"/>
      <c r="D31" s="1316"/>
      <c r="E31" s="1316"/>
      <c r="F31" s="1316"/>
      <c r="G31" s="1316"/>
      <c r="H31" s="1316"/>
      <c r="I31" s="1316"/>
      <c r="J31" s="1316"/>
      <c r="K31" s="1316"/>
      <c r="L31" s="1316"/>
      <c r="M31" s="77">
        <f t="shared" si="17"/>
        <v>0</v>
      </c>
      <c r="N31" s="1318"/>
      <c r="O31" s="1316"/>
      <c r="P31" s="1319"/>
    </row>
    <row r="32" spans="1:16" ht="11.25" customHeight="1" x14ac:dyDescent="0.25">
      <c r="A32" s="175" t="s">
        <v>619</v>
      </c>
      <c r="B32" s="125">
        <f t="shared" ref="B32:P32" si="18">SUM(B20:B31)</f>
        <v>65780165.791924991</v>
      </c>
      <c r="C32" s="122">
        <f t="shared" si="18"/>
        <v>20396814.291924998</v>
      </c>
      <c r="D32" s="122">
        <f t="shared" si="18"/>
        <v>20396814.291924998</v>
      </c>
      <c r="E32" s="122">
        <f t="shared" si="18"/>
        <v>20396814.291924998</v>
      </c>
      <c r="F32" s="122">
        <f t="shared" si="18"/>
        <v>20396814.291924998</v>
      </c>
      <c r="G32" s="122">
        <f t="shared" si="18"/>
        <v>65780165.791924991</v>
      </c>
      <c r="H32" s="122">
        <f t="shared" si="18"/>
        <v>20396814.291924998</v>
      </c>
      <c r="I32" s="122">
        <f t="shared" si="18"/>
        <v>20396814.291924998</v>
      </c>
      <c r="J32" s="122">
        <f t="shared" si="18"/>
        <v>65780165.791924991</v>
      </c>
      <c r="K32" s="122">
        <f t="shared" si="18"/>
        <v>20396814.291924998</v>
      </c>
      <c r="L32" s="122">
        <f t="shared" si="18"/>
        <v>20396814.291924998</v>
      </c>
      <c r="M32" s="123">
        <f t="shared" si="18"/>
        <v>20396814.291925024</v>
      </c>
      <c r="N32" s="125">
        <f t="shared" si="18"/>
        <v>380911826.00309998</v>
      </c>
      <c r="O32" s="122">
        <f t="shared" si="18"/>
        <v>403766535.56328595</v>
      </c>
      <c r="P32" s="507">
        <f t="shared" si="18"/>
        <v>427992527.69708318</v>
      </c>
    </row>
    <row r="33" spans="1:17" ht="4.9000000000000004" customHeight="1" x14ac:dyDescent="0.25">
      <c r="A33" s="74"/>
      <c r="B33" s="79"/>
      <c r="C33" s="76"/>
      <c r="D33" s="76"/>
      <c r="E33" s="76"/>
      <c r="F33" s="76"/>
      <c r="G33" s="76"/>
      <c r="H33" s="76"/>
      <c r="I33" s="76"/>
      <c r="J33" s="76"/>
      <c r="K33" s="76"/>
      <c r="L33" s="76"/>
      <c r="M33" s="77"/>
      <c r="N33" s="79"/>
      <c r="O33" s="76"/>
      <c r="P33" s="333"/>
    </row>
    <row r="34" spans="1:17" x14ac:dyDescent="0.25">
      <c r="A34" s="54" t="s">
        <v>1431</v>
      </c>
      <c r="B34" s="79"/>
      <c r="C34" s="76"/>
      <c r="D34" s="76"/>
      <c r="E34" s="76"/>
      <c r="F34" s="76"/>
      <c r="G34" s="76"/>
      <c r="H34" s="76"/>
      <c r="I34" s="76"/>
      <c r="J34" s="76"/>
      <c r="K34" s="76"/>
      <c r="L34" s="76"/>
      <c r="M34" s="77"/>
      <c r="N34" s="117"/>
      <c r="O34" s="76"/>
      <c r="P34" s="333"/>
    </row>
    <row r="35" spans="1:17" x14ac:dyDescent="0.25">
      <c r="A35" s="63" t="s">
        <v>409</v>
      </c>
      <c r="B35" s="1316">
        <f>N35/13</f>
        <v>12056294.200830765</v>
      </c>
      <c r="C35" s="1316">
        <v>12056294.200830765</v>
      </c>
      <c r="D35" s="1316">
        <v>12056294.200830765</v>
      </c>
      <c r="E35" s="1316">
        <v>12056294.200830765</v>
      </c>
      <c r="F35" s="1316">
        <f>E35*2</f>
        <v>24112588.40166153</v>
      </c>
      <c r="G35" s="1316">
        <v>12056294.200830765</v>
      </c>
      <c r="H35" s="1316">
        <v>12056294.200830765</v>
      </c>
      <c r="I35" s="1316">
        <v>12056294.200830765</v>
      </c>
      <c r="J35" s="1316">
        <v>12056294.200830765</v>
      </c>
      <c r="K35" s="1316">
        <v>12056294.200830765</v>
      </c>
      <c r="L35" s="1316">
        <v>12056294.200830765</v>
      </c>
      <c r="M35" s="77">
        <f t="shared" ref="M35:M44" si="19">N35-SUM(B35:L35)</f>
        <v>12056294.200830787</v>
      </c>
      <c r="N35" s="1318">
        <v>156731824.61079994</v>
      </c>
      <c r="O35" s="1316">
        <f>N35*1.06</f>
        <v>166135734.08744794</v>
      </c>
      <c r="P35" s="1319">
        <f>O35*1.06</f>
        <v>176103878.13269484</v>
      </c>
    </row>
    <row r="36" spans="1:17" x14ac:dyDescent="0.25">
      <c r="A36" s="63" t="s">
        <v>461</v>
      </c>
      <c r="B36" s="1316">
        <f>N36/12</f>
        <v>826241.45699999994</v>
      </c>
      <c r="C36" s="1316">
        <v>826241.45699999994</v>
      </c>
      <c r="D36" s="1316">
        <v>826241.45699999994</v>
      </c>
      <c r="E36" s="1316">
        <v>826241.45699999994</v>
      </c>
      <c r="F36" s="1316">
        <v>826241.45699999994</v>
      </c>
      <c r="G36" s="1316">
        <v>826241.45699999994</v>
      </c>
      <c r="H36" s="1316">
        <v>826241.45699999994</v>
      </c>
      <c r="I36" s="1316">
        <v>826241.45699999994</v>
      </c>
      <c r="J36" s="1316">
        <v>826241.45699999994</v>
      </c>
      <c r="K36" s="1316">
        <v>826241.45699999994</v>
      </c>
      <c r="L36" s="1316">
        <v>826241.45699999994</v>
      </c>
      <c r="M36" s="77">
        <f t="shared" si="19"/>
        <v>826241.45699999854</v>
      </c>
      <c r="N36" s="1318">
        <v>9914897.4839999992</v>
      </c>
      <c r="O36" s="1316">
        <f t="shared" ref="O36:P36" si="20">N36*1.06</f>
        <v>10509791.333039999</v>
      </c>
      <c r="P36" s="1319">
        <f t="shared" si="20"/>
        <v>11140378.813022399</v>
      </c>
    </row>
    <row r="37" spans="1:17" x14ac:dyDescent="0.25">
      <c r="A37" s="63" t="s">
        <v>1383</v>
      </c>
      <c r="B37" s="1318">
        <f>N37/12</f>
        <v>315650</v>
      </c>
      <c r="C37" s="1316">
        <v>315650</v>
      </c>
      <c r="D37" s="1316">
        <v>315650</v>
      </c>
      <c r="E37" s="1316">
        <v>315650</v>
      </c>
      <c r="F37" s="1316">
        <v>315650</v>
      </c>
      <c r="G37" s="1316">
        <v>315650</v>
      </c>
      <c r="H37" s="1316">
        <v>315650</v>
      </c>
      <c r="I37" s="1316">
        <v>315650</v>
      </c>
      <c r="J37" s="1316">
        <v>315650</v>
      </c>
      <c r="K37" s="1316">
        <v>315650</v>
      </c>
      <c r="L37" s="1316">
        <v>315650</v>
      </c>
      <c r="M37" s="77">
        <f t="shared" si="19"/>
        <v>315650</v>
      </c>
      <c r="N37" s="1318">
        <v>3787800</v>
      </c>
      <c r="O37" s="1316">
        <f t="shared" ref="O37:P37" si="21">N37*1.06</f>
        <v>4015068</v>
      </c>
      <c r="P37" s="1319">
        <f t="shared" si="21"/>
        <v>4255972.08</v>
      </c>
    </row>
    <row r="38" spans="1:17" x14ac:dyDescent="0.25">
      <c r="A38" s="63" t="s">
        <v>618</v>
      </c>
      <c r="B38" s="1316">
        <f>N38/12</f>
        <v>7550409.166666667</v>
      </c>
      <c r="C38" s="1316">
        <v>7550409.166666667</v>
      </c>
      <c r="D38" s="1316">
        <v>7550409.166666667</v>
      </c>
      <c r="E38" s="1316">
        <v>7550409.166666667</v>
      </c>
      <c r="F38" s="1316">
        <v>7550409.166666667</v>
      </c>
      <c r="G38" s="1316">
        <v>7550409.166666667</v>
      </c>
      <c r="H38" s="1316">
        <v>7550409.166666667</v>
      </c>
      <c r="I38" s="1316">
        <v>7550409.166666667</v>
      </c>
      <c r="J38" s="1316">
        <v>7550409.166666667</v>
      </c>
      <c r="K38" s="1316">
        <v>7550409.166666667</v>
      </c>
      <c r="L38" s="1316">
        <v>7550409.166666667</v>
      </c>
      <c r="M38" s="77">
        <f t="shared" si="19"/>
        <v>7550409.1666666567</v>
      </c>
      <c r="N38" s="1318">
        <v>90604910</v>
      </c>
      <c r="O38" s="1316">
        <f t="shared" ref="O38:P38" si="22">N38*1.06</f>
        <v>96041204.600000009</v>
      </c>
      <c r="P38" s="1319">
        <f t="shared" si="22"/>
        <v>101803676.87600002</v>
      </c>
    </row>
    <row r="39" spans="1:17" x14ac:dyDescent="0.25">
      <c r="A39" s="63" t="s">
        <v>621</v>
      </c>
      <c r="B39" s="1318"/>
      <c r="C39" s="1316"/>
      <c r="D39" s="1316"/>
      <c r="E39" s="1316"/>
      <c r="F39" s="1316"/>
      <c r="G39" s="1316"/>
      <c r="H39" s="1316"/>
      <c r="I39" s="1316"/>
      <c r="J39" s="1316"/>
      <c r="K39" s="1316"/>
      <c r="L39" s="1316"/>
      <c r="M39" s="77">
        <f t="shared" si="19"/>
        <v>0</v>
      </c>
      <c r="N39" s="1318"/>
      <c r="O39" s="1316">
        <f t="shared" ref="O39:P39" si="23">N39*1.06</f>
        <v>0</v>
      </c>
      <c r="P39" s="1319">
        <f t="shared" si="23"/>
        <v>0</v>
      </c>
      <c r="Q39" s="148"/>
    </row>
    <row r="40" spans="1:17" x14ac:dyDescent="0.25">
      <c r="A40" s="63" t="s">
        <v>1358</v>
      </c>
      <c r="B40" s="1318"/>
      <c r="C40" s="1316"/>
      <c r="D40" s="1316"/>
      <c r="E40" s="1316"/>
      <c r="F40" s="1316"/>
      <c r="G40" s="1316"/>
      <c r="H40" s="1316"/>
      <c r="I40" s="1316"/>
      <c r="J40" s="1316"/>
      <c r="K40" s="1316"/>
      <c r="L40" s="1316"/>
      <c r="M40" s="77">
        <f t="shared" si="19"/>
        <v>0</v>
      </c>
      <c r="N40" s="1318"/>
      <c r="O40" s="1316">
        <f t="shared" ref="O40:P40" si="24">N40*1.06</f>
        <v>0</v>
      </c>
      <c r="P40" s="1319">
        <f t="shared" si="24"/>
        <v>0</v>
      </c>
      <c r="Q40" s="148"/>
    </row>
    <row r="41" spans="1:17" x14ac:dyDescent="0.25">
      <c r="A41" s="63" t="s">
        <v>412</v>
      </c>
      <c r="B41" s="1316">
        <f>N41/12</f>
        <v>340284.90666666668</v>
      </c>
      <c r="C41" s="1316">
        <v>340284.90666666668</v>
      </c>
      <c r="D41" s="1316">
        <v>340284.90666666668</v>
      </c>
      <c r="E41" s="1316">
        <v>340284.90666666668</v>
      </c>
      <c r="F41" s="1316">
        <v>340284.90666666668</v>
      </c>
      <c r="G41" s="1316">
        <v>340284.90666666668</v>
      </c>
      <c r="H41" s="1316">
        <v>340284.90666666668</v>
      </c>
      <c r="I41" s="1316">
        <v>340284.90666666668</v>
      </c>
      <c r="J41" s="1316">
        <v>340284.90666666668</v>
      </c>
      <c r="K41" s="1316">
        <v>340284.90666666668</v>
      </c>
      <c r="L41" s="1316">
        <v>340284.90666666668</v>
      </c>
      <c r="M41" s="77">
        <f t="shared" si="19"/>
        <v>340284.90666666627</v>
      </c>
      <c r="N41" s="1318">
        <v>4083418.88</v>
      </c>
      <c r="O41" s="1316">
        <f t="shared" ref="O41:P41" si="25">N41*1.06</f>
        <v>4328424.0127999997</v>
      </c>
      <c r="P41" s="1319">
        <f t="shared" si="25"/>
        <v>4588129.4535680003</v>
      </c>
    </row>
    <row r="42" spans="1:17" x14ac:dyDescent="0.25">
      <c r="A42" s="63" t="s">
        <v>1828</v>
      </c>
      <c r="B42" s="1318"/>
      <c r="C42" s="1316"/>
      <c r="D42" s="1316"/>
      <c r="E42" s="1316"/>
      <c r="F42" s="1316"/>
      <c r="G42" s="1316"/>
      <c r="H42" s="1316"/>
      <c r="I42" s="1316"/>
      <c r="J42" s="1316"/>
      <c r="K42" s="1316"/>
      <c r="L42" s="1316"/>
      <c r="M42" s="77">
        <f t="shared" si="19"/>
        <v>0</v>
      </c>
      <c r="N42" s="1318"/>
      <c r="O42" s="1316">
        <f t="shared" ref="O42:P42" si="26">N42*1.06</f>
        <v>0</v>
      </c>
      <c r="P42" s="1319">
        <f t="shared" si="26"/>
        <v>0</v>
      </c>
    </row>
    <row r="43" spans="1:17" x14ac:dyDescent="0.25">
      <c r="A43" s="63" t="s">
        <v>1829</v>
      </c>
      <c r="B43" s="1316">
        <f>N43/12</f>
        <v>2949.5</v>
      </c>
      <c r="C43" s="1316">
        <v>2949.5</v>
      </c>
      <c r="D43" s="1316">
        <v>2949.5</v>
      </c>
      <c r="E43" s="1316">
        <v>2949.5</v>
      </c>
      <c r="F43" s="1316">
        <v>2949.5</v>
      </c>
      <c r="G43" s="1316">
        <v>2949.5</v>
      </c>
      <c r="H43" s="1316">
        <v>2949.5</v>
      </c>
      <c r="I43" s="1316">
        <v>2949.5</v>
      </c>
      <c r="J43" s="1316">
        <v>2949.5</v>
      </c>
      <c r="K43" s="1316">
        <v>2949.5</v>
      </c>
      <c r="L43" s="1316">
        <v>2949.5</v>
      </c>
      <c r="M43" s="77">
        <f t="shared" si="19"/>
        <v>2949.5</v>
      </c>
      <c r="N43" s="1318">
        <v>35394</v>
      </c>
      <c r="O43" s="1316">
        <f t="shared" ref="O43:P43" si="27">N43*1.06</f>
        <v>37517.64</v>
      </c>
      <c r="P43" s="1319">
        <f t="shared" si="27"/>
        <v>39768.698400000001</v>
      </c>
    </row>
    <row r="44" spans="1:17" x14ac:dyDescent="0.25">
      <c r="A44" s="63" t="s">
        <v>837</v>
      </c>
      <c r="B44" s="1316">
        <f>N44/12</f>
        <v>4813234.2304166676</v>
      </c>
      <c r="C44" s="1316">
        <v>4813234.2304166676</v>
      </c>
      <c r="D44" s="1316">
        <v>4813234.2304166676</v>
      </c>
      <c r="E44" s="1316">
        <v>4813234.2304166676</v>
      </c>
      <c r="F44" s="1316">
        <v>4813234.2304166676</v>
      </c>
      <c r="G44" s="1316">
        <v>4813234.2304166676</v>
      </c>
      <c r="H44" s="1316">
        <v>4813234.2304166676</v>
      </c>
      <c r="I44" s="1316">
        <v>4813234.2304166676</v>
      </c>
      <c r="J44" s="1316">
        <v>4813234.2304166676</v>
      </c>
      <c r="K44" s="1316">
        <v>4813234.2304166676</v>
      </c>
      <c r="L44" s="1316">
        <v>4813234.2304166676</v>
      </c>
      <c r="M44" s="77">
        <f t="shared" si="19"/>
        <v>4813234.230416663</v>
      </c>
      <c r="N44" s="1318">
        <v>57758810.765000015</v>
      </c>
      <c r="O44" s="1316">
        <f t="shared" ref="O44:P44" si="28">N44*1.06</f>
        <v>61224339.410900019</v>
      </c>
      <c r="P44" s="1319">
        <f t="shared" si="28"/>
        <v>64897799.775554024</v>
      </c>
    </row>
    <row r="45" spans="1:17" x14ac:dyDescent="0.25">
      <c r="A45" s="118" t="s">
        <v>1431</v>
      </c>
      <c r="B45" s="84">
        <f t="shared" ref="B45:O45" si="29">SUM(B35:B44)</f>
        <v>25905063.461580765</v>
      </c>
      <c r="C45" s="81">
        <f t="shared" si="29"/>
        <v>25905063.461580765</v>
      </c>
      <c r="D45" s="81">
        <f t="shared" si="29"/>
        <v>25905063.461580765</v>
      </c>
      <c r="E45" s="81">
        <f t="shared" si="29"/>
        <v>25905063.461580765</v>
      </c>
      <c r="F45" s="81">
        <f t="shared" si="29"/>
        <v>37961357.662411533</v>
      </c>
      <c r="G45" s="81">
        <f t="shared" si="29"/>
        <v>25905063.461580765</v>
      </c>
      <c r="H45" s="81">
        <f t="shared" si="29"/>
        <v>25905063.461580765</v>
      </c>
      <c r="I45" s="81">
        <f t="shared" si="29"/>
        <v>25905063.461580765</v>
      </c>
      <c r="J45" s="81">
        <f t="shared" si="29"/>
        <v>25905063.461580765</v>
      </c>
      <c r="K45" s="81">
        <f t="shared" si="29"/>
        <v>25905063.461580765</v>
      </c>
      <c r="L45" s="81">
        <f t="shared" si="29"/>
        <v>25905063.461580765</v>
      </c>
      <c r="M45" s="82">
        <f t="shared" si="29"/>
        <v>25905063.461580772</v>
      </c>
      <c r="N45" s="84">
        <f>SUM(N35:N44)</f>
        <v>322917055.73979998</v>
      </c>
      <c r="O45" s="81">
        <f t="shared" si="29"/>
        <v>342292079.08418792</v>
      </c>
      <c r="P45" s="472">
        <f>SUM(P35:P44)</f>
        <v>362829603.82923931</v>
      </c>
    </row>
    <row r="46" spans="1:17" ht="4.9000000000000004" customHeight="1" x14ac:dyDescent="0.25">
      <c r="A46" s="74"/>
      <c r="B46" s="79"/>
      <c r="C46" s="76"/>
      <c r="D46" s="76"/>
      <c r="E46" s="76"/>
      <c r="F46" s="76"/>
      <c r="G46" s="76"/>
      <c r="H46" s="76"/>
      <c r="I46" s="76"/>
      <c r="J46" s="76"/>
      <c r="K46" s="76"/>
      <c r="L46" s="76"/>
      <c r="M46" s="77"/>
      <c r="N46" s="79"/>
      <c r="O46" s="76"/>
      <c r="P46" s="333"/>
    </row>
    <row r="47" spans="1:17" x14ac:dyDescent="0.25">
      <c r="A47" s="118" t="s">
        <v>257</v>
      </c>
      <c r="B47" s="79"/>
      <c r="C47" s="76"/>
      <c r="D47" s="76"/>
      <c r="E47" s="76"/>
      <c r="F47" s="76"/>
      <c r="G47" s="76"/>
      <c r="H47" s="76"/>
      <c r="I47" s="76"/>
      <c r="J47" s="76"/>
      <c r="K47" s="76"/>
      <c r="L47" s="76"/>
      <c r="M47" s="77"/>
      <c r="N47" s="79"/>
      <c r="O47" s="76"/>
      <c r="P47" s="333"/>
    </row>
    <row r="48" spans="1:17" x14ac:dyDescent="0.25">
      <c r="A48" s="63" t="str">
        <f>'A7-CFlow'!A26</f>
        <v>Capital assets</v>
      </c>
      <c r="B48" s="1316">
        <f>N48/12</f>
        <v>2703953.1750000003</v>
      </c>
      <c r="C48" s="1316">
        <v>2703953.1750000003</v>
      </c>
      <c r="D48" s="1316">
        <v>2703953.1750000003</v>
      </c>
      <c r="E48" s="1316">
        <v>2703953.1750000003</v>
      </c>
      <c r="F48" s="1316">
        <v>2703953.1750000003</v>
      </c>
      <c r="G48" s="1316">
        <v>2703953.1750000003</v>
      </c>
      <c r="H48" s="1316">
        <v>2703953.1750000003</v>
      </c>
      <c r="I48" s="1316">
        <v>2703953.1750000003</v>
      </c>
      <c r="J48" s="1316">
        <v>2703953.1750000003</v>
      </c>
      <c r="K48" s="1316">
        <v>2703953.1750000003</v>
      </c>
      <c r="L48" s="1316">
        <v>2703953.1750000003</v>
      </c>
      <c r="M48" s="77">
        <f>N48-SUM(B48:L48)</f>
        <v>2703953.174999997</v>
      </c>
      <c r="N48" s="1318">
        <v>32447438.100000001</v>
      </c>
      <c r="O48" s="1316">
        <f>'A5-Capex'!J63</f>
        <v>32447438.100000001</v>
      </c>
      <c r="P48" s="1316">
        <f>'A5-Capex'!K63</f>
        <v>49972500</v>
      </c>
    </row>
    <row r="49" spans="1:19" x14ac:dyDescent="0.25">
      <c r="A49" s="63" t="str">
        <f>'A7-CFlow'!A35</f>
        <v>Repayment of borrowing</v>
      </c>
      <c r="B49" s="1318"/>
      <c r="C49" s="1316"/>
      <c r="D49" s="1316"/>
      <c r="E49" s="1316"/>
      <c r="F49" s="1316"/>
      <c r="G49" s="1316"/>
      <c r="H49" s="1316"/>
      <c r="I49" s="1316"/>
      <c r="J49" s="1316"/>
      <c r="K49" s="1316"/>
      <c r="L49" s="1316"/>
      <c r="M49" s="77">
        <f>N49-SUM(B49:L49)</f>
        <v>0</v>
      </c>
      <c r="N49" s="1318"/>
      <c r="O49" s="1316"/>
      <c r="P49" s="1319"/>
    </row>
    <row r="50" spans="1:19" x14ac:dyDescent="0.25">
      <c r="A50" s="63" t="str">
        <f>LEFT(A47,25)</f>
        <v>Other Cash Flows/Payments</v>
      </c>
      <c r="B50" s="1318">
        <f>N50/12</f>
        <v>2118000</v>
      </c>
      <c r="C50" s="1316">
        <v>2118000</v>
      </c>
      <c r="D50" s="1316">
        <v>2118000</v>
      </c>
      <c r="E50" s="1316">
        <v>2118000</v>
      </c>
      <c r="F50" s="1316">
        <v>2118000</v>
      </c>
      <c r="G50" s="1316">
        <v>2118000</v>
      </c>
      <c r="H50" s="1316">
        <v>2118000</v>
      </c>
      <c r="I50" s="1316">
        <v>2118000</v>
      </c>
      <c r="J50" s="1316">
        <v>2118000</v>
      </c>
      <c r="K50" s="1316">
        <v>2118000</v>
      </c>
      <c r="L50" s="1316">
        <v>2118000</v>
      </c>
      <c r="M50" s="77">
        <f>N50-SUM(B50:L50)</f>
        <v>2118000</v>
      </c>
      <c r="N50" s="1318">
        <f>17000000+4416000+4000000</f>
        <v>25416000</v>
      </c>
      <c r="O50" s="1318">
        <f>17000000+4416000+5000000</f>
        <v>26416000</v>
      </c>
      <c r="P50" s="1318">
        <f>17000000</f>
        <v>17000000</v>
      </c>
    </row>
    <row r="51" spans="1:19" x14ac:dyDescent="0.25">
      <c r="A51" s="175" t="s">
        <v>620</v>
      </c>
      <c r="B51" s="125">
        <f>SUM(B45:B50)</f>
        <v>30727016.636580765</v>
      </c>
      <c r="C51" s="122">
        <f t="shared" ref="C51:P51" si="30">SUM(C45:C50)</f>
        <v>30727016.636580765</v>
      </c>
      <c r="D51" s="122">
        <f t="shared" si="30"/>
        <v>30727016.636580765</v>
      </c>
      <c r="E51" s="122">
        <f t="shared" si="30"/>
        <v>30727016.636580765</v>
      </c>
      <c r="F51" s="122">
        <f t="shared" si="30"/>
        <v>42783310.83741153</v>
      </c>
      <c r="G51" s="122">
        <f t="shared" si="30"/>
        <v>30727016.636580765</v>
      </c>
      <c r="H51" s="122">
        <f t="shared" si="30"/>
        <v>30727016.636580765</v>
      </c>
      <c r="I51" s="122">
        <f t="shared" si="30"/>
        <v>30727016.636580765</v>
      </c>
      <c r="J51" s="122">
        <f t="shared" si="30"/>
        <v>30727016.636580765</v>
      </c>
      <c r="K51" s="122">
        <f t="shared" si="30"/>
        <v>30727016.636580765</v>
      </c>
      <c r="L51" s="122">
        <f t="shared" si="30"/>
        <v>30727016.636580765</v>
      </c>
      <c r="M51" s="123">
        <f t="shared" si="30"/>
        <v>30727016.636580769</v>
      </c>
      <c r="N51" s="125">
        <f t="shared" si="30"/>
        <v>380780493.8398</v>
      </c>
      <c r="O51" s="122">
        <f t="shared" si="30"/>
        <v>401155517.18418795</v>
      </c>
      <c r="P51" s="507">
        <f t="shared" si="30"/>
        <v>429802103.82923931</v>
      </c>
      <c r="R51" s="107" t="s">
        <v>477</v>
      </c>
    </row>
    <row r="52" spans="1:19" ht="4.9000000000000004" customHeight="1" x14ac:dyDescent="0.25">
      <c r="A52" s="74"/>
      <c r="B52" s="79"/>
      <c r="C52" s="76"/>
      <c r="D52" s="76"/>
      <c r="E52" s="76"/>
      <c r="F52" s="76"/>
      <c r="G52" s="76"/>
      <c r="H52" s="76"/>
      <c r="I52" s="76"/>
      <c r="J52" s="76"/>
      <c r="K52" s="76"/>
      <c r="L52" s="76"/>
      <c r="M52" s="77"/>
      <c r="N52" s="79"/>
      <c r="O52" s="76"/>
      <c r="P52" s="333"/>
    </row>
    <row r="53" spans="1:19" s="488" customFormat="1" ht="13.5" thickBot="1" x14ac:dyDescent="0.25">
      <c r="A53" s="558" t="s">
        <v>338</v>
      </c>
      <c r="B53" s="1301">
        <f t="shared" ref="B53:P53" si="31">B32-B51</f>
        <v>35053149.155344225</v>
      </c>
      <c r="C53" s="559">
        <f t="shared" si="31"/>
        <v>-10330202.344655767</v>
      </c>
      <c r="D53" s="559">
        <f t="shared" si="31"/>
        <v>-10330202.344655767</v>
      </c>
      <c r="E53" s="559">
        <f t="shared" si="31"/>
        <v>-10330202.344655767</v>
      </c>
      <c r="F53" s="559">
        <f t="shared" si="31"/>
        <v>-22386496.545486532</v>
      </c>
      <c r="G53" s="559">
        <f t="shared" si="31"/>
        <v>35053149.155344225</v>
      </c>
      <c r="H53" s="559">
        <f t="shared" si="31"/>
        <v>-10330202.344655767</v>
      </c>
      <c r="I53" s="559">
        <f t="shared" si="31"/>
        <v>-10330202.344655767</v>
      </c>
      <c r="J53" s="559">
        <f t="shared" si="31"/>
        <v>35053149.155344225</v>
      </c>
      <c r="K53" s="559">
        <f t="shared" si="31"/>
        <v>-10330202.344655767</v>
      </c>
      <c r="L53" s="559">
        <f t="shared" si="31"/>
        <v>-10330202.344655767</v>
      </c>
      <c r="M53" s="560">
        <f t="shared" si="31"/>
        <v>-10330202.344655745</v>
      </c>
      <c r="N53" s="1301">
        <f t="shared" si="31"/>
        <v>131332.16329997778</v>
      </c>
      <c r="O53" s="559">
        <f t="shared" si="31"/>
        <v>2611018.3790979981</v>
      </c>
      <c r="P53" s="1302">
        <f t="shared" si="31"/>
        <v>-1809576.1321561337</v>
      </c>
      <c r="Q53" s="561"/>
      <c r="R53" s="562"/>
      <c r="S53" s="563"/>
    </row>
    <row r="54" spans="1:19" ht="10.5" customHeight="1" x14ac:dyDescent="0.25">
      <c r="A54" s="74" t="s">
        <v>842</v>
      </c>
      <c r="B54" s="1630"/>
      <c r="C54" s="185">
        <f>B55</f>
        <v>35053149.155344225</v>
      </c>
      <c r="D54" s="185">
        <f t="shared" ref="D54:M54" si="32">C55</f>
        <v>24722946.810688458</v>
      </c>
      <c r="E54" s="185">
        <f t="shared" si="32"/>
        <v>14392744.466032691</v>
      </c>
      <c r="F54" s="185">
        <f t="shared" si="32"/>
        <v>4062542.1213769242</v>
      </c>
      <c r="G54" s="185">
        <f t="shared" si="32"/>
        <v>-18323954.424109608</v>
      </c>
      <c r="H54" s="185">
        <f t="shared" si="32"/>
        <v>16729194.731234618</v>
      </c>
      <c r="I54" s="185">
        <f t="shared" si="32"/>
        <v>6398992.3865788504</v>
      </c>
      <c r="J54" s="185">
        <f t="shared" si="32"/>
        <v>-3931209.9580769166</v>
      </c>
      <c r="K54" s="185">
        <f t="shared" si="32"/>
        <v>31121939.197267309</v>
      </c>
      <c r="L54" s="185">
        <f t="shared" si="32"/>
        <v>20791736.852611542</v>
      </c>
      <c r="M54" s="186">
        <f t="shared" si="32"/>
        <v>10461534.507955775</v>
      </c>
      <c r="N54" s="217">
        <f>B54</f>
        <v>0</v>
      </c>
      <c r="O54" s="185">
        <f>N55</f>
        <v>131332.16329997778</v>
      </c>
      <c r="P54" s="699">
        <f>O55</f>
        <v>2742350.5423979759</v>
      </c>
    </row>
    <row r="55" spans="1:19" ht="10.5" customHeight="1" x14ac:dyDescent="0.25">
      <c r="A55" s="564" t="s">
        <v>841</v>
      </c>
      <c r="B55" s="231">
        <f>B54+B53</f>
        <v>35053149.155344225</v>
      </c>
      <c r="C55" s="229">
        <f>C54+C53</f>
        <v>24722946.810688458</v>
      </c>
      <c r="D55" s="229">
        <f t="shared" ref="D55:P55" si="33">D54+D53</f>
        <v>14392744.466032691</v>
      </c>
      <c r="E55" s="229">
        <f t="shared" si="33"/>
        <v>4062542.1213769242</v>
      </c>
      <c r="F55" s="229">
        <f t="shared" si="33"/>
        <v>-18323954.424109608</v>
      </c>
      <c r="G55" s="229">
        <f t="shared" si="33"/>
        <v>16729194.731234618</v>
      </c>
      <c r="H55" s="229">
        <f t="shared" si="33"/>
        <v>6398992.3865788504</v>
      </c>
      <c r="I55" s="229">
        <f t="shared" si="33"/>
        <v>-3931209.9580769166</v>
      </c>
      <c r="J55" s="229">
        <f t="shared" si="33"/>
        <v>31121939.197267309</v>
      </c>
      <c r="K55" s="229">
        <f t="shared" si="33"/>
        <v>20791736.852611542</v>
      </c>
      <c r="L55" s="229">
        <f t="shared" si="33"/>
        <v>10461534.507955775</v>
      </c>
      <c r="M55" s="230">
        <f t="shared" si="33"/>
        <v>131332.16330002993</v>
      </c>
      <c r="N55" s="723">
        <f t="shared" si="33"/>
        <v>131332.16329997778</v>
      </c>
      <c r="O55" s="229">
        <f t="shared" si="33"/>
        <v>2742350.5423979759</v>
      </c>
      <c r="P55" s="1004">
        <f t="shared" si="33"/>
        <v>932774.41024184227</v>
      </c>
    </row>
    <row r="56" spans="1:19" ht="10.5" customHeight="1" x14ac:dyDescent="0.25">
      <c r="A56" s="715" t="str">
        <f>head27a</f>
        <v>References</v>
      </c>
    </row>
    <row r="57" spans="1:19" ht="27.75" customHeight="1" x14ac:dyDescent="0.25">
      <c r="A57" s="1923" t="s">
        <v>2042</v>
      </c>
      <c r="B57" s="1923"/>
      <c r="C57" s="1923"/>
      <c r="D57" s="1923"/>
      <c r="E57" s="1923"/>
      <c r="F57" s="1923"/>
      <c r="G57" s="1923"/>
      <c r="H57" s="1923"/>
      <c r="I57" s="1923"/>
      <c r="J57" s="1923"/>
      <c r="K57" s="1923"/>
      <c r="L57" s="1923"/>
      <c r="M57" s="1923"/>
      <c r="N57" s="1923"/>
      <c r="O57" s="1923"/>
      <c r="P57" s="1923"/>
    </row>
    <row r="58" spans="1:19" ht="10.5" customHeight="1" x14ac:dyDescent="0.25"/>
    <row r="59" spans="1:19" ht="10.5" customHeight="1" x14ac:dyDescent="0.25"/>
    <row r="61" spans="1:19" x14ac:dyDescent="0.25">
      <c r="E61" s="148"/>
      <c r="F61" s="148"/>
      <c r="G61" s="148"/>
      <c r="H61" s="148"/>
      <c r="I61" s="148"/>
      <c r="J61" s="148"/>
      <c r="K61" s="148"/>
      <c r="L61" s="148"/>
      <c r="M61" s="148"/>
    </row>
    <row r="62" spans="1:19" x14ac:dyDescent="0.25">
      <c r="E62" s="148">
        <f t="shared" ref="E62:P62" si="34">E45+E61</f>
        <v>25905063.461580765</v>
      </c>
      <c r="F62" s="148">
        <f t="shared" si="34"/>
        <v>37961357.662411533</v>
      </c>
      <c r="G62" s="148">
        <f t="shared" si="34"/>
        <v>25905063.461580765</v>
      </c>
      <c r="H62" s="148">
        <f t="shared" si="34"/>
        <v>25905063.461580765</v>
      </c>
      <c r="I62" s="148">
        <f t="shared" si="34"/>
        <v>25905063.461580765</v>
      </c>
      <c r="J62" s="148">
        <f t="shared" si="34"/>
        <v>25905063.461580765</v>
      </c>
      <c r="K62" s="148">
        <f t="shared" si="34"/>
        <v>25905063.461580765</v>
      </c>
      <c r="L62" s="148">
        <f t="shared" si="34"/>
        <v>25905063.461580765</v>
      </c>
      <c r="M62" s="148">
        <f t="shared" si="34"/>
        <v>25905063.461580772</v>
      </c>
      <c r="N62" s="148">
        <f t="shared" si="34"/>
        <v>322917055.73979998</v>
      </c>
      <c r="O62" s="148">
        <f t="shared" si="34"/>
        <v>342292079.08418792</v>
      </c>
      <c r="P62" s="148">
        <f t="shared" si="34"/>
        <v>362829603.82923931</v>
      </c>
    </row>
    <row r="63" spans="1:19" x14ac:dyDescent="0.25">
      <c r="E63" s="148">
        <f t="shared" ref="E63:P63" si="35">E53-E61</f>
        <v>-10330202.344655767</v>
      </c>
      <c r="F63" s="148">
        <f t="shared" si="35"/>
        <v>-22386496.545486532</v>
      </c>
      <c r="G63" s="148">
        <f t="shared" si="35"/>
        <v>35053149.155344225</v>
      </c>
      <c r="H63" s="148">
        <f t="shared" si="35"/>
        <v>-10330202.344655767</v>
      </c>
      <c r="I63" s="148">
        <f t="shared" si="35"/>
        <v>-10330202.344655767</v>
      </c>
      <c r="J63" s="148">
        <f t="shared" si="35"/>
        <v>35053149.155344225</v>
      </c>
      <c r="K63" s="148">
        <f t="shared" si="35"/>
        <v>-10330202.344655767</v>
      </c>
      <c r="L63" s="148">
        <f t="shared" si="35"/>
        <v>-10330202.344655767</v>
      </c>
      <c r="M63" s="148">
        <f t="shared" si="35"/>
        <v>-10330202.344655745</v>
      </c>
      <c r="N63" s="148">
        <f t="shared" si="35"/>
        <v>131332.16329997778</v>
      </c>
      <c r="O63" s="148">
        <f t="shared" si="35"/>
        <v>2611018.3790979981</v>
      </c>
      <c r="P63" s="148">
        <f t="shared" si="35"/>
        <v>-1809576.1321561337</v>
      </c>
    </row>
    <row r="188" spans="2:44" x14ac:dyDescent="0.25">
      <c r="B188" s="109"/>
      <c r="C188" s="109"/>
      <c r="D188" s="109"/>
      <c r="E188" s="109"/>
      <c r="F188" s="109"/>
      <c r="G188" s="109"/>
      <c r="H188" s="109"/>
      <c r="I188" s="109"/>
      <c r="J188" s="109"/>
      <c r="K188" s="109"/>
      <c r="L188" s="109"/>
      <c r="N188" s="148"/>
      <c r="O188" s="148"/>
      <c r="P188" s="148"/>
      <c r="Q188" s="148"/>
      <c r="R188" s="148"/>
      <c r="S188" s="148"/>
      <c r="AH188" s="148"/>
      <c r="AI188" s="148"/>
      <c r="AJ188" s="148"/>
      <c r="AK188" s="148"/>
      <c r="AL188" s="148"/>
      <c r="AM188" s="148"/>
      <c r="AN188" s="148"/>
      <c r="AO188" s="148"/>
      <c r="AP188" s="148"/>
      <c r="AQ188" s="148"/>
      <c r="AR188" s="148"/>
    </row>
    <row r="189" spans="2:44" x14ac:dyDescent="0.25">
      <c r="N189" s="148"/>
      <c r="O189" s="148"/>
      <c r="P189" s="148"/>
      <c r="Q189" s="148"/>
      <c r="R189" s="148"/>
      <c r="S189" s="148"/>
      <c r="AH189" s="148"/>
      <c r="AI189" s="148"/>
      <c r="AJ189" s="148"/>
      <c r="AK189" s="148"/>
      <c r="AL189" s="148"/>
      <c r="AM189" s="148"/>
      <c r="AN189" s="148"/>
      <c r="AO189" s="148"/>
      <c r="AP189" s="148"/>
      <c r="AQ189" s="148"/>
      <c r="AR189" s="148"/>
    </row>
    <row r="190" spans="2:44" x14ac:dyDescent="0.25">
      <c r="N190" s="148"/>
      <c r="O190" s="148"/>
      <c r="P190" s="148"/>
      <c r="Q190" s="148"/>
      <c r="R190" s="148"/>
      <c r="S190" s="148"/>
      <c r="AH190" s="148"/>
      <c r="AI190" s="148"/>
      <c r="AJ190" s="148"/>
      <c r="AK190" s="148"/>
      <c r="AL190" s="148"/>
      <c r="AM190" s="148"/>
      <c r="AN190" s="148"/>
      <c r="AO190" s="148"/>
      <c r="AP190" s="148"/>
      <c r="AQ190" s="148"/>
      <c r="AR190" s="148"/>
    </row>
  </sheetData>
  <mergeCells count="3">
    <mergeCell ref="N2:P2"/>
    <mergeCell ref="B2:M2"/>
    <mergeCell ref="A57:P57"/>
  </mergeCells>
  <phoneticPr fontId="3" type="noConversion"/>
  <printOptions horizontalCentered="1"/>
  <pageMargins left="0" right="0" top="0.19685039370078741" bottom="0.19685039370078741" header="0.51181102362204722" footer="0.51181102362204722"/>
  <pageSetup paperSize="9" scale="70" orientation="landscape"/>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pageSetUpPr fitToPage="1"/>
  </sheetPr>
  <dimension ref="A1:L42"/>
  <sheetViews>
    <sheetView showGridLines="0" zoomScaleNormal="100" workbookViewId="0">
      <pane xSplit="1" ySplit="3" topLeftCell="B4" activePane="bottomRight" state="frozen"/>
      <selection pane="topRight"/>
      <selection pane="bottomLeft"/>
      <selection pane="bottomRight" activeCell="C6" sqref="C6"/>
    </sheetView>
  </sheetViews>
  <sheetFormatPr defaultRowHeight="12.75" x14ac:dyDescent="0.25"/>
  <cols>
    <col min="1" max="1" width="30.7109375" style="25" customWidth="1"/>
    <col min="2" max="2" width="4.42578125" style="25" customWidth="1"/>
    <col min="3" max="11" width="9.28515625" style="25" customWidth="1"/>
    <col min="12" max="12" width="8.7109375" style="25" customWidth="1"/>
    <col min="13" max="15" width="7.7109375" style="25" customWidth="1"/>
    <col min="16" max="16384" width="9.140625" style="25"/>
  </cols>
  <sheetData>
    <row r="1" spans="1:11" ht="13.5" customHeight="1" x14ac:dyDescent="0.25">
      <c r="A1" s="23" t="str">
        <f>muni&amp;" - "&amp; TableA31</f>
        <v>EC101 Dr Beyers Naude - NOT REQUIRED - municipality does not have entities</v>
      </c>
      <c r="B1" s="23"/>
      <c r="C1" s="23"/>
      <c r="D1" s="23"/>
      <c r="E1" s="23"/>
      <c r="F1" s="23"/>
      <c r="G1" s="23"/>
      <c r="H1" s="23"/>
      <c r="I1" s="23"/>
      <c r="J1" s="23"/>
      <c r="K1" s="23"/>
    </row>
    <row r="2" spans="1:11" ht="28.5" customHeight="1" x14ac:dyDescent="0.25">
      <c r="A2" s="630" t="str">
        <f>desc</f>
        <v>Description</v>
      </c>
      <c r="B2" s="1968" t="str">
        <f>head27</f>
        <v>Ref</v>
      </c>
      <c r="C2" s="565" t="str">
        <f>head1b</f>
        <v>2015/16</v>
      </c>
      <c r="D2" s="475" t="str">
        <f>head1A</f>
        <v>2016/17</v>
      </c>
      <c r="E2" s="22" t="str">
        <f>Head1</f>
        <v>2017/18</v>
      </c>
      <c r="F2" s="1907" t="str">
        <f>Head2</f>
        <v>Current Year 2018/19</v>
      </c>
      <c r="G2" s="1908"/>
      <c r="H2" s="1912"/>
      <c r="I2" s="1904" t="str">
        <f>Head3</f>
        <v>2019/20 Medium Term Revenue &amp; Expenditure Framework</v>
      </c>
      <c r="J2" s="1905"/>
      <c r="K2" s="1906"/>
    </row>
    <row r="3" spans="1:11" ht="25.5" x14ac:dyDescent="0.25">
      <c r="A3" s="53" t="s">
        <v>572</v>
      </c>
      <c r="B3" s="1969"/>
      <c r="C3" s="617" t="str">
        <f>Head5</f>
        <v>Audited Outcome</v>
      </c>
      <c r="D3" s="627"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1" ht="12.75" customHeight="1" x14ac:dyDescent="0.25">
      <c r="A4" s="581" t="s">
        <v>1209</v>
      </c>
      <c r="B4" s="54"/>
      <c r="C4" s="567"/>
      <c r="D4" s="35"/>
      <c r="E4" s="36"/>
      <c r="F4" s="34"/>
      <c r="G4" s="35"/>
      <c r="H4" s="37"/>
      <c r="I4" s="567"/>
      <c r="J4" s="35"/>
      <c r="K4" s="36"/>
    </row>
    <row r="5" spans="1:11" x14ac:dyDescent="0.25">
      <c r="A5" s="569" t="str">
        <f>'A1-Sum'!A5</f>
        <v>Property rates</v>
      </c>
      <c r="B5" s="63"/>
      <c r="C5" s="1659"/>
      <c r="D5" s="1568"/>
      <c r="E5" s="1569"/>
      <c r="F5" s="1570"/>
      <c r="G5" s="1568"/>
      <c r="H5" s="1572"/>
      <c r="I5" s="1659"/>
      <c r="J5" s="1568"/>
      <c r="K5" s="1569"/>
    </row>
    <row r="6" spans="1:11" x14ac:dyDescent="0.25">
      <c r="A6" s="569" t="str">
        <f>'A1-Sum'!A6</f>
        <v>Service charges</v>
      </c>
      <c r="B6" s="63"/>
      <c r="C6" s="1659"/>
      <c r="D6" s="1568"/>
      <c r="E6" s="1569"/>
      <c r="F6" s="1570"/>
      <c r="G6" s="1568"/>
      <c r="H6" s="1572"/>
      <c r="I6" s="1659"/>
      <c r="J6" s="1568"/>
      <c r="K6" s="1569"/>
    </row>
    <row r="7" spans="1:11" x14ac:dyDescent="0.25">
      <c r="A7" s="569" t="str">
        <f>'A1-Sum'!A7</f>
        <v>Investment revenue</v>
      </c>
      <c r="B7" s="63"/>
      <c r="C7" s="1659"/>
      <c r="D7" s="1568"/>
      <c r="E7" s="1569"/>
      <c r="F7" s="1570"/>
      <c r="G7" s="1568"/>
      <c r="H7" s="1572"/>
      <c r="I7" s="1659"/>
      <c r="J7" s="1568"/>
      <c r="K7" s="1569"/>
    </row>
    <row r="8" spans="1:11" x14ac:dyDescent="0.25">
      <c r="A8" s="569" t="str">
        <f>'A1-Sum'!A8</f>
        <v>Transfers recognised - operational</v>
      </c>
      <c r="B8" s="63"/>
      <c r="C8" s="1659"/>
      <c r="D8" s="1568"/>
      <c r="E8" s="1569"/>
      <c r="F8" s="1570"/>
      <c r="G8" s="1568"/>
      <c r="H8" s="1572"/>
      <c r="I8" s="1659"/>
      <c r="J8" s="1568"/>
      <c r="K8" s="1569"/>
    </row>
    <row r="9" spans="1:11" x14ac:dyDescent="0.25">
      <c r="A9" s="569" t="str">
        <f>'A1-Sum'!A9</f>
        <v>Other own revenue</v>
      </c>
      <c r="B9" s="63"/>
      <c r="C9" s="1659"/>
      <c r="D9" s="1568"/>
      <c r="E9" s="1569"/>
      <c r="F9" s="1570"/>
      <c r="G9" s="1568"/>
      <c r="H9" s="1572"/>
      <c r="I9" s="1659"/>
      <c r="J9" s="1568"/>
      <c r="K9" s="1569"/>
    </row>
    <row r="10" spans="1:11" x14ac:dyDescent="0.25">
      <c r="A10" s="569" t="str">
        <f>'A1-Sum'!A21</f>
        <v>Contributions recognised - capital &amp; contributed assets</v>
      </c>
      <c r="B10" s="63"/>
      <c r="C10" s="1659"/>
      <c r="D10" s="1568"/>
      <c r="E10" s="1569"/>
      <c r="F10" s="1570"/>
      <c r="G10" s="1568"/>
      <c r="H10" s="1572"/>
      <c r="I10" s="1659"/>
      <c r="J10" s="1568"/>
      <c r="K10" s="1569"/>
    </row>
    <row r="11" spans="1:11" x14ac:dyDescent="0.25">
      <c r="A11" s="570" t="str">
        <f>'A4-FinPerf RE'!A21</f>
        <v>Total Revenue (excluding capital transfers and contributions)</v>
      </c>
      <c r="B11" s="118"/>
      <c r="C11" s="571">
        <f>SUM(C5:C10)</f>
        <v>0</v>
      </c>
      <c r="D11" s="380">
        <f>SUM(D5:D10)</f>
        <v>0</v>
      </c>
      <c r="E11" s="381">
        <f t="shared" ref="E11:K11" si="0">SUM(E5:E10)</f>
        <v>0</v>
      </c>
      <c r="F11" s="572">
        <f t="shared" si="0"/>
        <v>0</v>
      </c>
      <c r="G11" s="380">
        <f t="shared" si="0"/>
        <v>0</v>
      </c>
      <c r="H11" s="573">
        <f t="shared" si="0"/>
        <v>0</v>
      </c>
      <c r="I11" s="571">
        <f t="shared" si="0"/>
        <v>0</v>
      </c>
      <c r="J11" s="380">
        <f t="shared" si="0"/>
        <v>0</v>
      </c>
      <c r="K11" s="381">
        <f t="shared" si="0"/>
        <v>0</v>
      </c>
    </row>
    <row r="12" spans="1:11" x14ac:dyDescent="0.25">
      <c r="A12" s="569" t="str">
        <f>'A1-Sum'!A11</f>
        <v>Employee costs</v>
      </c>
      <c r="B12" s="63"/>
      <c r="C12" s="1659"/>
      <c r="D12" s="1568"/>
      <c r="E12" s="1569"/>
      <c r="F12" s="1570"/>
      <c r="G12" s="1568"/>
      <c r="H12" s="1572"/>
      <c r="I12" s="1659"/>
      <c r="J12" s="1568"/>
      <c r="K12" s="1569"/>
    </row>
    <row r="13" spans="1:11" x14ac:dyDescent="0.25">
      <c r="A13" s="569" t="s">
        <v>834</v>
      </c>
      <c r="B13" s="63"/>
      <c r="C13" s="1659"/>
      <c r="D13" s="1568"/>
      <c r="E13" s="1569"/>
      <c r="F13" s="1570"/>
      <c r="G13" s="1568"/>
      <c r="H13" s="1572"/>
      <c r="I13" s="1659"/>
      <c r="J13" s="1568"/>
      <c r="K13" s="1569"/>
    </row>
    <row r="14" spans="1:11" x14ac:dyDescent="0.25">
      <c r="A14" s="569" t="str">
        <f>'A1-Sum'!A13</f>
        <v>Depreciation &amp; asset impairment</v>
      </c>
      <c r="B14" s="63"/>
      <c r="C14" s="1659"/>
      <c r="D14" s="1568"/>
      <c r="E14" s="1569"/>
      <c r="F14" s="1570"/>
      <c r="G14" s="1568"/>
      <c r="H14" s="1572"/>
      <c r="I14" s="1659"/>
      <c r="J14" s="1568"/>
      <c r="K14" s="1569"/>
    </row>
    <row r="15" spans="1:11" x14ac:dyDescent="0.25">
      <c r="A15" s="569" t="str">
        <f>'A1-Sum'!A14</f>
        <v>Finance charges</v>
      </c>
      <c r="B15" s="63"/>
      <c r="C15" s="1659"/>
      <c r="D15" s="1568"/>
      <c r="E15" s="1569"/>
      <c r="F15" s="1570"/>
      <c r="G15" s="1568"/>
      <c r="H15" s="1572"/>
      <c r="I15" s="1659"/>
      <c r="J15" s="1568"/>
      <c r="K15" s="1569"/>
    </row>
    <row r="16" spans="1:11" x14ac:dyDescent="0.25">
      <c r="A16" s="569" t="str">
        <f>'A1-Sum'!A15</f>
        <v>Materials and bulk purchases</v>
      </c>
      <c r="B16" s="63"/>
      <c r="C16" s="1659"/>
      <c r="D16" s="1568"/>
      <c r="E16" s="1569"/>
      <c r="F16" s="1570"/>
      <c r="G16" s="1568"/>
      <c r="H16" s="1572"/>
      <c r="I16" s="1659"/>
      <c r="J16" s="1568"/>
      <c r="K16" s="1569"/>
    </row>
    <row r="17" spans="1:12" x14ac:dyDescent="0.25">
      <c r="A17" s="569" t="str">
        <f>'A1-Sum'!A16</f>
        <v>Transfers and grants</v>
      </c>
      <c r="B17" s="63"/>
      <c r="C17" s="1659"/>
      <c r="D17" s="1568"/>
      <c r="E17" s="1569"/>
      <c r="F17" s="1570"/>
      <c r="G17" s="1568"/>
      <c r="H17" s="1572"/>
      <c r="I17" s="1659"/>
      <c r="J17" s="1568"/>
      <c r="K17" s="1569"/>
    </row>
    <row r="18" spans="1:12" x14ac:dyDescent="0.25">
      <c r="A18" s="569" t="str">
        <f>'A1-Sum'!A17</f>
        <v>Other expenditure</v>
      </c>
      <c r="B18" s="63"/>
      <c r="C18" s="1659"/>
      <c r="D18" s="1568"/>
      <c r="E18" s="1569"/>
      <c r="F18" s="1570"/>
      <c r="G18" s="1568"/>
      <c r="H18" s="1572"/>
      <c r="I18" s="1659"/>
      <c r="J18" s="1568"/>
      <c r="K18" s="1569"/>
    </row>
    <row r="19" spans="1:12" x14ac:dyDescent="0.25">
      <c r="A19" s="570" t="str">
        <f>'A4-FinPerf RE'!A35</f>
        <v>Total Expenditure</v>
      </c>
      <c r="B19" s="118"/>
      <c r="C19" s="574">
        <f>SUM(C12:C18)</f>
        <v>0</v>
      </c>
      <c r="D19" s="575">
        <f t="shared" ref="D19:K19" si="1">SUM(D12:D18)</f>
        <v>0</v>
      </c>
      <c r="E19" s="576">
        <f t="shared" si="1"/>
        <v>0</v>
      </c>
      <c r="F19" s="577">
        <f t="shared" si="1"/>
        <v>0</v>
      </c>
      <c r="G19" s="575">
        <f t="shared" si="1"/>
        <v>0</v>
      </c>
      <c r="H19" s="578">
        <f t="shared" si="1"/>
        <v>0</v>
      </c>
      <c r="I19" s="574">
        <f t="shared" si="1"/>
        <v>0</v>
      </c>
      <c r="J19" s="575">
        <f t="shared" si="1"/>
        <v>0</v>
      </c>
      <c r="K19" s="576">
        <f t="shared" si="1"/>
        <v>0</v>
      </c>
    </row>
    <row r="20" spans="1:12" x14ac:dyDescent="0.25">
      <c r="A20" s="570" t="str">
        <f>'A4-FinPerf RE'!A37</f>
        <v>Surplus/(Deficit)</v>
      </c>
      <c r="B20" s="118"/>
      <c r="C20" s="579">
        <f>C11-C19</f>
        <v>0</v>
      </c>
      <c r="D20" s="43">
        <f t="shared" ref="D20:K20" si="2">D11-D19</f>
        <v>0</v>
      </c>
      <c r="E20" s="44">
        <f t="shared" si="2"/>
        <v>0</v>
      </c>
      <c r="F20" s="42">
        <f t="shared" si="2"/>
        <v>0</v>
      </c>
      <c r="G20" s="43">
        <f t="shared" si="2"/>
        <v>0</v>
      </c>
      <c r="H20" s="45">
        <f t="shared" si="2"/>
        <v>0</v>
      </c>
      <c r="I20" s="579">
        <f t="shared" si="2"/>
        <v>0</v>
      </c>
      <c r="J20" s="43">
        <f t="shared" si="2"/>
        <v>0</v>
      </c>
      <c r="K20" s="44">
        <f t="shared" si="2"/>
        <v>0</v>
      </c>
    </row>
    <row r="21" spans="1:12" ht="6" customHeight="1" x14ac:dyDescent="0.25">
      <c r="A21" s="564"/>
      <c r="B21" s="170"/>
      <c r="C21" s="580"/>
      <c r="D21" s="48"/>
      <c r="E21" s="49"/>
      <c r="F21" s="47"/>
      <c r="G21" s="48"/>
      <c r="H21" s="50"/>
      <c r="I21" s="580"/>
      <c r="J21" s="48"/>
      <c r="K21" s="49"/>
    </row>
    <row r="22" spans="1:12" ht="12.75" customHeight="1" x14ac:dyDescent="0.25">
      <c r="A22" s="581" t="s">
        <v>938</v>
      </c>
      <c r="B22" s="54"/>
      <c r="C22" s="567"/>
      <c r="D22" s="35"/>
      <c r="E22" s="36"/>
      <c r="F22" s="34"/>
      <c r="G22" s="35"/>
      <c r="H22" s="37"/>
      <c r="I22" s="567"/>
      <c r="J22" s="35"/>
      <c r="K22" s="36"/>
    </row>
    <row r="23" spans="1:12" x14ac:dyDescent="0.25">
      <c r="A23" s="582" t="s">
        <v>1342</v>
      </c>
      <c r="B23" s="190"/>
      <c r="C23" s="1660"/>
      <c r="D23" s="1661"/>
      <c r="E23" s="1662"/>
      <c r="F23" s="1663"/>
      <c r="G23" s="1661"/>
      <c r="H23" s="1664"/>
      <c r="I23" s="1660"/>
      <c r="J23" s="1661"/>
      <c r="K23" s="1662"/>
    </row>
    <row r="24" spans="1:12" x14ac:dyDescent="0.25">
      <c r="A24" s="569" t="str">
        <f>A8</f>
        <v>Transfers recognised - operational</v>
      </c>
      <c r="B24" s="63"/>
      <c r="C24" s="1659"/>
      <c r="D24" s="1568"/>
      <c r="E24" s="1569"/>
      <c r="F24" s="1570"/>
      <c r="G24" s="1568"/>
      <c r="H24" s="1572"/>
      <c r="I24" s="1659"/>
      <c r="J24" s="1568"/>
      <c r="K24" s="1569"/>
      <c r="L24" s="583"/>
    </row>
    <row r="25" spans="1:12" ht="1.9" customHeight="1" x14ac:dyDescent="0.25">
      <c r="A25" s="569"/>
      <c r="B25" s="63"/>
      <c r="C25" s="567"/>
      <c r="D25" s="35"/>
      <c r="E25" s="36"/>
      <c r="F25" s="34"/>
      <c r="G25" s="35"/>
      <c r="H25" s="37"/>
      <c r="I25" s="567"/>
      <c r="J25" s="35"/>
      <c r="K25" s="36"/>
      <c r="L25" s="583"/>
    </row>
    <row r="26" spans="1:12" x14ac:dyDescent="0.25">
      <c r="A26" s="569" t="str">
        <f>'A5-Capex'!A72</f>
        <v>Borrowing</v>
      </c>
      <c r="B26" s="63"/>
      <c r="C26" s="1659"/>
      <c r="D26" s="1568"/>
      <c r="E26" s="1569"/>
      <c r="F26" s="1570"/>
      <c r="G26" s="1568"/>
      <c r="H26" s="1572"/>
      <c r="I26" s="1659"/>
      <c r="J26" s="1568"/>
      <c r="K26" s="1569"/>
      <c r="L26" s="583"/>
    </row>
    <row r="27" spans="1:12" x14ac:dyDescent="0.25">
      <c r="A27" s="569" t="str">
        <f>'A5-Capex'!A73</f>
        <v>Internally generated funds</v>
      </c>
      <c r="B27" s="63"/>
      <c r="C27" s="1659"/>
      <c r="D27" s="1568"/>
      <c r="E27" s="1569"/>
      <c r="F27" s="1570"/>
      <c r="G27" s="1568"/>
      <c r="H27" s="1572"/>
      <c r="I27" s="1659"/>
      <c r="J27" s="1568"/>
      <c r="K27" s="1569"/>
      <c r="L27" s="583"/>
    </row>
    <row r="28" spans="1:12" x14ac:dyDescent="0.25">
      <c r="A28" s="46" t="s">
        <v>811</v>
      </c>
      <c r="B28" s="213"/>
      <c r="C28" s="571">
        <f>+C24+C26+C27</f>
        <v>0</v>
      </c>
      <c r="D28" s="380">
        <f t="shared" ref="D28:K28" si="3">+D24+D26+D27</f>
        <v>0</v>
      </c>
      <c r="E28" s="381">
        <f t="shared" si="3"/>
        <v>0</v>
      </c>
      <c r="F28" s="572">
        <f t="shared" si="3"/>
        <v>0</v>
      </c>
      <c r="G28" s="380">
        <f t="shared" si="3"/>
        <v>0</v>
      </c>
      <c r="H28" s="573">
        <f t="shared" si="3"/>
        <v>0</v>
      </c>
      <c r="I28" s="571">
        <f t="shared" si="3"/>
        <v>0</v>
      </c>
      <c r="J28" s="380">
        <f t="shared" si="3"/>
        <v>0</v>
      </c>
      <c r="K28" s="381">
        <f t="shared" si="3"/>
        <v>0</v>
      </c>
    </row>
    <row r="29" spans="1:12" ht="6" customHeight="1" x14ac:dyDescent="0.25">
      <c r="A29" s="570"/>
      <c r="B29" s="118"/>
      <c r="C29" s="579"/>
      <c r="D29" s="43"/>
      <c r="E29" s="44"/>
      <c r="F29" s="42"/>
      <c r="G29" s="43"/>
      <c r="H29" s="45"/>
      <c r="I29" s="579"/>
      <c r="J29" s="43"/>
      <c r="K29" s="44"/>
    </row>
    <row r="30" spans="1:12" ht="12.75" customHeight="1" x14ac:dyDescent="0.25">
      <c r="A30" s="566" t="s">
        <v>175</v>
      </c>
      <c r="B30" s="539"/>
      <c r="C30" s="568"/>
      <c r="D30" s="39"/>
      <c r="E30" s="40"/>
      <c r="F30" s="38"/>
      <c r="G30" s="39"/>
      <c r="H30" s="41"/>
      <c r="I30" s="568"/>
      <c r="J30" s="39"/>
      <c r="K30" s="40"/>
    </row>
    <row r="31" spans="1:12" x14ac:dyDescent="0.25">
      <c r="A31" s="569" t="str">
        <f>'A6-FinPos'!A12</f>
        <v>Total current assets</v>
      </c>
      <c r="B31" s="63"/>
      <c r="C31" s="1659"/>
      <c r="D31" s="1568"/>
      <c r="E31" s="1569"/>
      <c r="F31" s="1570"/>
      <c r="G31" s="1568"/>
      <c r="H31" s="1572"/>
      <c r="I31" s="1659"/>
      <c r="J31" s="1568"/>
      <c r="K31" s="1569"/>
    </row>
    <row r="32" spans="1:12" x14ac:dyDescent="0.25">
      <c r="A32" s="569" t="str">
        <f>'A6-FinPos'!A24</f>
        <v>Total non current assets</v>
      </c>
      <c r="B32" s="63"/>
      <c r="C32" s="1659"/>
      <c r="D32" s="1568"/>
      <c r="E32" s="1569"/>
      <c r="F32" s="1570"/>
      <c r="G32" s="1568"/>
      <c r="H32" s="1572"/>
      <c r="I32" s="1659"/>
      <c r="J32" s="1568"/>
      <c r="K32" s="1569"/>
    </row>
    <row r="33" spans="1:11" x14ac:dyDescent="0.25">
      <c r="A33" s="569" t="str">
        <f>'A6-FinPos'!A34</f>
        <v>Total current liabilities</v>
      </c>
      <c r="B33" s="63"/>
      <c r="C33" s="1659"/>
      <c r="D33" s="1568"/>
      <c r="E33" s="1569"/>
      <c r="F33" s="1570"/>
      <c r="G33" s="1568"/>
      <c r="H33" s="1572"/>
      <c r="I33" s="1659"/>
      <c r="J33" s="1568"/>
      <c r="K33" s="1569"/>
    </row>
    <row r="34" spans="1:11" x14ac:dyDescent="0.25">
      <c r="A34" s="569" t="str">
        <f>'A6-FinPos'!A39</f>
        <v>Total non current liabilities</v>
      </c>
      <c r="B34" s="63"/>
      <c r="C34" s="1659"/>
      <c r="D34" s="1568"/>
      <c r="E34" s="1569"/>
      <c r="F34" s="1570"/>
      <c r="G34" s="1568"/>
      <c r="H34" s="1572"/>
      <c r="I34" s="1659"/>
      <c r="J34" s="1568"/>
      <c r="K34" s="1569"/>
    </row>
    <row r="35" spans="1:11" x14ac:dyDescent="0.25">
      <c r="A35" s="569" t="s">
        <v>530</v>
      </c>
      <c r="B35" s="63"/>
      <c r="C35" s="1659"/>
      <c r="D35" s="1568"/>
      <c r="E35" s="1569"/>
      <c r="F35" s="1570"/>
      <c r="G35" s="1568"/>
      <c r="H35" s="1572"/>
      <c r="I35" s="1659"/>
      <c r="J35" s="1568"/>
      <c r="K35" s="1569"/>
    </row>
    <row r="36" spans="1:11" ht="6" customHeight="1" x14ac:dyDescent="0.25">
      <c r="A36" s="564"/>
      <c r="B36" s="170"/>
      <c r="C36" s="580"/>
      <c r="D36" s="48"/>
      <c r="E36" s="49"/>
      <c r="F36" s="47"/>
      <c r="G36" s="48"/>
      <c r="H36" s="50"/>
      <c r="I36" s="580"/>
      <c r="J36" s="48"/>
      <c r="K36" s="49"/>
    </row>
    <row r="37" spans="1:11" ht="12.75" customHeight="1" x14ac:dyDescent="0.25">
      <c r="A37" s="581" t="s">
        <v>176</v>
      </c>
      <c r="B37" s="54"/>
      <c r="C37" s="567"/>
      <c r="D37" s="35"/>
      <c r="E37" s="36"/>
      <c r="F37" s="34"/>
      <c r="G37" s="35"/>
      <c r="H37" s="37"/>
      <c r="I37" s="567"/>
      <c r="J37" s="35"/>
      <c r="K37" s="36"/>
    </row>
    <row r="38" spans="1:11" x14ac:dyDescent="0.25">
      <c r="A38" s="569" t="str">
        <f>'A1-Sum'!A42</f>
        <v>Net cash from (used) operating</v>
      </c>
      <c r="B38" s="63"/>
      <c r="C38" s="1659"/>
      <c r="D38" s="1568"/>
      <c r="E38" s="1569"/>
      <c r="F38" s="1570"/>
      <c r="G38" s="1568"/>
      <c r="H38" s="1572"/>
      <c r="I38" s="1659"/>
      <c r="J38" s="1568"/>
      <c r="K38" s="1569"/>
    </row>
    <row r="39" spans="1:11" x14ac:dyDescent="0.25">
      <c r="A39" s="569" t="str">
        <f>'A1-Sum'!A43</f>
        <v>Net cash from (used) investing</v>
      </c>
      <c r="B39" s="63"/>
      <c r="C39" s="1659"/>
      <c r="D39" s="1568"/>
      <c r="E39" s="1569"/>
      <c r="F39" s="1570"/>
      <c r="G39" s="1568"/>
      <c r="H39" s="1572"/>
      <c r="I39" s="1659"/>
      <c r="J39" s="1568"/>
      <c r="K39" s="1569"/>
    </row>
    <row r="40" spans="1:11" x14ac:dyDescent="0.25">
      <c r="A40" s="569" t="str">
        <f>'A1-Sum'!A44</f>
        <v>Net cash from (used) financing</v>
      </c>
      <c r="B40" s="63"/>
      <c r="C40" s="1659"/>
      <c r="D40" s="1568"/>
      <c r="E40" s="1569"/>
      <c r="F40" s="1570"/>
      <c r="G40" s="1568"/>
      <c r="H40" s="1572"/>
      <c r="I40" s="1659"/>
      <c r="J40" s="1568"/>
      <c r="K40" s="1569"/>
    </row>
    <row r="41" spans="1:11" x14ac:dyDescent="0.25">
      <c r="A41" s="570" t="str">
        <f>'A1-Sum'!A45</f>
        <v>Cash/cash equivalents at the year end</v>
      </c>
      <c r="B41" s="118"/>
      <c r="C41" s="1659"/>
      <c r="D41" s="1568"/>
      <c r="E41" s="1569"/>
      <c r="F41" s="1570"/>
      <c r="G41" s="1568"/>
      <c r="H41" s="1572"/>
      <c r="I41" s="1659"/>
      <c r="J41" s="1568"/>
      <c r="K41" s="1569"/>
    </row>
    <row r="42" spans="1:11" ht="6" customHeight="1" x14ac:dyDescent="0.25">
      <c r="A42" s="564"/>
      <c r="B42" s="170"/>
      <c r="C42" s="580"/>
      <c r="D42" s="48"/>
      <c r="E42" s="49"/>
      <c r="F42" s="47"/>
      <c r="G42" s="48"/>
      <c r="H42" s="50"/>
      <c r="I42" s="580"/>
      <c r="J42" s="48"/>
      <c r="K42" s="49"/>
    </row>
  </sheetData>
  <mergeCells count="3">
    <mergeCell ref="F2:H2"/>
    <mergeCell ref="I2:K2"/>
    <mergeCell ref="B2:B3"/>
  </mergeCells>
  <phoneticPr fontId="3" type="noConversion"/>
  <printOptions horizontalCentered="1"/>
  <pageMargins left="0" right="0" top="0.78740157480314965" bottom="0.59055118110236227" header="0.51181102362204722" footer="0.39370078740157483"/>
  <pageSetup paperSize="9" scale="86" orientation="portrait"/>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F61"/>
  <sheetViews>
    <sheetView showGridLines="0" zoomScaleNormal="100" workbookViewId="0">
      <pane xSplit="1" ySplit="3" topLeftCell="B4" activePane="bottomRight" state="frozen"/>
      <selection pane="topRight"/>
      <selection pane="bottomLeft"/>
      <selection pane="bottomRight"/>
    </sheetView>
  </sheetViews>
  <sheetFormatPr defaultRowHeight="12.75" x14ac:dyDescent="0.25"/>
  <cols>
    <col min="1" max="1" width="30.7109375" style="25" customWidth="1"/>
    <col min="2" max="2" width="4.140625" style="102" bestFit="1" customWidth="1"/>
    <col min="3" max="3" width="9.28515625" style="25" customWidth="1"/>
    <col min="4" max="4" width="30.7109375" style="25" customWidth="1"/>
    <col min="5" max="5" width="13" style="25" customWidth="1"/>
    <col min="6" max="6" width="9.28515625" style="25" customWidth="1"/>
    <col min="7" max="7" width="9.7109375" style="25" customWidth="1"/>
    <col min="8" max="8" width="9.7109375" style="25" bestFit="1" customWidth="1"/>
    <col min="9" max="10" width="9.7109375" style="25" customWidth="1"/>
    <col min="11" max="11" width="9.42578125" style="25" customWidth="1"/>
    <col min="12" max="12" width="9.7109375" style="25" customWidth="1"/>
    <col min="13" max="15" width="9.42578125" style="25" customWidth="1"/>
    <col min="16" max="16" width="9.7109375" style="25" customWidth="1"/>
    <col min="17" max="19" width="9.42578125" style="25" customWidth="1"/>
    <col min="20" max="21" width="9.7109375" style="25" customWidth="1"/>
    <col min="22" max="16384" width="9.140625" style="25"/>
  </cols>
  <sheetData>
    <row r="1" spans="1:6" ht="13.5" customHeight="1" x14ac:dyDescent="0.25">
      <c r="A1" s="23" t="str">
        <f>muni&amp;" - "&amp;TableA32</f>
        <v>EC101 Dr Beyers Naude - Supporting Table SA32 List of external mechanisms</v>
      </c>
      <c r="B1" s="23"/>
      <c r="C1" s="23"/>
      <c r="D1" s="23"/>
      <c r="E1" s="23"/>
      <c r="F1" s="23"/>
    </row>
    <row r="2" spans="1:6" ht="33.75" customHeight="1" x14ac:dyDescent="0.25">
      <c r="A2" s="18" t="s">
        <v>277</v>
      </c>
      <c r="B2" s="1956" t="s">
        <v>1488</v>
      </c>
      <c r="C2" s="399" t="s">
        <v>280</v>
      </c>
      <c r="D2" s="1956" t="s">
        <v>281</v>
      </c>
      <c r="E2" s="1956" t="s">
        <v>279</v>
      </c>
      <c r="F2" s="584" t="s">
        <v>282</v>
      </c>
    </row>
    <row r="3" spans="1:6" ht="24.75" customHeight="1" x14ac:dyDescent="0.25">
      <c r="A3" s="17" t="s">
        <v>278</v>
      </c>
      <c r="B3" s="1957"/>
      <c r="C3" s="585" t="s">
        <v>1489</v>
      </c>
      <c r="D3" s="1957"/>
      <c r="E3" s="1957"/>
      <c r="F3" s="586" t="s">
        <v>573</v>
      </c>
    </row>
    <row r="4" spans="1:6" ht="11.25" customHeight="1" x14ac:dyDescent="0.25">
      <c r="A4" s="1665"/>
      <c r="B4" s="1547"/>
      <c r="C4" s="1547"/>
      <c r="D4" s="1666"/>
      <c r="E4" s="1667"/>
      <c r="F4" s="1325"/>
    </row>
    <row r="5" spans="1:6" ht="11.25" customHeight="1" x14ac:dyDescent="0.25">
      <c r="A5" s="1665"/>
      <c r="B5" s="1547"/>
      <c r="C5" s="1547"/>
      <c r="D5" s="1666"/>
      <c r="E5" s="1668"/>
      <c r="F5" s="1325"/>
    </row>
    <row r="6" spans="1:6" ht="11.25" customHeight="1" x14ac:dyDescent="0.25">
      <c r="A6" s="1665"/>
      <c r="B6" s="1547"/>
      <c r="C6" s="1547"/>
      <c r="D6" s="1666"/>
      <c r="E6" s="1667"/>
      <c r="F6" s="1325"/>
    </row>
    <row r="7" spans="1:6" ht="11.25" customHeight="1" x14ac:dyDescent="0.25">
      <c r="A7" s="1665"/>
      <c r="B7" s="1547"/>
      <c r="C7" s="1547"/>
      <c r="D7" s="1666"/>
      <c r="E7" s="1667"/>
      <c r="F7" s="1325"/>
    </row>
    <row r="8" spans="1:6" ht="11.25" customHeight="1" x14ac:dyDescent="0.25">
      <c r="A8" s="1665"/>
      <c r="B8" s="1547"/>
      <c r="C8" s="1547"/>
      <c r="D8" s="1666"/>
      <c r="E8" s="1667"/>
      <c r="F8" s="1325"/>
    </row>
    <row r="9" spans="1:6" ht="11.25" customHeight="1" x14ac:dyDescent="0.25">
      <c r="A9" s="1665"/>
      <c r="B9" s="1547"/>
      <c r="C9" s="1547"/>
      <c r="D9" s="1666"/>
      <c r="E9" s="1667"/>
      <c r="F9" s="1325"/>
    </row>
    <row r="10" spans="1:6" ht="11.25" customHeight="1" x14ac:dyDescent="0.25">
      <c r="A10" s="1665"/>
      <c r="B10" s="1547"/>
      <c r="C10" s="1547"/>
      <c r="D10" s="1666"/>
      <c r="E10" s="1667"/>
      <c r="F10" s="1325"/>
    </row>
    <row r="11" spans="1:6" ht="11.25" customHeight="1" x14ac:dyDescent="0.25">
      <c r="A11" s="1665"/>
      <c r="B11" s="1547"/>
      <c r="C11" s="1547"/>
      <c r="D11" s="1666"/>
      <c r="E11" s="1667"/>
      <c r="F11" s="1325"/>
    </row>
    <row r="12" spans="1:6" ht="11.25" customHeight="1" x14ac:dyDescent="0.25">
      <c r="A12" s="1665"/>
      <c r="B12" s="1547"/>
      <c r="C12" s="1547"/>
      <c r="D12" s="1666"/>
      <c r="E12" s="1667"/>
      <c r="F12" s="1325"/>
    </row>
    <row r="13" spans="1:6" ht="11.25" customHeight="1" x14ac:dyDescent="0.25">
      <c r="A13" s="1665"/>
      <c r="B13" s="1547"/>
      <c r="C13" s="1547"/>
      <c r="D13" s="1666"/>
      <c r="E13" s="1667"/>
      <c r="F13" s="1325"/>
    </row>
    <row r="14" spans="1:6" ht="11.25" customHeight="1" x14ac:dyDescent="0.25">
      <c r="A14" s="1665"/>
      <c r="B14" s="1547"/>
      <c r="C14" s="1547"/>
      <c r="D14" s="1666"/>
      <c r="E14" s="1667"/>
      <c r="F14" s="1325"/>
    </row>
    <row r="15" spans="1:6" ht="11.25" customHeight="1" x14ac:dyDescent="0.25">
      <c r="A15" s="1665"/>
      <c r="B15" s="1547"/>
      <c r="C15" s="1547"/>
      <c r="D15" s="1666"/>
      <c r="E15" s="1667"/>
      <c r="F15" s="1325"/>
    </row>
    <row r="16" spans="1:6" ht="11.25" customHeight="1" x14ac:dyDescent="0.25">
      <c r="A16" s="1665"/>
      <c r="B16" s="1547"/>
      <c r="C16" s="1547"/>
      <c r="D16" s="1666"/>
      <c r="E16" s="1667"/>
      <c r="F16" s="1325"/>
    </row>
    <row r="17" spans="1:6" ht="11.25" customHeight="1" x14ac:dyDescent="0.25">
      <c r="A17" s="1665"/>
      <c r="B17" s="1547"/>
      <c r="C17" s="1547"/>
      <c r="D17" s="1666"/>
      <c r="E17" s="1667"/>
      <c r="F17" s="1325"/>
    </row>
    <row r="18" spans="1:6" ht="11.25" customHeight="1" x14ac:dyDescent="0.25">
      <c r="A18" s="1665"/>
      <c r="B18" s="1547"/>
      <c r="C18" s="1547"/>
      <c r="D18" s="1666"/>
      <c r="E18" s="1667"/>
      <c r="F18" s="1325"/>
    </row>
    <row r="19" spans="1:6" ht="11.25" customHeight="1" x14ac:dyDescent="0.25">
      <c r="A19" s="1665"/>
      <c r="B19" s="1547"/>
      <c r="C19" s="1547"/>
      <c r="D19" s="1666"/>
      <c r="E19" s="1667"/>
      <c r="F19" s="1325"/>
    </row>
    <row r="20" spans="1:6" ht="11.25" customHeight="1" x14ac:dyDescent="0.25">
      <c r="A20" s="1665"/>
      <c r="B20" s="1547"/>
      <c r="C20" s="1547"/>
      <c r="D20" s="1666"/>
      <c r="E20" s="1667"/>
      <c r="F20" s="1325"/>
    </row>
    <row r="21" spans="1:6" ht="11.25" customHeight="1" x14ac:dyDescent="0.25">
      <c r="A21" s="1665"/>
      <c r="B21" s="1547"/>
      <c r="C21" s="1547"/>
      <c r="D21" s="1666"/>
      <c r="E21" s="1667"/>
      <c r="F21" s="1325"/>
    </row>
    <row r="22" spans="1:6" ht="11.25" customHeight="1" x14ac:dyDescent="0.25">
      <c r="A22" s="1665"/>
      <c r="B22" s="1547"/>
      <c r="C22" s="1547"/>
      <c r="D22" s="1666"/>
      <c r="E22" s="1667"/>
      <c r="F22" s="1325"/>
    </row>
    <row r="23" spans="1:6" x14ac:dyDescent="0.25">
      <c r="A23" s="1669"/>
      <c r="B23" s="1670"/>
      <c r="C23" s="1670"/>
      <c r="D23" s="1671"/>
      <c r="E23" s="1670"/>
      <c r="F23" s="1672"/>
    </row>
    <row r="24" spans="1:6" ht="6" customHeight="1" x14ac:dyDescent="0.25">
      <c r="C24" s="148"/>
      <c r="D24" s="148"/>
      <c r="E24" s="148"/>
      <c r="F24" s="148"/>
    </row>
    <row r="25" spans="1:6" s="464" customFormat="1" x14ac:dyDescent="0.25">
      <c r="A25" s="101" t="str">
        <f>head27a</f>
        <v>References</v>
      </c>
      <c r="B25" s="645"/>
      <c r="C25" s="668"/>
      <c r="D25" s="668"/>
      <c r="E25" s="668"/>
      <c r="F25" s="668"/>
    </row>
    <row r="26" spans="1:6" s="464" customFormat="1" ht="11.25" customHeight="1" x14ac:dyDescent="0.25">
      <c r="A26" s="132" t="s">
        <v>333</v>
      </c>
      <c r="B26" s="645"/>
      <c r="C26" s="647"/>
      <c r="D26" s="648"/>
      <c r="E26" s="647"/>
      <c r="F26" s="647"/>
    </row>
    <row r="27" spans="1:6" s="464" customFormat="1" ht="11.25" customHeight="1" x14ac:dyDescent="0.25">
      <c r="A27" s="132" t="s">
        <v>283</v>
      </c>
      <c r="B27" s="645"/>
      <c r="C27" s="668"/>
      <c r="D27" s="668"/>
      <c r="E27" s="668"/>
      <c r="F27" s="668"/>
    </row>
    <row r="28" spans="1:6" ht="11.25" customHeight="1" x14ac:dyDescent="0.25"/>
    <row r="29" spans="1:6" ht="11.25" customHeight="1" x14ac:dyDescent="0.25"/>
    <row r="30" spans="1:6" ht="11.25" customHeight="1" x14ac:dyDescent="0.25"/>
    <row r="31" spans="1:6" ht="11.25" customHeight="1" x14ac:dyDescent="0.25"/>
    <row r="32" spans="1:6"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mergeCells count="3">
    <mergeCell ref="D2:D3"/>
    <mergeCell ref="E2:E3"/>
    <mergeCell ref="B2:B3"/>
  </mergeCells>
  <phoneticPr fontId="3" type="noConversion"/>
  <dataValidations count="1">
    <dataValidation type="list" allowBlank="1" showInputMessage="1" showErrorMessage="1" promptTitle="Selection" prompt="Select period description" sqref="B4:B23" xr:uid="{00000000-0002-0000-3500-000000000000}">
      <formula1>List8</formula1>
    </dataValidation>
  </dataValidations>
  <printOptions horizontalCentered="1"/>
  <pageMargins left="0" right="0" top="0.78740157480314965" bottom="0.59055118110236227" header="0.51181102362204722" footer="0.39370078740157483"/>
  <pageSetup paperSize="9" scale="80" orientation="portrait"/>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O83"/>
  <sheetViews>
    <sheetView showGridLines="0" zoomScaleNormal="100" workbookViewId="0">
      <pane xSplit="2" ySplit="3" topLeftCell="C4" activePane="bottomRight" state="frozen"/>
      <selection pane="topRight"/>
      <selection pane="bottomLeft"/>
      <selection pane="bottomRight" activeCell="A46" sqref="A46:N48"/>
    </sheetView>
  </sheetViews>
  <sheetFormatPr defaultRowHeight="12.75" x14ac:dyDescent="0.25"/>
  <cols>
    <col min="1" max="1" width="30.7109375" style="25" customWidth="1"/>
    <col min="2" max="2" width="3" style="102" customWidth="1"/>
    <col min="3" max="7" width="9.28515625" style="25" customWidth="1"/>
    <col min="8" max="15" width="8.28515625" style="25" customWidth="1"/>
    <col min="16" max="17" width="9.42578125" style="25" customWidth="1"/>
    <col min="18" max="19" width="9.7109375" style="25" customWidth="1"/>
    <col min="20" max="16384" width="9.140625" style="25"/>
  </cols>
  <sheetData>
    <row r="1" spans="1:15" ht="13.5" customHeight="1" x14ac:dyDescent="0.25">
      <c r="A1" s="23" t="str">
        <f>muni&amp;" - "&amp; TableA33</f>
        <v>EC101 Dr Beyers Naude - Supporting Table SA33 Contracts having future budgetary implications</v>
      </c>
      <c r="B1" s="23"/>
      <c r="C1" s="23"/>
      <c r="D1" s="23"/>
      <c r="E1" s="23"/>
      <c r="F1" s="23"/>
      <c r="G1" s="23"/>
      <c r="H1" s="23"/>
      <c r="I1" s="23"/>
      <c r="J1" s="23"/>
      <c r="K1" s="23"/>
      <c r="L1" s="23"/>
      <c r="M1" s="23"/>
      <c r="N1" s="23"/>
      <c r="O1" s="23"/>
    </row>
    <row r="2" spans="1:15" ht="36" customHeight="1" x14ac:dyDescent="0.25">
      <c r="A2" s="614" t="str">
        <f>desc</f>
        <v>Description</v>
      </c>
      <c r="B2" s="220" t="str">
        <f>head27</f>
        <v>Ref</v>
      </c>
      <c r="C2" s="26" t="s">
        <v>367</v>
      </c>
      <c r="D2" s="22" t="str">
        <f>Head2</f>
        <v>Current Year 2018/19</v>
      </c>
      <c r="E2" s="1904" t="str">
        <f>Head3</f>
        <v>2019/20 Medium Term Revenue &amp; Expenditure Framework</v>
      </c>
      <c r="F2" s="1905"/>
      <c r="G2" s="1906"/>
      <c r="H2" s="20" t="str">
        <f>Head12</f>
        <v>Forecast 2022/23</v>
      </c>
      <c r="I2" s="26" t="str">
        <f>Head13</f>
        <v>Forecast 2023/24</v>
      </c>
      <c r="J2" s="26" t="str">
        <f>Head14</f>
        <v>Forecast 2024/25</v>
      </c>
      <c r="K2" s="26" t="str">
        <f>Head15</f>
        <v>Forecast 2025/26</v>
      </c>
      <c r="L2" s="26" t="str">
        <f>Head16</f>
        <v>Forecast 2026/27</v>
      </c>
      <c r="M2" s="26" t="str">
        <f>Head17</f>
        <v>Forecast 2027/28</v>
      </c>
      <c r="N2" s="22" t="str">
        <f>Head18</f>
        <v>Forecast 2028/29</v>
      </c>
      <c r="O2" s="587" t="s">
        <v>589</v>
      </c>
    </row>
    <row r="3" spans="1:15" ht="25.5" x14ac:dyDescent="0.25">
      <c r="A3" s="53" t="s">
        <v>573</v>
      </c>
      <c r="B3" s="135" t="s">
        <v>449</v>
      </c>
      <c r="C3" s="203" t="s">
        <v>670</v>
      </c>
      <c r="D3" s="204" t="str">
        <f>Head6</f>
        <v>Original Budget</v>
      </c>
      <c r="E3" s="141" t="str">
        <f>Head9</f>
        <v>Budget Year 2019/20</v>
      </c>
      <c r="F3" s="203" t="str">
        <f>Head10</f>
        <v>Budget Year +1 2020/21</v>
      </c>
      <c r="G3" s="204" t="str">
        <f>Head11</f>
        <v>Budget Year +2 2021/22</v>
      </c>
      <c r="H3" s="141" t="s">
        <v>339</v>
      </c>
      <c r="I3" s="203" t="s">
        <v>339</v>
      </c>
      <c r="J3" s="203" t="s">
        <v>339</v>
      </c>
      <c r="K3" s="203" t="s">
        <v>339</v>
      </c>
      <c r="L3" s="203" t="s">
        <v>339</v>
      </c>
      <c r="M3" s="203" t="s">
        <v>339</v>
      </c>
      <c r="N3" s="204" t="s">
        <v>339</v>
      </c>
      <c r="O3" s="631" t="s">
        <v>339</v>
      </c>
    </row>
    <row r="4" spans="1:15" x14ac:dyDescent="0.25">
      <c r="A4" s="118" t="s">
        <v>865</v>
      </c>
      <c r="B4" s="55"/>
      <c r="C4" s="149"/>
      <c r="D4" s="150"/>
      <c r="E4" s="151"/>
      <c r="F4" s="149"/>
      <c r="G4" s="152"/>
      <c r="H4" s="150"/>
      <c r="I4" s="149"/>
      <c r="J4" s="149"/>
      <c r="K4" s="149"/>
      <c r="L4" s="149"/>
      <c r="M4" s="149"/>
      <c r="N4" s="152"/>
      <c r="O4" s="221"/>
    </row>
    <row r="5" spans="1:15" x14ac:dyDescent="0.25">
      <c r="A5" s="54" t="s">
        <v>1432</v>
      </c>
      <c r="B5" s="55">
        <v>2</v>
      </c>
      <c r="C5" s="153"/>
      <c r="D5" s="154"/>
      <c r="E5" s="155"/>
      <c r="F5" s="153"/>
      <c r="G5" s="156"/>
      <c r="H5" s="154"/>
      <c r="I5" s="153"/>
      <c r="J5" s="153"/>
      <c r="K5" s="153"/>
      <c r="L5" s="153"/>
      <c r="M5" s="153"/>
      <c r="N5" s="156"/>
      <c r="O5" s="588"/>
    </row>
    <row r="6" spans="1:15" x14ac:dyDescent="0.25">
      <c r="A6" s="1368" t="s">
        <v>340</v>
      </c>
      <c r="B6" s="55"/>
      <c r="C6" s="1673"/>
      <c r="D6" s="1674"/>
      <c r="E6" s="1675"/>
      <c r="F6" s="1673"/>
      <c r="G6" s="1676"/>
      <c r="H6" s="1674"/>
      <c r="I6" s="1673"/>
      <c r="J6" s="1673"/>
      <c r="K6" s="1673"/>
      <c r="L6" s="1673"/>
      <c r="M6" s="1673"/>
      <c r="N6" s="1676"/>
      <c r="O6" s="359">
        <f>SUM(C6:N6)</f>
        <v>0</v>
      </c>
    </row>
    <row r="7" spans="1:15" x14ac:dyDescent="0.25">
      <c r="A7" s="1368" t="s">
        <v>341</v>
      </c>
      <c r="B7" s="55"/>
      <c r="C7" s="1340"/>
      <c r="D7" s="923"/>
      <c r="E7" s="1342"/>
      <c r="F7" s="1340"/>
      <c r="G7" s="1341"/>
      <c r="H7" s="923"/>
      <c r="I7" s="1340"/>
      <c r="J7" s="1340"/>
      <c r="K7" s="1340"/>
      <c r="L7" s="1340"/>
      <c r="M7" s="1340"/>
      <c r="N7" s="1341"/>
      <c r="O7" s="359">
        <f>SUM(C7:N7)</f>
        <v>0</v>
      </c>
    </row>
    <row r="8" spans="1:15" x14ac:dyDescent="0.25">
      <c r="A8" s="1368" t="s">
        <v>342</v>
      </c>
      <c r="B8" s="55"/>
      <c r="C8" s="1316"/>
      <c r="D8" s="1327"/>
      <c r="E8" s="1326"/>
      <c r="F8" s="1316"/>
      <c r="G8" s="1325"/>
      <c r="H8" s="1327"/>
      <c r="I8" s="1316"/>
      <c r="J8" s="1316"/>
      <c r="K8" s="1316"/>
      <c r="L8" s="1316"/>
      <c r="M8" s="1316"/>
      <c r="N8" s="1325"/>
      <c r="O8" s="359">
        <f>SUM(C8:N8)</f>
        <v>0</v>
      </c>
    </row>
    <row r="9" spans="1:15" x14ac:dyDescent="0.25">
      <c r="A9" s="118" t="s">
        <v>1188</v>
      </c>
      <c r="B9" s="55"/>
      <c r="C9" s="81">
        <f>SUM(C6:C8)</f>
        <v>0</v>
      </c>
      <c r="D9" s="80">
        <f t="shared" ref="D9:N9" si="0">SUM(D6:D8)</f>
        <v>0</v>
      </c>
      <c r="E9" s="83">
        <f t="shared" si="0"/>
        <v>0</v>
      </c>
      <c r="F9" s="81">
        <f t="shared" si="0"/>
        <v>0</v>
      </c>
      <c r="G9" s="82">
        <f t="shared" si="0"/>
        <v>0</v>
      </c>
      <c r="H9" s="80">
        <f t="shared" si="0"/>
        <v>0</v>
      </c>
      <c r="I9" s="81">
        <f t="shared" si="0"/>
        <v>0</v>
      </c>
      <c r="J9" s="81">
        <f t="shared" si="0"/>
        <v>0</v>
      </c>
      <c r="K9" s="81">
        <f t="shared" si="0"/>
        <v>0</v>
      </c>
      <c r="L9" s="81">
        <f t="shared" si="0"/>
        <v>0</v>
      </c>
      <c r="M9" s="81">
        <f t="shared" si="0"/>
        <v>0</v>
      </c>
      <c r="N9" s="82">
        <f t="shared" si="0"/>
        <v>0</v>
      </c>
      <c r="O9" s="589">
        <f>SUM(C9:N9)</f>
        <v>0</v>
      </c>
    </row>
    <row r="10" spans="1:15" ht="4.9000000000000004" customHeight="1" x14ac:dyDescent="0.25">
      <c r="A10" s="74"/>
      <c r="B10" s="55"/>
      <c r="C10" s="76"/>
      <c r="D10" s="75"/>
      <c r="E10" s="78"/>
      <c r="F10" s="76"/>
      <c r="G10" s="77"/>
      <c r="H10" s="75"/>
      <c r="I10" s="76"/>
      <c r="J10" s="76"/>
      <c r="K10" s="76"/>
      <c r="L10" s="76"/>
      <c r="M10" s="76"/>
      <c r="N10" s="77"/>
      <c r="O10" s="359"/>
    </row>
    <row r="11" spans="1:15" x14ac:dyDescent="0.25">
      <c r="A11" s="54" t="s">
        <v>866</v>
      </c>
      <c r="B11" s="55">
        <v>2</v>
      </c>
      <c r="C11" s="76"/>
      <c r="D11" s="75"/>
      <c r="E11" s="78"/>
      <c r="F11" s="76"/>
      <c r="G11" s="77"/>
      <c r="H11" s="75"/>
      <c r="I11" s="76"/>
      <c r="J11" s="76"/>
      <c r="K11" s="76"/>
      <c r="L11" s="76"/>
      <c r="M11" s="76"/>
      <c r="N11" s="77"/>
      <c r="O11" s="359"/>
    </row>
    <row r="12" spans="1:15" x14ac:dyDescent="0.25">
      <c r="A12" s="1368" t="s">
        <v>340</v>
      </c>
      <c r="B12" s="55"/>
      <c r="C12" s="1316"/>
      <c r="D12" s="1327"/>
      <c r="E12" s="1326"/>
      <c r="F12" s="1316"/>
      <c r="G12" s="1325"/>
      <c r="H12" s="1327"/>
      <c r="I12" s="1316"/>
      <c r="J12" s="1316"/>
      <c r="K12" s="1316"/>
      <c r="L12" s="1316"/>
      <c r="M12" s="1316"/>
      <c r="N12" s="1325"/>
      <c r="O12" s="359">
        <f>SUM(C12:N12)</f>
        <v>0</v>
      </c>
    </row>
    <row r="13" spans="1:15" x14ac:dyDescent="0.25">
      <c r="A13" s="1368" t="s">
        <v>341</v>
      </c>
      <c r="B13" s="55"/>
      <c r="C13" s="1316"/>
      <c r="D13" s="1327"/>
      <c r="E13" s="1326"/>
      <c r="F13" s="1316"/>
      <c r="G13" s="1325"/>
      <c r="H13" s="1327"/>
      <c r="I13" s="1316"/>
      <c r="J13" s="1316"/>
      <c r="K13" s="1316"/>
      <c r="L13" s="1316"/>
      <c r="M13" s="1316"/>
      <c r="N13" s="1325"/>
      <c r="O13" s="359">
        <f>SUM(C13:N13)</f>
        <v>0</v>
      </c>
    </row>
    <row r="14" spans="1:15" x14ac:dyDescent="0.25">
      <c r="A14" s="1368" t="s">
        <v>342</v>
      </c>
      <c r="B14" s="55"/>
      <c r="C14" s="1316"/>
      <c r="D14" s="1327"/>
      <c r="E14" s="1326"/>
      <c r="F14" s="1316"/>
      <c r="G14" s="1325"/>
      <c r="H14" s="1327"/>
      <c r="I14" s="1316"/>
      <c r="J14" s="1316"/>
      <c r="K14" s="1316"/>
      <c r="L14" s="1316"/>
      <c r="M14" s="1316"/>
      <c r="N14" s="1325"/>
      <c r="O14" s="359">
        <f>SUM(C14:N14)</f>
        <v>0</v>
      </c>
    </row>
    <row r="15" spans="1:15" x14ac:dyDescent="0.25">
      <c r="A15" s="118" t="s">
        <v>868</v>
      </c>
      <c r="B15" s="55"/>
      <c r="C15" s="185">
        <f t="shared" ref="C15:N15" si="1">SUM(C12:C14)</f>
        <v>0</v>
      </c>
      <c r="D15" s="216">
        <f t="shared" si="1"/>
        <v>0</v>
      </c>
      <c r="E15" s="215">
        <f t="shared" si="1"/>
        <v>0</v>
      </c>
      <c r="F15" s="185">
        <f t="shared" si="1"/>
        <v>0</v>
      </c>
      <c r="G15" s="186">
        <f t="shared" si="1"/>
        <v>0</v>
      </c>
      <c r="H15" s="216">
        <f t="shared" si="1"/>
        <v>0</v>
      </c>
      <c r="I15" s="185">
        <f t="shared" si="1"/>
        <v>0</v>
      </c>
      <c r="J15" s="185">
        <f t="shared" si="1"/>
        <v>0</v>
      </c>
      <c r="K15" s="185">
        <f t="shared" si="1"/>
        <v>0</v>
      </c>
      <c r="L15" s="185">
        <f t="shared" si="1"/>
        <v>0</v>
      </c>
      <c r="M15" s="185">
        <f t="shared" si="1"/>
        <v>0</v>
      </c>
      <c r="N15" s="186">
        <f t="shared" si="1"/>
        <v>0</v>
      </c>
      <c r="O15" s="589">
        <f>SUM(C15:N15)</f>
        <v>0</v>
      </c>
    </row>
    <row r="16" spans="1:15" ht="4.9000000000000004" customHeight="1" x14ac:dyDescent="0.25">
      <c r="A16" s="74"/>
      <c r="B16" s="55"/>
      <c r="C16" s="76"/>
      <c r="D16" s="75"/>
      <c r="E16" s="78"/>
      <c r="F16" s="76"/>
      <c r="G16" s="77"/>
      <c r="H16" s="75"/>
      <c r="I16" s="76"/>
      <c r="J16" s="76"/>
      <c r="K16" s="76"/>
      <c r="L16" s="76"/>
      <c r="M16" s="76"/>
      <c r="N16" s="77"/>
      <c r="O16" s="359"/>
    </row>
    <row r="17" spans="1:15" x14ac:dyDescent="0.25">
      <c r="A17" s="54" t="s">
        <v>867</v>
      </c>
      <c r="B17" s="55">
        <v>2</v>
      </c>
      <c r="C17" s="86"/>
      <c r="D17" s="85"/>
      <c r="E17" s="88"/>
      <c r="F17" s="86"/>
      <c r="G17" s="87"/>
      <c r="H17" s="85"/>
      <c r="I17" s="86"/>
      <c r="J17" s="86"/>
      <c r="K17" s="86"/>
      <c r="L17" s="86"/>
      <c r="M17" s="86"/>
      <c r="N17" s="87"/>
      <c r="O17" s="359"/>
    </row>
    <row r="18" spans="1:15" x14ac:dyDescent="0.25">
      <c r="A18" s="1368" t="s">
        <v>340</v>
      </c>
      <c r="B18" s="55"/>
      <c r="C18" s="1316"/>
      <c r="D18" s="1327"/>
      <c r="E18" s="1326"/>
      <c r="F18" s="1316"/>
      <c r="G18" s="1325"/>
      <c r="H18" s="1327"/>
      <c r="I18" s="1316"/>
      <c r="J18" s="1316"/>
      <c r="K18" s="1316"/>
      <c r="L18" s="1316"/>
      <c r="M18" s="1316"/>
      <c r="N18" s="1325"/>
      <c r="O18" s="359">
        <f>SUM(C18:N18)</f>
        <v>0</v>
      </c>
    </row>
    <row r="19" spans="1:15" x14ac:dyDescent="0.25">
      <c r="A19" s="1368" t="s">
        <v>341</v>
      </c>
      <c r="B19" s="55"/>
      <c r="C19" s="1316"/>
      <c r="D19" s="1327"/>
      <c r="E19" s="1326"/>
      <c r="F19" s="1316"/>
      <c r="G19" s="1325"/>
      <c r="H19" s="1327"/>
      <c r="I19" s="1316"/>
      <c r="J19" s="1316"/>
      <c r="K19" s="1316"/>
      <c r="L19" s="1316"/>
      <c r="M19" s="1316"/>
      <c r="N19" s="1325"/>
      <c r="O19" s="359">
        <f>SUM(C19:N19)</f>
        <v>0</v>
      </c>
    </row>
    <row r="20" spans="1:15" x14ac:dyDescent="0.25">
      <c r="A20" s="1368" t="s">
        <v>342</v>
      </c>
      <c r="B20" s="55"/>
      <c r="C20" s="1316"/>
      <c r="D20" s="1327"/>
      <c r="E20" s="1326"/>
      <c r="F20" s="1316"/>
      <c r="G20" s="1325"/>
      <c r="H20" s="1327"/>
      <c r="I20" s="1316"/>
      <c r="J20" s="1316"/>
      <c r="K20" s="1316"/>
      <c r="L20" s="1316"/>
      <c r="M20" s="1316"/>
      <c r="N20" s="1325"/>
      <c r="O20" s="359">
        <f>SUM(C20:N20)</f>
        <v>0</v>
      </c>
    </row>
    <row r="21" spans="1:15" x14ac:dyDescent="0.25">
      <c r="A21" s="118" t="s">
        <v>1269</v>
      </c>
      <c r="B21" s="55"/>
      <c r="C21" s="185">
        <f t="shared" ref="C21:N21" si="2">SUM(C18:C20)</f>
        <v>0</v>
      </c>
      <c r="D21" s="216">
        <f t="shared" si="2"/>
        <v>0</v>
      </c>
      <c r="E21" s="215">
        <f t="shared" si="2"/>
        <v>0</v>
      </c>
      <c r="F21" s="185">
        <f t="shared" si="2"/>
        <v>0</v>
      </c>
      <c r="G21" s="186">
        <f t="shared" si="2"/>
        <v>0</v>
      </c>
      <c r="H21" s="216">
        <f t="shared" si="2"/>
        <v>0</v>
      </c>
      <c r="I21" s="185">
        <f t="shared" si="2"/>
        <v>0</v>
      </c>
      <c r="J21" s="185">
        <f t="shared" si="2"/>
        <v>0</v>
      </c>
      <c r="K21" s="185">
        <f t="shared" si="2"/>
        <v>0</v>
      </c>
      <c r="L21" s="185">
        <f t="shared" si="2"/>
        <v>0</v>
      </c>
      <c r="M21" s="185">
        <f t="shared" si="2"/>
        <v>0</v>
      </c>
      <c r="N21" s="186">
        <f t="shared" si="2"/>
        <v>0</v>
      </c>
      <c r="O21" s="589">
        <f>SUM(C21:N21)</f>
        <v>0</v>
      </c>
    </row>
    <row r="22" spans="1:15" ht="4.9000000000000004" customHeight="1" x14ac:dyDescent="0.25">
      <c r="A22" s="74"/>
      <c r="B22" s="55"/>
      <c r="C22" s="76"/>
      <c r="D22" s="75"/>
      <c r="E22" s="78"/>
      <c r="F22" s="76"/>
      <c r="G22" s="77"/>
      <c r="H22" s="75"/>
      <c r="I22" s="76"/>
      <c r="J22" s="76"/>
      <c r="K22" s="76"/>
      <c r="L22" s="76"/>
      <c r="M22" s="76"/>
      <c r="N22" s="77"/>
      <c r="O22" s="359"/>
    </row>
    <row r="23" spans="1:15" x14ac:dyDescent="0.25">
      <c r="A23" s="92" t="s">
        <v>15</v>
      </c>
      <c r="B23" s="93"/>
      <c r="C23" s="95">
        <f>C15+C21</f>
        <v>0</v>
      </c>
      <c r="D23" s="94">
        <f t="shared" ref="D23:O23" si="3">D15+D21</f>
        <v>0</v>
      </c>
      <c r="E23" s="97">
        <f t="shared" si="3"/>
        <v>0</v>
      </c>
      <c r="F23" s="95">
        <f t="shared" si="3"/>
        <v>0</v>
      </c>
      <c r="G23" s="96">
        <f t="shared" si="3"/>
        <v>0</v>
      </c>
      <c r="H23" s="94">
        <f t="shared" si="3"/>
        <v>0</v>
      </c>
      <c r="I23" s="95">
        <f t="shared" si="3"/>
        <v>0</v>
      </c>
      <c r="J23" s="95">
        <f t="shared" si="3"/>
        <v>0</v>
      </c>
      <c r="K23" s="95">
        <f t="shared" si="3"/>
        <v>0</v>
      </c>
      <c r="L23" s="95">
        <f t="shared" si="3"/>
        <v>0</v>
      </c>
      <c r="M23" s="95">
        <f t="shared" si="3"/>
        <v>0</v>
      </c>
      <c r="N23" s="96">
        <f t="shared" si="3"/>
        <v>0</v>
      </c>
      <c r="O23" s="590">
        <f t="shared" si="3"/>
        <v>0</v>
      </c>
    </row>
    <row r="24" spans="1:15" ht="4.5" customHeight="1" x14ac:dyDescent="0.25">
      <c r="A24" s="54"/>
      <c r="B24" s="55"/>
      <c r="C24" s="153"/>
      <c r="D24" s="154"/>
      <c r="E24" s="155"/>
      <c r="F24" s="153"/>
      <c r="G24" s="156"/>
      <c r="H24" s="154"/>
      <c r="I24" s="153"/>
      <c r="J24" s="153"/>
      <c r="K24" s="153"/>
      <c r="L24" s="153"/>
      <c r="M24" s="153"/>
      <c r="N24" s="156"/>
      <c r="O24" s="588"/>
    </row>
    <row r="25" spans="1:15" x14ac:dyDescent="0.25">
      <c r="A25" s="118" t="s">
        <v>16</v>
      </c>
      <c r="B25" s="55"/>
      <c r="C25" s="153"/>
      <c r="D25" s="154"/>
      <c r="E25" s="155"/>
      <c r="F25" s="153"/>
      <c r="G25" s="156"/>
      <c r="H25" s="154"/>
      <c r="I25" s="153"/>
      <c r="J25" s="153"/>
      <c r="K25" s="153"/>
      <c r="L25" s="153"/>
      <c r="M25" s="153"/>
      <c r="N25" s="156"/>
      <c r="O25" s="588"/>
    </row>
    <row r="26" spans="1:15" ht="11.25" customHeight="1" x14ac:dyDescent="0.25">
      <c r="A26" s="54" t="s">
        <v>1432</v>
      </c>
      <c r="B26" s="55">
        <v>2</v>
      </c>
      <c r="C26" s="153"/>
      <c r="D26" s="154"/>
      <c r="E26" s="155"/>
      <c r="F26" s="153"/>
      <c r="G26" s="156"/>
      <c r="H26" s="154"/>
      <c r="I26" s="153"/>
      <c r="J26" s="153"/>
      <c r="K26" s="153"/>
      <c r="L26" s="153"/>
      <c r="M26" s="153"/>
      <c r="N26" s="156"/>
      <c r="O26" s="588"/>
    </row>
    <row r="27" spans="1:15" ht="11.25" customHeight="1" x14ac:dyDescent="0.25">
      <c r="A27" s="1368" t="s">
        <v>340</v>
      </c>
      <c r="B27" s="55"/>
      <c r="C27" s="1673"/>
      <c r="D27" s="1674"/>
      <c r="E27" s="1675"/>
      <c r="F27" s="1673"/>
      <c r="G27" s="1676"/>
      <c r="H27" s="1674"/>
      <c r="I27" s="1673"/>
      <c r="J27" s="1673"/>
      <c r="K27" s="1673"/>
      <c r="L27" s="1673"/>
      <c r="M27" s="1673"/>
      <c r="N27" s="1676"/>
      <c r="O27" s="359">
        <f>SUM(C27:N27)</f>
        <v>0</v>
      </c>
    </row>
    <row r="28" spans="1:15" ht="11.25" customHeight="1" x14ac:dyDescent="0.25">
      <c r="A28" s="1368" t="s">
        <v>341</v>
      </c>
      <c r="B28" s="55"/>
      <c r="C28" s="1340"/>
      <c r="D28" s="923"/>
      <c r="E28" s="1342"/>
      <c r="F28" s="1340"/>
      <c r="G28" s="1341"/>
      <c r="H28" s="923"/>
      <c r="I28" s="1340"/>
      <c r="J28" s="1340"/>
      <c r="K28" s="1340"/>
      <c r="L28" s="1340"/>
      <c r="M28" s="1340"/>
      <c r="N28" s="1341"/>
      <c r="O28" s="359">
        <f>SUM(C28:N28)</f>
        <v>0</v>
      </c>
    </row>
    <row r="29" spans="1:15" ht="11.25" customHeight="1" x14ac:dyDescent="0.25">
      <c r="A29" s="1368" t="s">
        <v>342</v>
      </c>
      <c r="B29" s="55"/>
      <c r="C29" s="1316"/>
      <c r="D29" s="1327"/>
      <c r="E29" s="1326"/>
      <c r="F29" s="1316"/>
      <c r="G29" s="1325"/>
      <c r="H29" s="1327"/>
      <c r="I29" s="1316"/>
      <c r="J29" s="1316"/>
      <c r="K29" s="1316"/>
      <c r="L29" s="1316"/>
      <c r="M29" s="1316"/>
      <c r="N29" s="1325"/>
      <c r="O29" s="359">
        <f>SUM(C29:N29)</f>
        <v>0</v>
      </c>
    </row>
    <row r="30" spans="1:15" ht="11.25" customHeight="1" x14ac:dyDescent="0.25">
      <c r="A30" s="118" t="s">
        <v>1188</v>
      </c>
      <c r="B30" s="55"/>
      <c r="C30" s="81">
        <f t="shared" ref="C30:N30" si="4">SUM(C27:C29)</f>
        <v>0</v>
      </c>
      <c r="D30" s="80">
        <f t="shared" si="4"/>
        <v>0</v>
      </c>
      <c r="E30" s="83">
        <f t="shared" si="4"/>
        <v>0</v>
      </c>
      <c r="F30" s="81">
        <f t="shared" si="4"/>
        <v>0</v>
      </c>
      <c r="G30" s="82">
        <f t="shared" si="4"/>
        <v>0</v>
      </c>
      <c r="H30" s="80">
        <f t="shared" si="4"/>
        <v>0</v>
      </c>
      <c r="I30" s="81">
        <f t="shared" si="4"/>
        <v>0</v>
      </c>
      <c r="J30" s="81">
        <f t="shared" si="4"/>
        <v>0</v>
      </c>
      <c r="K30" s="81">
        <f t="shared" si="4"/>
        <v>0</v>
      </c>
      <c r="L30" s="81">
        <f t="shared" si="4"/>
        <v>0</v>
      </c>
      <c r="M30" s="81">
        <f t="shared" si="4"/>
        <v>0</v>
      </c>
      <c r="N30" s="82">
        <f t="shared" si="4"/>
        <v>0</v>
      </c>
      <c r="O30" s="589">
        <f>SUM(C30:N30)</f>
        <v>0</v>
      </c>
    </row>
    <row r="31" spans="1:15" ht="4.9000000000000004" customHeight="1" x14ac:dyDescent="0.25">
      <c r="A31" s="74"/>
      <c r="B31" s="55"/>
      <c r="C31" s="76"/>
      <c r="D31" s="75"/>
      <c r="E31" s="78"/>
      <c r="F31" s="76"/>
      <c r="G31" s="77"/>
      <c r="H31" s="75"/>
      <c r="I31" s="76"/>
      <c r="J31" s="76"/>
      <c r="K31" s="76"/>
      <c r="L31" s="76"/>
      <c r="M31" s="76"/>
      <c r="N31" s="77"/>
      <c r="O31" s="359"/>
    </row>
    <row r="32" spans="1:15" ht="11.25" customHeight="1" x14ac:dyDescent="0.25">
      <c r="A32" s="54" t="s">
        <v>866</v>
      </c>
      <c r="B32" s="55">
        <v>2</v>
      </c>
      <c r="C32" s="76"/>
      <c r="D32" s="75"/>
      <c r="E32" s="78"/>
      <c r="F32" s="76"/>
      <c r="G32" s="77"/>
      <c r="H32" s="75"/>
      <c r="I32" s="76"/>
      <c r="J32" s="76"/>
      <c r="K32" s="76"/>
      <c r="L32" s="76"/>
      <c r="M32" s="76"/>
      <c r="N32" s="77"/>
      <c r="O32" s="359"/>
    </row>
    <row r="33" spans="1:15" ht="11.25" customHeight="1" x14ac:dyDescent="0.25">
      <c r="A33" s="1368" t="s">
        <v>340</v>
      </c>
      <c r="B33" s="55"/>
      <c r="C33" s="1316"/>
      <c r="D33" s="1327"/>
      <c r="E33" s="1326"/>
      <c r="F33" s="1316"/>
      <c r="G33" s="1325"/>
      <c r="H33" s="1327"/>
      <c r="I33" s="1316"/>
      <c r="J33" s="1316"/>
      <c r="K33" s="1316"/>
      <c r="L33" s="1316"/>
      <c r="M33" s="1316"/>
      <c r="N33" s="1325"/>
      <c r="O33" s="359">
        <f>SUM(C33:N33)</f>
        <v>0</v>
      </c>
    </row>
    <row r="34" spans="1:15" ht="11.25" customHeight="1" x14ac:dyDescent="0.25">
      <c r="A34" s="1368" t="s">
        <v>341</v>
      </c>
      <c r="B34" s="55"/>
      <c r="C34" s="1316"/>
      <c r="D34" s="1327"/>
      <c r="E34" s="1326"/>
      <c r="F34" s="1316"/>
      <c r="G34" s="1325"/>
      <c r="H34" s="1327"/>
      <c r="I34" s="1316"/>
      <c r="J34" s="1316"/>
      <c r="K34" s="1316"/>
      <c r="L34" s="1316"/>
      <c r="M34" s="1316"/>
      <c r="N34" s="1325"/>
      <c r="O34" s="359">
        <f>SUM(C34:N34)</f>
        <v>0</v>
      </c>
    </row>
    <row r="35" spans="1:15" ht="11.25" customHeight="1" x14ac:dyDescent="0.25">
      <c r="A35" s="1368" t="s">
        <v>342</v>
      </c>
      <c r="B35" s="55"/>
      <c r="C35" s="1316"/>
      <c r="D35" s="1327"/>
      <c r="E35" s="1326"/>
      <c r="F35" s="1316"/>
      <c r="G35" s="1325"/>
      <c r="H35" s="1327"/>
      <c r="I35" s="1316"/>
      <c r="J35" s="1316"/>
      <c r="K35" s="1316"/>
      <c r="L35" s="1316"/>
      <c r="M35" s="1316"/>
      <c r="N35" s="1325"/>
      <c r="O35" s="359">
        <f>SUM(C35:N35)</f>
        <v>0</v>
      </c>
    </row>
    <row r="36" spans="1:15" ht="11.25" customHeight="1" x14ac:dyDescent="0.25">
      <c r="A36" s="118" t="s">
        <v>868</v>
      </c>
      <c r="B36" s="55"/>
      <c r="C36" s="185">
        <f t="shared" ref="C36:N36" si="5">SUM(C33:C35)</f>
        <v>0</v>
      </c>
      <c r="D36" s="216">
        <f t="shared" si="5"/>
        <v>0</v>
      </c>
      <c r="E36" s="215">
        <f t="shared" si="5"/>
        <v>0</v>
      </c>
      <c r="F36" s="185">
        <f t="shared" si="5"/>
        <v>0</v>
      </c>
      <c r="G36" s="186">
        <f t="shared" si="5"/>
        <v>0</v>
      </c>
      <c r="H36" s="216">
        <f t="shared" si="5"/>
        <v>0</v>
      </c>
      <c r="I36" s="185">
        <f t="shared" si="5"/>
        <v>0</v>
      </c>
      <c r="J36" s="185">
        <f t="shared" si="5"/>
        <v>0</v>
      </c>
      <c r="K36" s="185">
        <f t="shared" si="5"/>
        <v>0</v>
      </c>
      <c r="L36" s="185">
        <f t="shared" si="5"/>
        <v>0</v>
      </c>
      <c r="M36" s="185">
        <f t="shared" si="5"/>
        <v>0</v>
      </c>
      <c r="N36" s="186">
        <f t="shared" si="5"/>
        <v>0</v>
      </c>
      <c r="O36" s="589">
        <f>SUM(C36:N36)</f>
        <v>0</v>
      </c>
    </row>
    <row r="37" spans="1:15" ht="4.9000000000000004" customHeight="1" x14ac:dyDescent="0.25">
      <c r="A37" s="74"/>
      <c r="B37" s="55"/>
      <c r="C37" s="76"/>
      <c r="D37" s="75"/>
      <c r="E37" s="78"/>
      <c r="F37" s="76"/>
      <c r="G37" s="77"/>
      <c r="H37" s="75"/>
      <c r="I37" s="76"/>
      <c r="J37" s="76"/>
      <c r="K37" s="76"/>
      <c r="L37" s="76"/>
      <c r="M37" s="76"/>
      <c r="N37" s="77"/>
      <c r="O37" s="359"/>
    </row>
    <row r="38" spans="1:15" ht="11.25" customHeight="1" x14ac:dyDescent="0.25">
      <c r="A38" s="54" t="s">
        <v>867</v>
      </c>
      <c r="B38" s="55">
        <v>2</v>
      </c>
      <c r="C38" s="86"/>
      <c r="D38" s="85"/>
      <c r="E38" s="88"/>
      <c r="F38" s="86"/>
      <c r="G38" s="87"/>
      <c r="H38" s="85"/>
      <c r="I38" s="86"/>
      <c r="J38" s="86"/>
      <c r="K38" s="86"/>
      <c r="L38" s="86"/>
      <c r="M38" s="86"/>
      <c r="N38" s="87"/>
      <c r="O38" s="359"/>
    </row>
    <row r="39" spans="1:15" ht="11.25" customHeight="1" x14ac:dyDescent="0.25">
      <c r="A39" s="1368" t="s">
        <v>340</v>
      </c>
      <c r="B39" s="55"/>
      <c r="C39" s="1316"/>
      <c r="D39" s="1327"/>
      <c r="E39" s="1326"/>
      <c r="F39" s="1316"/>
      <c r="G39" s="1325"/>
      <c r="H39" s="1327"/>
      <c r="I39" s="1316"/>
      <c r="J39" s="1316"/>
      <c r="K39" s="1316"/>
      <c r="L39" s="1316"/>
      <c r="M39" s="1316"/>
      <c r="N39" s="1325"/>
      <c r="O39" s="359">
        <f>SUM(C39:N39)</f>
        <v>0</v>
      </c>
    </row>
    <row r="40" spans="1:15" ht="11.25" customHeight="1" x14ac:dyDescent="0.25">
      <c r="A40" s="1368" t="s">
        <v>341</v>
      </c>
      <c r="B40" s="55"/>
      <c r="C40" s="1316"/>
      <c r="D40" s="1327"/>
      <c r="E40" s="1326"/>
      <c r="F40" s="1316"/>
      <c r="G40" s="1325"/>
      <c r="H40" s="1327"/>
      <c r="I40" s="1316"/>
      <c r="J40" s="1316"/>
      <c r="K40" s="1316"/>
      <c r="L40" s="1316"/>
      <c r="M40" s="1316"/>
      <c r="N40" s="1325"/>
      <c r="O40" s="359">
        <f>SUM(C40:N40)</f>
        <v>0</v>
      </c>
    </row>
    <row r="41" spans="1:15" ht="11.25" customHeight="1" x14ac:dyDescent="0.25">
      <c r="A41" s="1368" t="s">
        <v>342</v>
      </c>
      <c r="B41" s="55"/>
      <c r="C41" s="1316"/>
      <c r="D41" s="1327"/>
      <c r="E41" s="1326"/>
      <c r="F41" s="1316"/>
      <c r="G41" s="1325"/>
      <c r="H41" s="1327"/>
      <c r="I41" s="1316"/>
      <c r="J41" s="1316"/>
      <c r="K41" s="1316"/>
      <c r="L41" s="1316"/>
      <c r="M41" s="1316"/>
      <c r="N41" s="1325"/>
      <c r="O41" s="359">
        <f>SUM(C41:N41)</f>
        <v>0</v>
      </c>
    </row>
    <row r="42" spans="1:15" ht="11.25" customHeight="1" x14ac:dyDescent="0.25">
      <c r="A42" s="118" t="s">
        <v>1269</v>
      </c>
      <c r="B42" s="55"/>
      <c r="C42" s="185">
        <f t="shared" ref="C42:N42" si="6">SUM(C39:C41)</f>
        <v>0</v>
      </c>
      <c r="D42" s="216">
        <f t="shared" si="6"/>
        <v>0</v>
      </c>
      <c r="E42" s="215">
        <f t="shared" si="6"/>
        <v>0</v>
      </c>
      <c r="F42" s="185">
        <f t="shared" si="6"/>
        <v>0</v>
      </c>
      <c r="G42" s="186">
        <f t="shared" si="6"/>
        <v>0</v>
      </c>
      <c r="H42" s="216">
        <f t="shared" si="6"/>
        <v>0</v>
      </c>
      <c r="I42" s="185">
        <f t="shared" si="6"/>
        <v>0</v>
      </c>
      <c r="J42" s="185">
        <f t="shared" si="6"/>
        <v>0</v>
      </c>
      <c r="K42" s="185">
        <f t="shared" si="6"/>
        <v>0</v>
      </c>
      <c r="L42" s="185">
        <f t="shared" si="6"/>
        <v>0</v>
      </c>
      <c r="M42" s="185">
        <f t="shared" si="6"/>
        <v>0</v>
      </c>
      <c r="N42" s="186">
        <f t="shared" si="6"/>
        <v>0</v>
      </c>
      <c r="O42" s="589">
        <f>SUM(C42:N42)</f>
        <v>0</v>
      </c>
    </row>
    <row r="43" spans="1:15" ht="4.9000000000000004" customHeight="1" x14ac:dyDescent="0.25">
      <c r="A43" s="74"/>
      <c r="B43" s="55"/>
      <c r="C43" s="76"/>
      <c r="D43" s="75"/>
      <c r="E43" s="78"/>
      <c r="F43" s="76"/>
      <c r="G43" s="77"/>
      <c r="H43" s="75"/>
      <c r="I43" s="76"/>
      <c r="J43" s="76"/>
      <c r="K43" s="76"/>
      <c r="L43" s="76"/>
      <c r="M43" s="76"/>
      <c r="N43" s="77"/>
      <c r="O43" s="359"/>
    </row>
    <row r="44" spans="1:15" ht="11.25" customHeight="1" x14ac:dyDescent="0.25">
      <c r="A44" s="92" t="s">
        <v>17</v>
      </c>
      <c r="B44" s="93"/>
      <c r="C44" s="95">
        <f>C36+C42</f>
        <v>0</v>
      </c>
      <c r="D44" s="94">
        <f t="shared" ref="D44:O44" si="7">D36+D42</f>
        <v>0</v>
      </c>
      <c r="E44" s="97">
        <f t="shared" si="7"/>
        <v>0</v>
      </c>
      <c r="F44" s="95">
        <f t="shared" si="7"/>
        <v>0</v>
      </c>
      <c r="G44" s="96">
        <f t="shared" si="7"/>
        <v>0</v>
      </c>
      <c r="H44" s="94">
        <f t="shared" si="7"/>
        <v>0</v>
      </c>
      <c r="I44" s="95">
        <f t="shared" si="7"/>
        <v>0</v>
      </c>
      <c r="J44" s="95">
        <f t="shared" si="7"/>
        <v>0</v>
      </c>
      <c r="K44" s="95">
        <f t="shared" si="7"/>
        <v>0</v>
      </c>
      <c r="L44" s="95">
        <f t="shared" si="7"/>
        <v>0</v>
      </c>
      <c r="M44" s="95">
        <f t="shared" si="7"/>
        <v>0</v>
      </c>
      <c r="N44" s="96">
        <f t="shared" si="7"/>
        <v>0</v>
      </c>
      <c r="O44" s="590">
        <f t="shared" si="7"/>
        <v>0</v>
      </c>
    </row>
    <row r="45" spans="1:15" s="464" customFormat="1" x14ac:dyDescent="0.25">
      <c r="A45" s="101" t="str">
        <f>head27a</f>
        <v>References</v>
      </c>
      <c r="B45" s="645"/>
      <c r="C45" s="647"/>
      <c r="D45" s="647"/>
      <c r="E45" s="647"/>
      <c r="F45" s="647"/>
      <c r="G45" s="647"/>
      <c r="H45" s="647"/>
      <c r="I45" s="647"/>
      <c r="J45" s="647"/>
      <c r="K45" s="647"/>
      <c r="L45" s="647"/>
      <c r="M45" s="647"/>
      <c r="N45" s="647"/>
      <c r="O45" s="668"/>
    </row>
    <row r="46" spans="1:15" s="464" customFormat="1" ht="11.25" customHeight="1" x14ac:dyDescent="0.25">
      <c r="A46" s="105" t="s">
        <v>18</v>
      </c>
      <c r="B46" s="645"/>
      <c r="C46" s="648"/>
      <c r="D46" s="647"/>
      <c r="E46" s="647"/>
      <c r="F46" s="647"/>
      <c r="G46" s="647"/>
    </row>
    <row r="47" spans="1:15" s="464" customFormat="1" ht="11.25" customHeight="1" x14ac:dyDescent="0.25">
      <c r="A47" s="132" t="s">
        <v>1279</v>
      </c>
      <c r="B47" s="645"/>
      <c r="C47" s="648"/>
      <c r="D47" s="647"/>
      <c r="E47" s="647"/>
      <c r="F47" s="647"/>
      <c r="G47" s="647"/>
    </row>
    <row r="48" spans="1:15" ht="24.75" customHeight="1" x14ac:dyDescent="0.25">
      <c r="A48" s="1970" t="s">
        <v>592</v>
      </c>
      <c r="B48" s="1971"/>
      <c r="C48" s="1971"/>
      <c r="D48" s="1971"/>
      <c r="E48" s="1971"/>
      <c r="F48" s="1971"/>
      <c r="G48" s="1971"/>
      <c r="H48" s="1971"/>
      <c r="I48" s="1971"/>
      <c r="J48" s="1971"/>
      <c r="K48" s="1971"/>
      <c r="L48" s="1971"/>
      <c r="M48" s="1971"/>
      <c r="N48" s="1971"/>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mergeCells count="2">
    <mergeCell ref="E2:G2"/>
    <mergeCell ref="A48:N48"/>
  </mergeCells>
  <phoneticPr fontId="3" type="noConversion"/>
  <printOptions horizontalCentered="1"/>
  <pageMargins left="0" right="0" top="0.78740157480314965" bottom="0.59055118110236227" header="0.51181102362204722" footer="0.39370078740157483"/>
  <pageSetup paperSize="9" scale="80" orientation="landscape"/>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L173"/>
  <sheetViews>
    <sheetView showGridLines="0" zoomScaleNormal="100" workbookViewId="0">
      <pane xSplit="2" ySplit="3" topLeftCell="C152" activePane="bottomRight" state="frozen"/>
      <selection pane="topRight"/>
      <selection pane="bottomLeft"/>
      <selection pane="bottomRight" activeCell="K174" sqref="K174"/>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2" ht="13.5" customHeight="1" x14ac:dyDescent="0.25">
      <c r="A1" s="23" t="str">
        <f>muni&amp;" - "&amp;TableA34a</f>
        <v>EC101 Dr Beyers Naude - Supporting Table SA34a Capital expenditure on new assets by asset class</v>
      </c>
      <c r="B1" s="23"/>
      <c r="C1" s="23"/>
      <c r="D1" s="23"/>
      <c r="E1" s="23"/>
      <c r="F1" s="23"/>
      <c r="G1" s="23"/>
      <c r="H1" s="23"/>
      <c r="I1" s="23"/>
      <c r="J1" s="23"/>
      <c r="K1" s="23"/>
    </row>
    <row r="2" spans="1:12" ht="28.5" customHeight="1" x14ac:dyDescent="0.25">
      <c r="A2" s="614" t="str">
        <f>desc</f>
        <v>Description</v>
      </c>
      <c r="B2" s="220" t="str">
        <f>head27</f>
        <v>Ref</v>
      </c>
      <c r="C2" s="26" t="str">
        <f>head1b</f>
        <v>2015/16</v>
      </c>
      <c r="D2" s="475" t="str">
        <f>head1A</f>
        <v>2016/17</v>
      </c>
      <c r="E2" s="21" t="str">
        <f>Head1</f>
        <v>2017/18</v>
      </c>
      <c r="F2" s="1907" t="str">
        <f>Head2</f>
        <v>Current Year 2018/19</v>
      </c>
      <c r="G2" s="1908"/>
      <c r="H2" s="1912"/>
      <c r="I2" s="1904" t="str">
        <f>Head3</f>
        <v>2019/20 Medium Term Revenue &amp; Expenditure Framework</v>
      </c>
      <c r="J2" s="1905"/>
      <c r="K2" s="1906"/>
    </row>
    <row r="3" spans="1:12" ht="25.5" x14ac:dyDescent="0.25">
      <c r="A3" s="53" t="s">
        <v>573</v>
      </c>
      <c r="B3" s="615">
        <v>1</v>
      </c>
      <c r="C3" s="203" t="str">
        <f>Head5</f>
        <v>Audited Outcome</v>
      </c>
      <c r="D3" s="627" t="str">
        <f>Head5</f>
        <v>Audited Outcome</v>
      </c>
      <c r="E3" s="202"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2" ht="11.25" customHeight="1" x14ac:dyDescent="0.25">
      <c r="A4" s="539" t="s">
        <v>1086</v>
      </c>
      <c r="B4" s="136"/>
      <c r="C4" s="149"/>
      <c r="D4" s="149"/>
      <c r="E4" s="150"/>
      <c r="F4" s="151"/>
      <c r="G4" s="149"/>
      <c r="H4" s="152"/>
      <c r="I4" s="151"/>
      <c r="J4" s="149"/>
      <c r="K4" s="152"/>
    </row>
    <row r="5" spans="1:12" ht="4.9000000000000004" customHeight="1" x14ac:dyDescent="0.25">
      <c r="A5" s="54"/>
      <c r="B5" s="55"/>
      <c r="C5" s="153"/>
      <c r="D5" s="153"/>
      <c r="E5" s="154"/>
      <c r="F5" s="155"/>
      <c r="G5" s="153"/>
      <c r="H5" s="156"/>
      <c r="I5" s="155"/>
      <c r="J5" s="153"/>
      <c r="K5" s="156"/>
    </row>
    <row r="6" spans="1:12" ht="13.15" customHeight="1" x14ac:dyDescent="0.25">
      <c r="A6" s="54" t="s">
        <v>853</v>
      </c>
      <c r="B6" s="55"/>
      <c r="C6" s="86">
        <f>C7+C12+C16+C26+C37+C44+C52+C62+C68</f>
        <v>0</v>
      </c>
      <c r="D6" s="86">
        <f t="shared" ref="D6:K6" si="0">D7+D12+D16+D26+D37+D44+D52+D62+D68</f>
        <v>61436357</v>
      </c>
      <c r="E6" s="85">
        <f t="shared" si="0"/>
        <v>50383588</v>
      </c>
      <c r="F6" s="88">
        <f t="shared" si="0"/>
        <v>15000000</v>
      </c>
      <c r="G6" s="86">
        <f t="shared" si="0"/>
        <v>38854400</v>
      </c>
      <c r="H6" s="87">
        <f t="shared" si="0"/>
        <v>38854400</v>
      </c>
      <c r="I6" s="88">
        <f t="shared" si="0"/>
        <v>16106465.1</v>
      </c>
      <c r="J6" s="86">
        <f t="shared" si="0"/>
        <v>28050141</v>
      </c>
      <c r="K6" s="87">
        <f t="shared" si="0"/>
        <v>0</v>
      </c>
    </row>
    <row r="7" spans="1:12" s="877" customFormat="1" ht="13.15" customHeight="1" x14ac:dyDescent="0.25">
      <c r="A7" s="63" t="s">
        <v>2272</v>
      </c>
      <c r="B7" s="55"/>
      <c r="C7" s="185">
        <f t="shared" ref="C7:K7" si="1">SUM(C8:C11)</f>
        <v>0</v>
      </c>
      <c r="D7" s="185">
        <f t="shared" si="1"/>
        <v>31606045</v>
      </c>
      <c r="E7" s="759">
        <f t="shared" si="1"/>
        <v>18791156</v>
      </c>
      <c r="F7" s="217">
        <f t="shared" si="1"/>
        <v>0</v>
      </c>
      <c r="G7" s="185">
        <f t="shared" si="1"/>
        <v>0</v>
      </c>
      <c r="H7" s="699">
        <f t="shared" si="1"/>
        <v>0</v>
      </c>
      <c r="I7" s="217">
        <f t="shared" si="1"/>
        <v>0</v>
      </c>
      <c r="J7" s="185">
        <f t="shared" si="1"/>
        <v>0</v>
      </c>
      <c r="K7" s="699">
        <f t="shared" si="1"/>
        <v>0</v>
      </c>
      <c r="L7" s="25"/>
    </row>
    <row r="8" spans="1:12" s="877" customFormat="1" ht="13.15" customHeight="1" x14ac:dyDescent="0.25">
      <c r="A8" s="744" t="s">
        <v>638</v>
      </c>
      <c r="B8" s="55"/>
      <c r="C8" s="1316"/>
      <c r="D8" s="1316">
        <v>31606045</v>
      </c>
      <c r="E8" s="1317">
        <v>18791156</v>
      </c>
      <c r="F8" s="1318"/>
      <c r="G8" s="1316"/>
      <c r="H8" s="1319"/>
      <c r="I8" s="1318"/>
      <c r="J8" s="1316"/>
      <c r="K8" s="1319"/>
      <c r="L8" s="25"/>
    </row>
    <row r="9" spans="1:12" s="877" customFormat="1" ht="13.15" customHeight="1" x14ac:dyDescent="0.25">
      <c r="A9" s="744" t="s">
        <v>2273</v>
      </c>
      <c r="B9" s="55"/>
      <c r="C9" s="1316"/>
      <c r="D9" s="1316"/>
      <c r="E9" s="1317"/>
      <c r="F9" s="1318"/>
      <c r="G9" s="1316"/>
      <c r="H9" s="1319"/>
      <c r="I9" s="1318"/>
      <c r="J9" s="1316"/>
      <c r="K9" s="1319"/>
      <c r="L9" s="888"/>
    </row>
    <row r="10" spans="1:12" s="877" customFormat="1" ht="13.15" customHeight="1" x14ac:dyDescent="0.25">
      <c r="A10" s="744" t="s">
        <v>2274</v>
      </c>
      <c r="B10" s="55"/>
      <c r="C10" s="1316"/>
      <c r="D10" s="1316"/>
      <c r="E10" s="1317"/>
      <c r="F10" s="1318"/>
      <c r="G10" s="1316"/>
      <c r="H10" s="1319"/>
      <c r="I10" s="1318"/>
      <c r="J10" s="1316"/>
      <c r="K10" s="1319"/>
      <c r="L10" s="888"/>
    </row>
    <row r="11" spans="1:12" s="877" customFormat="1" ht="13.15" customHeight="1" x14ac:dyDescent="0.25">
      <c r="A11" s="744" t="s">
        <v>2275</v>
      </c>
      <c r="B11" s="55"/>
      <c r="C11" s="1316"/>
      <c r="D11" s="1316"/>
      <c r="E11" s="1317"/>
      <c r="F11" s="1318"/>
      <c r="G11" s="1316"/>
      <c r="H11" s="1319"/>
      <c r="I11" s="1318"/>
      <c r="J11" s="1316"/>
      <c r="K11" s="1319"/>
      <c r="L11" s="888"/>
    </row>
    <row r="12" spans="1:12" s="877" customFormat="1" ht="13.15" customHeight="1" x14ac:dyDescent="0.25">
      <c r="A12" s="63" t="s">
        <v>2276</v>
      </c>
      <c r="B12" s="55"/>
      <c r="C12" s="76">
        <f>SUM(C13:C15)</f>
        <v>0</v>
      </c>
      <c r="D12" s="76">
        <f t="shared" ref="D12:K12" si="2">SUM(D13:D15)</f>
        <v>0</v>
      </c>
      <c r="E12" s="332">
        <f t="shared" si="2"/>
        <v>0</v>
      </c>
      <c r="F12" s="79">
        <f t="shared" si="2"/>
        <v>0</v>
      </c>
      <c r="G12" s="76">
        <f t="shared" si="2"/>
        <v>0</v>
      </c>
      <c r="H12" s="333">
        <f t="shared" si="2"/>
        <v>0</v>
      </c>
      <c r="I12" s="79">
        <f t="shared" si="2"/>
        <v>0</v>
      </c>
      <c r="J12" s="76">
        <f t="shared" si="2"/>
        <v>0</v>
      </c>
      <c r="K12" s="333">
        <f t="shared" si="2"/>
        <v>0</v>
      </c>
      <c r="L12" s="888"/>
    </row>
    <row r="13" spans="1:12" s="877" customFormat="1" ht="13.15" customHeight="1" x14ac:dyDescent="0.25">
      <c r="A13" s="744" t="s">
        <v>2277</v>
      </c>
      <c r="B13" s="55"/>
      <c r="C13" s="1316"/>
      <c r="D13" s="1316"/>
      <c r="E13" s="1317"/>
      <c r="F13" s="1318"/>
      <c r="G13" s="1316"/>
      <c r="H13" s="1319"/>
      <c r="I13" s="1318"/>
      <c r="J13" s="1316"/>
      <c r="K13" s="1319"/>
      <c r="L13" s="888"/>
    </row>
    <row r="14" spans="1:12" s="877" customFormat="1" ht="13.15" customHeight="1" x14ac:dyDescent="0.25">
      <c r="A14" s="744" t="s">
        <v>2278</v>
      </c>
      <c r="B14" s="55"/>
      <c r="C14" s="1316"/>
      <c r="D14" s="1316"/>
      <c r="E14" s="1317"/>
      <c r="F14" s="1318"/>
      <c r="G14" s="1316"/>
      <c r="H14" s="1319"/>
      <c r="I14" s="1318"/>
      <c r="J14" s="1316"/>
      <c r="K14" s="1319"/>
      <c r="L14" s="888"/>
    </row>
    <row r="15" spans="1:12" s="877" customFormat="1" ht="13.15" customHeight="1" x14ac:dyDescent="0.25">
      <c r="A15" s="744" t="s">
        <v>2279</v>
      </c>
      <c r="B15" s="55"/>
      <c r="C15" s="1316"/>
      <c r="D15" s="1316"/>
      <c r="E15" s="1317"/>
      <c r="F15" s="1318"/>
      <c r="G15" s="1316"/>
      <c r="H15" s="1319"/>
      <c r="I15" s="1318"/>
      <c r="J15" s="1316"/>
      <c r="K15" s="1319"/>
      <c r="L15" s="888"/>
    </row>
    <row r="16" spans="1:12" s="877" customFormat="1" ht="13.15" customHeight="1" x14ac:dyDescent="0.25">
      <c r="A16" s="63" t="s">
        <v>2321</v>
      </c>
      <c r="B16" s="55"/>
      <c r="C16" s="76">
        <f t="shared" ref="C16:K16" si="3">SUM(C17:C25)</f>
        <v>0</v>
      </c>
      <c r="D16" s="76">
        <f t="shared" si="3"/>
        <v>2620464</v>
      </c>
      <c r="E16" s="332">
        <f t="shared" si="3"/>
        <v>11085220</v>
      </c>
      <c r="F16" s="79">
        <f t="shared" si="3"/>
        <v>0</v>
      </c>
      <c r="G16" s="76">
        <f t="shared" si="3"/>
        <v>0</v>
      </c>
      <c r="H16" s="333">
        <f t="shared" si="3"/>
        <v>0</v>
      </c>
      <c r="I16" s="79">
        <f t="shared" si="3"/>
        <v>0</v>
      </c>
      <c r="J16" s="76">
        <f t="shared" si="3"/>
        <v>0</v>
      </c>
      <c r="K16" s="333">
        <f t="shared" si="3"/>
        <v>0</v>
      </c>
      <c r="L16" s="888"/>
    </row>
    <row r="17" spans="1:12" s="877" customFormat="1" ht="13.15" customHeight="1" x14ac:dyDescent="0.25">
      <c r="A17" s="744" t="s">
        <v>2280</v>
      </c>
      <c r="B17" s="55"/>
      <c r="C17" s="1316"/>
      <c r="D17" s="1316"/>
      <c r="E17" s="1317"/>
      <c r="F17" s="1318"/>
      <c r="G17" s="1316"/>
      <c r="H17" s="1319"/>
      <c r="I17" s="1318"/>
      <c r="J17" s="1316"/>
      <c r="K17" s="1319"/>
      <c r="L17" s="888"/>
    </row>
    <row r="18" spans="1:12" s="877" customFormat="1" ht="13.15" customHeight="1" x14ac:dyDescent="0.25">
      <c r="A18" s="744" t="s">
        <v>2281</v>
      </c>
      <c r="B18" s="55"/>
      <c r="C18" s="1316"/>
      <c r="D18" s="1316"/>
      <c r="E18" s="1317"/>
      <c r="F18" s="1318"/>
      <c r="G18" s="1316"/>
      <c r="H18" s="1319"/>
      <c r="I18" s="1318"/>
      <c r="J18" s="1316"/>
      <c r="K18" s="1319"/>
      <c r="L18" s="888"/>
    </row>
    <row r="19" spans="1:12" s="877" customFormat="1" ht="13.15" customHeight="1" x14ac:dyDescent="0.25">
      <c r="A19" s="744" t="s">
        <v>2282</v>
      </c>
      <c r="B19" s="55"/>
      <c r="C19" s="1316"/>
      <c r="D19" s="1316"/>
      <c r="E19" s="1317"/>
      <c r="F19" s="1318"/>
      <c r="G19" s="1316"/>
      <c r="H19" s="1319"/>
      <c r="I19" s="1318"/>
      <c r="J19" s="1316"/>
      <c r="K19" s="1319"/>
      <c r="L19" s="888"/>
    </row>
    <row r="20" spans="1:12" s="877" customFormat="1" ht="13.15" customHeight="1" x14ac:dyDescent="0.25">
      <c r="A20" s="744" t="s">
        <v>2283</v>
      </c>
      <c r="B20" s="55"/>
      <c r="C20" s="1316"/>
      <c r="D20" s="1316"/>
      <c r="E20" s="1317"/>
      <c r="F20" s="1318"/>
      <c r="G20" s="1316"/>
      <c r="H20" s="1319"/>
      <c r="I20" s="1318"/>
      <c r="J20" s="1316"/>
      <c r="K20" s="1319"/>
      <c r="L20" s="888"/>
    </row>
    <row r="21" spans="1:12" s="877" customFormat="1" ht="13.15" customHeight="1" x14ac:dyDescent="0.25">
      <c r="A21" s="744" t="s">
        <v>2284</v>
      </c>
      <c r="B21" s="55"/>
      <c r="C21" s="1316"/>
      <c r="D21" s="1316"/>
      <c r="E21" s="1317"/>
      <c r="F21" s="1318"/>
      <c r="G21" s="1316"/>
      <c r="H21" s="1319"/>
      <c r="I21" s="1318"/>
      <c r="J21" s="1316"/>
      <c r="K21" s="1319"/>
      <c r="L21" s="888"/>
    </row>
    <row r="22" spans="1:12" s="877" customFormat="1" ht="13.15" customHeight="1" x14ac:dyDescent="0.25">
      <c r="A22" s="744" t="s">
        <v>2285</v>
      </c>
      <c r="B22" s="55"/>
      <c r="C22" s="1316"/>
      <c r="D22" s="1316">
        <v>2620464</v>
      </c>
      <c r="E22" s="1317">
        <v>11085220</v>
      </c>
      <c r="F22" s="1318"/>
      <c r="G22" s="1316"/>
      <c r="H22" s="1319"/>
      <c r="I22" s="1318"/>
      <c r="J22" s="1316"/>
      <c r="K22" s="1319"/>
      <c r="L22" s="25"/>
    </row>
    <row r="23" spans="1:12" s="877" customFormat="1" ht="13.15" customHeight="1" x14ac:dyDescent="0.25">
      <c r="A23" s="744" t="s">
        <v>2286</v>
      </c>
      <c r="B23" s="55"/>
      <c r="C23" s="1316"/>
      <c r="D23" s="1316"/>
      <c r="E23" s="1317"/>
      <c r="F23" s="1318"/>
      <c r="G23" s="1316"/>
      <c r="H23" s="1319"/>
      <c r="I23" s="1318"/>
      <c r="J23" s="1316"/>
      <c r="K23" s="1319"/>
      <c r="L23" s="888"/>
    </row>
    <row r="24" spans="1:12" s="877" customFormat="1" ht="13.15" customHeight="1" x14ac:dyDescent="0.25">
      <c r="A24" s="744" t="s">
        <v>2287</v>
      </c>
      <c r="B24" s="55"/>
      <c r="C24" s="1316"/>
      <c r="D24" s="1316"/>
      <c r="E24" s="1317"/>
      <c r="F24" s="1318"/>
      <c r="G24" s="1316"/>
      <c r="H24" s="1319"/>
      <c r="I24" s="1318"/>
      <c r="J24" s="1316"/>
      <c r="K24" s="1319"/>
      <c r="L24" s="888"/>
    </row>
    <row r="25" spans="1:12" s="877" customFormat="1" ht="13.15" customHeight="1" x14ac:dyDescent="0.25">
      <c r="A25" s="744" t="s">
        <v>2275</v>
      </c>
      <c r="B25" s="55"/>
      <c r="C25" s="1316"/>
      <c r="D25" s="1316"/>
      <c r="E25" s="1317"/>
      <c r="F25" s="1318"/>
      <c r="G25" s="1316"/>
      <c r="H25" s="1319"/>
      <c r="I25" s="1318"/>
      <c r="J25" s="1316"/>
      <c r="K25" s="1319"/>
      <c r="L25" s="888"/>
    </row>
    <row r="26" spans="1:12" ht="13.15" customHeight="1" x14ac:dyDescent="0.25">
      <c r="A26" s="63" t="s">
        <v>2322</v>
      </c>
      <c r="B26" s="55"/>
      <c r="C26" s="76">
        <f>SUM(C27:C36)</f>
        <v>0</v>
      </c>
      <c r="D26" s="76">
        <f t="shared" ref="D26:K26" si="4">SUM(D27:D36)</f>
        <v>2363741</v>
      </c>
      <c r="E26" s="332">
        <f t="shared" si="4"/>
        <v>14608261</v>
      </c>
      <c r="F26" s="79">
        <f t="shared" si="4"/>
        <v>14750000</v>
      </c>
      <c r="G26" s="76">
        <f t="shared" si="4"/>
        <v>38554400</v>
      </c>
      <c r="H26" s="333">
        <f t="shared" si="4"/>
        <v>38554400</v>
      </c>
      <c r="I26" s="79">
        <f t="shared" si="4"/>
        <v>13210000</v>
      </c>
      <c r="J26" s="76">
        <f t="shared" si="4"/>
        <v>28050141</v>
      </c>
      <c r="K26" s="333">
        <f t="shared" si="4"/>
        <v>0</v>
      </c>
    </row>
    <row r="27" spans="1:12" ht="13.15" customHeight="1" x14ac:dyDescent="0.25">
      <c r="A27" s="744" t="s">
        <v>2288</v>
      </c>
      <c r="B27" s="55"/>
      <c r="C27" s="1316"/>
      <c r="D27" s="1316"/>
      <c r="E27" s="1317"/>
      <c r="F27" s="1318"/>
      <c r="G27" s="1316">
        <v>0</v>
      </c>
      <c r="H27" s="1319">
        <v>0</v>
      </c>
      <c r="I27" s="1318"/>
      <c r="J27" s="1316"/>
      <c r="K27" s="1319"/>
    </row>
    <row r="28" spans="1:12" ht="13.15" customHeight="1" x14ac:dyDescent="0.25">
      <c r="A28" s="744" t="s">
        <v>2289</v>
      </c>
      <c r="B28" s="55"/>
      <c r="C28" s="1316"/>
      <c r="D28" s="1316"/>
      <c r="E28" s="1317"/>
      <c r="F28" s="1318"/>
      <c r="G28" s="1316">
        <v>0</v>
      </c>
      <c r="H28" s="1319">
        <v>0</v>
      </c>
      <c r="I28" s="1318"/>
      <c r="J28" s="1316"/>
      <c r="K28" s="1319"/>
      <c r="L28" s="888"/>
    </row>
    <row r="29" spans="1:12" ht="13.15" customHeight="1" x14ac:dyDescent="0.25">
      <c r="A29" s="744" t="s">
        <v>2290</v>
      </c>
      <c r="B29" s="55"/>
      <c r="C29" s="1316"/>
      <c r="D29" s="1316"/>
      <c r="E29" s="1317"/>
      <c r="F29" s="1318">
        <v>5000000</v>
      </c>
      <c r="G29" s="1316">
        <v>3000000</v>
      </c>
      <c r="H29" s="1319">
        <v>3000000</v>
      </c>
      <c r="I29" s="1318"/>
      <c r="J29" s="1316"/>
      <c r="K29" s="1319"/>
      <c r="L29" s="888"/>
    </row>
    <row r="30" spans="1:12" ht="13.15" customHeight="1" x14ac:dyDescent="0.25">
      <c r="A30" s="744" t="s">
        <v>2291</v>
      </c>
      <c r="B30" s="55"/>
      <c r="C30" s="1316"/>
      <c r="D30" s="1316"/>
      <c r="E30" s="1317"/>
      <c r="F30" s="1318"/>
      <c r="G30" s="1316">
        <v>0</v>
      </c>
      <c r="H30" s="1319">
        <v>0</v>
      </c>
      <c r="I30" s="1318"/>
      <c r="J30" s="1316"/>
      <c r="K30" s="1319"/>
      <c r="L30" s="888"/>
    </row>
    <row r="31" spans="1:12" ht="13.15" customHeight="1" x14ac:dyDescent="0.25">
      <c r="A31" s="744" t="s">
        <v>2292</v>
      </c>
      <c r="B31" s="55"/>
      <c r="C31" s="1316"/>
      <c r="D31" s="1316"/>
      <c r="E31" s="1317"/>
      <c r="F31" s="1318"/>
      <c r="G31" s="1316"/>
      <c r="H31" s="1319"/>
      <c r="I31" s="1318"/>
      <c r="J31" s="1316"/>
      <c r="K31" s="1319"/>
      <c r="L31" s="888"/>
    </row>
    <row r="32" spans="1:12" ht="13.15" customHeight="1" x14ac:dyDescent="0.25">
      <c r="A32" s="744" t="s">
        <v>2293</v>
      </c>
      <c r="B32" s="55"/>
      <c r="C32" s="1316"/>
      <c r="D32" s="1316"/>
      <c r="E32" s="1317"/>
      <c r="F32" s="1318"/>
      <c r="G32" s="1316">
        <v>0</v>
      </c>
      <c r="H32" s="1319">
        <v>0</v>
      </c>
      <c r="I32" s="1318"/>
      <c r="J32" s="1316"/>
      <c r="K32" s="1319"/>
      <c r="L32" s="888"/>
    </row>
    <row r="33" spans="1:12" ht="13.15" customHeight="1" x14ac:dyDescent="0.25">
      <c r="A33" s="744" t="s">
        <v>2294</v>
      </c>
      <c r="B33" s="55"/>
      <c r="C33" s="1316"/>
      <c r="D33" s="1316">
        <v>2363741</v>
      </c>
      <c r="E33" s="1317">
        <v>14608261</v>
      </c>
      <c r="F33" s="1318">
        <v>9750000</v>
      </c>
      <c r="G33" s="1316">
        <v>35554400</v>
      </c>
      <c r="H33" s="1319">
        <v>35554400</v>
      </c>
      <c r="I33" s="1318">
        <f>6210000+7000000</f>
        <v>13210000</v>
      </c>
      <c r="J33" s="1318">
        <v>28050141</v>
      </c>
      <c r="K33" s="1319"/>
      <c r="L33" s="888"/>
    </row>
    <row r="34" spans="1:12" ht="13.15" customHeight="1" x14ac:dyDescent="0.25">
      <c r="A34" s="744" t="s">
        <v>2295</v>
      </c>
      <c r="B34" s="55"/>
      <c r="C34" s="1316"/>
      <c r="D34" s="1316"/>
      <c r="E34" s="1317"/>
      <c r="F34" s="1318"/>
      <c r="G34" s="1316">
        <v>0</v>
      </c>
      <c r="H34" s="1319">
        <v>0</v>
      </c>
      <c r="I34" s="1318"/>
      <c r="J34" s="1316"/>
      <c r="K34" s="1319"/>
      <c r="L34" s="888"/>
    </row>
    <row r="35" spans="1:12" ht="13.15" customHeight="1" x14ac:dyDescent="0.25">
      <c r="A35" s="744" t="s">
        <v>2296</v>
      </c>
      <c r="B35" s="55"/>
      <c r="C35" s="1316"/>
      <c r="D35" s="1316"/>
      <c r="E35" s="1317"/>
      <c r="F35" s="1318"/>
      <c r="G35" s="1316">
        <v>0</v>
      </c>
      <c r="H35" s="1319">
        <v>0</v>
      </c>
      <c r="I35" s="1318"/>
      <c r="J35" s="1316"/>
      <c r="K35" s="1319"/>
      <c r="L35" s="888"/>
    </row>
    <row r="36" spans="1:12" ht="13.15" customHeight="1" x14ac:dyDescent="0.25">
      <c r="A36" s="744" t="s">
        <v>2275</v>
      </c>
      <c r="B36" s="55"/>
      <c r="C36" s="1316"/>
      <c r="D36" s="1316"/>
      <c r="E36" s="1317"/>
      <c r="F36" s="1318"/>
      <c r="G36" s="1316">
        <v>0</v>
      </c>
      <c r="H36" s="1319">
        <v>0</v>
      </c>
      <c r="I36" s="1318"/>
      <c r="J36" s="1316"/>
      <c r="K36" s="1319"/>
      <c r="L36" s="888"/>
    </row>
    <row r="37" spans="1:12" ht="13.15" customHeight="1" x14ac:dyDescent="0.25">
      <c r="A37" s="63" t="s">
        <v>2323</v>
      </c>
      <c r="B37" s="55"/>
      <c r="C37" s="76">
        <f>SUM(C38:C43)</f>
        <v>0</v>
      </c>
      <c r="D37" s="76">
        <f t="shared" ref="D37:K37" si="5">SUM(D38:D43)</f>
        <v>23367297</v>
      </c>
      <c r="E37" s="332">
        <f t="shared" si="5"/>
        <v>694121</v>
      </c>
      <c r="F37" s="79">
        <f t="shared" si="5"/>
        <v>0</v>
      </c>
      <c r="G37" s="76">
        <f t="shared" si="5"/>
        <v>300000</v>
      </c>
      <c r="H37" s="333">
        <f t="shared" si="5"/>
        <v>300000</v>
      </c>
      <c r="I37" s="79">
        <f t="shared" si="5"/>
        <v>0</v>
      </c>
      <c r="J37" s="76">
        <f t="shared" si="5"/>
        <v>0</v>
      </c>
      <c r="K37" s="333">
        <f t="shared" si="5"/>
        <v>0</v>
      </c>
      <c r="L37" s="888"/>
    </row>
    <row r="38" spans="1:12" ht="13.15" customHeight="1" x14ac:dyDescent="0.25">
      <c r="A38" s="744" t="s">
        <v>2297</v>
      </c>
      <c r="B38" s="55"/>
      <c r="C38" s="1316"/>
      <c r="D38" s="1316"/>
      <c r="E38" s="1317"/>
      <c r="F38" s="1318"/>
      <c r="G38" s="1316">
        <v>0</v>
      </c>
      <c r="H38" s="1319">
        <v>0</v>
      </c>
      <c r="I38" s="1318"/>
      <c r="J38" s="1316"/>
      <c r="K38" s="1319"/>
      <c r="L38" s="888"/>
    </row>
    <row r="39" spans="1:12" ht="13.15" customHeight="1" x14ac:dyDescent="0.25">
      <c r="A39" s="744" t="s">
        <v>25</v>
      </c>
      <c r="B39" s="55"/>
      <c r="C39" s="1316"/>
      <c r="D39" s="1316"/>
      <c r="E39" s="1317"/>
      <c r="F39" s="1318"/>
      <c r="G39" s="1316">
        <v>0</v>
      </c>
      <c r="H39" s="1319">
        <v>0</v>
      </c>
      <c r="I39" s="1318"/>
      <c r="J39" s="1316"/>
      <c r="K39" s="1319"/>
      <c r="L39" s="888"/>
    </row>
    <row r="40" spans="1:12" ht="13.15" customHeight="1" x14ac:dyDescent="0.25">
      <c r="A40" s="744" t="s">
        <v>2298</v>
      </c>
      <c r="B40" s="55"/>
      <c r="C40" s="1316"/>
      <c r="D40" s="1316">
        <v>23367297</v>
      </c>
      <c r="E40" s="1317">
        <v>694121</v>
      </c>
      <c r="F40" s="1318"/>
      <c r="G40" s="1316">
        <v>300000</v>
      </c>
      <c r="H40" s="1319">
        <v>300000</v>
      </c>
      <c r="I40" s="1318"/>
      <c r="J40" s="1316"/>
      <c r="K40" s="1319"/>
    </row>
    <row r="41" spans="1:12" ht="13.15" customHeight="1" x14ac:dyDescent="0.25">
      <c r="A41" s="744" t="s">
        <v>2299</v>
      </c>
      <c r="B41" s="55"/>
      <c r="C41" s="1316"/>
      <c r="D41" s="1316"/>
      <c r="E41" s="1317"/>
      <c r="F41" s="1318"/>
      <c r="G41" s="1316">
        <v>0</v>
      </c>
      <c r="H41" s="1319">
        <v>0</v>
      </c>
      <c r="I41" s="1318"/>
      <c r="J41" s="1316"/>
      <c r="K41" s="1319"/>
      <c r="L41" s="888"/>
    </row>
    <row r="42" spans="1:12" ht="13.15" customHeight="1" x14ac:dyDescent="0.25">
      <c r="A42" s="744" t="s">
        <v>2300</v>
      </c>
      <c r="B42" s="55"/>
      <c r="C42" s="1316"/>
      <c r="D42" s="1316"/>
      <c r="E42" s="1317"/>
      <c r="F42" s="1318"/>
      <c r="G42" s="1316">
        <v>0</v>
      </c>
      <c r="H42" s="1319">
        <v>0</v>
      </c>
      <c r="I42" s="1318"/>
      <c r="J42" s="1316"/>
      <c r="K42" s="1319"/>
    </row>
    <row r="43" spans="1:12" ht="13.15" customHeight="1" x14ac:dyDescent="0.25">
      <c r="A43" s="744" t="s">
        <v>2275</v>
      </c>
      <c r="B43" s="55"/>
      <c r="C43" s="1316"/>
      <c r="D43" s="1316"/>
      <c r="E43" s="1317"/>
      <c r="F43" s="1318"/>
      <c r="G43" s="1316">
        <v>0</v>
      </c>
      <c r="H43" s="1319">
        <v>0</v>
      </c>
      <c r="I43" s="1318"/>
      <c r="J43" s="1316"/>
      <c r="K43" s="1319"/>
    </row>
    <row r="44" spans="1:12" ht="13.15" customHeight="1" x14ac:dyDescent="0.25">
      <c r="A44" s="63" t="s">
        <v>2301</v>
      </c>
      <c r="B44" s="55"/>
      <c r="C44" s="76">
        <f>SUM(C45:C51)</f>
        <v>0</v>
      </c>
      <c r="D44" s="76">
        <f t="shared" ref="D44:K44" si="6">SUM(D45:D51)</f>
        <v>1478810</v>
      </c>
      <c r="E44" s="332">
        <f t="shared" si="6"/>
        <v>5204830</v>
      </c>
      <c r="F44" s="79">
        <f t="shared" si="6"/>
        <v>250000</v>
      </c>
      <c r="G44" s="76">
        <f t="shared" si="6"/>
        <v>0</v>
      </c>
      <c r="H44" s="333">
        <f t="shared" si="6"/>
        <v>0</v>
      </c>
      <c r="I44" s="79">
        <f t="shared" si="6"/>
        <v>2896465.1</v>
      </c>
      <c r="J44" s="76">
        <f t="shared" si="6"/>
        <v>0</v>
      </c>
      <c r="K44" s="333">
        <f t="shared" si="6"/>
        <v>0</v>
      </c>
    </row>
    <row r="45" spans="1:12" ht="13.15" customHeight="1" x14ac:dyDescent="0.25">
      <c r="A45" s="744" t="s">
        <v>2302</v>
      </c>
      <c r="B45" s="55"/>
      <c r="C45" s="1316"/>
      <c r="D45" s="1316">
        <v>1478810</v>
      </c>
      <c r="E45" s="1317">
        <v>5204830</v>
      </c>
      <c r="F45" s="1318"/>
      <c r="G45" s="1316"/>
      <c r="H45" s="1319"/>
      <c r="I45" s="1318">
        <v>2896465.1</v>
      </c>
      <c r="J45" s="1316"/>
      <c r="K45" s="1319"/>
    </row>
    <row r="46" spans="1:12" ht="13.15" customHeight="1" x14ac:dyDescent="0.25">
      <c r="A46" s="744" t="s">
        <v>2303</v>
      </c>
      <c r="B46" s="55"/>
      <c r="C46" s="1316"/>
      <c r="D46" s="1316"/>
      <c r="E46" s="1317"/>
      <c r="F46" s="1318"/>
      <c r="G46" s="1316"/>
      <c r="H46" s="1319"/>
      <c r="I46" s="1318"/>
      <c r="J46" s="1316"/>
      <c r="K46" s="1319"/>
    </row>
    <row r="47" spans="1:12" ht="13.15" customHeight="1" x14ac:dyDescent="0.25">
      <c r="A47" s="744" t="s">
        <v>2304</v>
      </c>
      <c r="B47" s="55"/>
      <c r="C47" s="1316"/>
      <c r="D47" s="1316"/>
      <c r="E47" s="1317"/>
      <c r="F47" s="1318"/>
      <c r="G47" s="1316"/>
      <c r="H47" s="1319"/>
      <c r="I47" s="1318"/>
      <c r="J47" s="1316"/>
      <c r="K47" s="1319"/>
    </row>
    <row r="48" spans="1:12" ht="13.15" customHeight="1" x14ac:dyDescent="0.25">
      <c r="A48" s="744" t="s">
        <v>2305</v>
      </c>
      <c r="B48" s="55"/>
      <c r="C48" s="1316"/>
      <c r="D48" s="1316"/>
      <c r="E48" s="1317"/>
      <c r="F48" s="1318">
        <v>250000</v>
      </c>
      <c r="G48" s="1316">
        <v>0</v>
      </c>
      <c r="H48" s="1319">
        <v>0</v>
      </c>
      <c r="I48" s="1318"/>
      <c r="J48" s="1316"/>
      <c r="K48" s="1319"/>
      <c r="L48" s="888"/>
    </row>
    <row r="49" spans="1:12" ht="13.15" customHeight="1" x14ac:dyDescent="0.25">
      <c r="A49" s="744" t="s">
        <v>2306</v>
      </c>
      <c r="B49" s="55"/>
      <c r="C49" s="1316"/>
      <c r="D49" s="1316"/>
      <c r="E49" s="1317"/>
      <c r="F49" s="1318"/>
      <c r="G49" s="1316"/>
      <c r="H49" s="1319"/>
      <c r="I49" s="1318"/>
      <c r="J49" s="1316"/>
      <c r="K49" s="1319"/>
    </row>
    <row r="50" spans="1:12" ht="13.15" customHeight="1" x14ac:dyDescent="0.25">
      <c r="A50" s="744" t="s">
        <v>2307</v>
      </c>
      <c r="B50" s="55"/>
      <c r="C50" s="1316"/>
      <c r="D50" s="1316"/>
      <c r="E50" s="1317"/>
      <c r="F50" s="1318"/>
      <c r="G50" s="1316"/>
      <c r="H50" s="1319"/>
      <c r="I50" s="1318"/>
      <c r="J50" s="1316"/>
      <c r="K50" s="1319"/>
    </row>
    <row r="51" spans="1:12" ht="13.15" customHeight="1" x14ac:dyDescent="0.25">
      <c r="A51" s="744" t="s">
        <v>2275</v>
      </c>
      <c r="B51" s="55"/>
      <c r="C51" s="1316"/>
      <c r="D51" s="1316"/>
      <c r="E51" s="1317"/>
      <c r="F51" s="1318"/>
      <c r="G51" s="1316"/>
      <c r="H51" s="1319"/>
      <c r="I51" s="1318"/>
      <c r="J51" s="1316"/>
      <c r="K51" s="1319"/>
    </row>
    <row r="52" spans="1:12" ht="13.15" customHeight="1" x14ac:dyDescent="0.25">
      <c r="A52" s="63" t="s">
        <v>2317</v>
      </c>
      <c r="B52" s="55"/>
      <c r="C52" s="76">
        <f t="shared" ref="C52:K52" si="7">SUM(C53:C61)</f>
        <v>0</v>
      </c>
      <c r="D52" s="76">
        <f t="shared" si="7"/>
        <v>0</v>
      </c>
      <c r="E52" s="332">
        <f t="shared" si="7"/>
        <v>0</v>
      </c>
      <c r="F52" s="79">
        <f t="shared" si="7"/>
        <v>0</v>
      </c>
      <c r="G52" s="76">
        <f t="shared" si="7"/>
        <v>0</v>
      </c>
      <c r="H52" s="333">
        <f t="shared" si="7"/>
        <v>0</v>
      </c>
      <c r="I52" s="79">
        <f t="shared" si="7"/>
        <v>0</v>
      </c>
      <c r="J52" s="76">
        <f t="shared" si="7"/>
        <v>0</v>
      </c>
      <c r="K52" s="333">
        <f t="shared" si="7"/>
        <v>0</v>
      </c>
      <c r="L52" s="888"/>
    </row>
    <row r="53" spans="1:12" ht="13.15" customHeight="1" x14ac:dyDescent="0.25">
      <c r="A53" s="744" t="s">
        <v>2318</v>
      </c>
      <c r="B53" s="55"/>
      <c r="C53" s="1316"/>
      <c r="D53" s="1316"/>
      <c r="E53" s="1317"/>
      <c r="F53" s="1318"/>
      <c r="G53" s="1316"/>
      <c r="H53" s="1319"/>
      <c r="I53" s="1318"/>
      <c r="J53" s="1316"/>
      <c r="K53" s="1319"/>
    </row>
    <row r="54" spans="1:12" ht="13.15" customHeight="1" x14ac:dyDescent="0.25">
      <c r="A54" s="744" t="s">
        <v>2319</v>
      </c>
      <c r="B54" s="55"/>
      <c r="C54" s="1316"/>
      <c r="D54" s="1316"/>
      <c r="E54" s="1317"/>
      <c r="F54" s="1318"/>
      <c r="G54" s="1316"/>
      <c r="H54" s="1319"/>
      <c r="I54" s="1318"/>
      <c r="J54" s="1316"/>
      <c r="K54" s="1319"/>
      <c r="L54" s="888"/>
    </row>
    <row r="55" spans="1:12" ht="13.15" customHeight="1" x14ac:dyDescent="0.25">
      <c r="A55" s="744" t="s">
        <v>2320</v>
      </c>
      <c r="B55" s="55"/>
      <c r="C55" s="1316"/>
      <c r="D55" s="1316"/>
      <c r="E55" s="1317"/>
      <c r="F55" s="1318"/>
      <c r="G55" s="1316"/>
      <c r="H55" s="1319"/>
      <c r="I55" s="1318"/>
      <c r="J55" s="1316"/>
      <c r="K55" s="1319"/>
      <c r="L55" s="888"/>
    </row>
    <row r="56" spans="1:12" ht="13.15" customHeight="1" x14ac:dyDescent="0.25">
      <c r="A56" s="744" t="s">
        <v>2277</v>
      </c>
      <c r="B56" s="55"/>
      <c r="C56" s="1316"/>
      <c r="D56" s="1316"/>
      <c r="E56" s="1317"/>
      <c r="F56" s="1318"/>
      <c r="G56" s="1316"/>
      <c r="H56" s="1319"/>
      <c r="I56" s="1318"/>
      <c r="J56" s="1316"/>
      <c r="K56" s="1319"/>
      <c r="L56" s="888"/>
    </row>
    <row r="57" spans="1:12" ht="13.15" customHeight="1" x14ac:dyDescent="0.25">
      <c r="A57" s="744" t="s">
        <v>2278</v>
      </c>
      <c r="B57" s="55"/>
      <c r="C57" s="1316"/>
      <c r="D57" s="1316"/>
      <c r="E57" s="1317"/>
      <c r="F57" s="1318"/>
      <c r="G57" s="1316"/>
      <c r="H57" s="1319"/>
      <c r="I57" s="1318"/>
      <c r="J57" s="1316"/>
      <c r="K57" s="1319"/>
      <c r="L57" s="888"/>
    </row>
    <row r="58" spans="1:12" ht="13.15" customHeight="1" x14ac:dyDescent="0.25">
      <c r="A58" s="744" t="s">
        <v>2279</v>
      </c>
      <c r="B58" s="55"/>
      <c r="C58" s="1316"/>
      <c r="D58" s="1316"/>
      <c r="E58" s="1317"/>
      <c r="F58" s="1318"/>
      <c r="G58" s="1316"/>
      <c r="H58" s="1319"/>
      <c r="I58" s="1318"/>
      <c r="J58" s="1316"/>
      <c r="K58" s="1319"/>
    </row>
    <row r="59" spans="1:12" ht="13.15" customHeight="1" x14ac:dyDescent="0.25">
      <c r="A59" s="744" t="s">
        <v>2284</v>
      </c>
      <c r="B59" s="55"/>
      <c r="C59" s="1316"/>
      <c r="D59" s="1316"/>
      <c r="E59" s="1317"/>
      <c r="F59" s="1318"/>
      <c r="G59" s="1316"/>
      <c r="H59" s="1319"/>
      <c r="I59" s="1318"/>
      <c r="J59" s="1316"/>
      <c r="K59" s="1319"/>
      <c r="L59" s="888"/>
    </row>
    <row r="60" spans="1:12" ht="13.15" customHeight="1" x14ac:dyDescent="0.25">
      <c r="A60" s="744" t="s">
        <v>2287</v>
      </c>
      <c r="B60" s="55"/>
      <c r="C60" s="1316"/>
      <c r="D60" s="1316"/>
      <c r="E60" s="1317"/>
      <c r="F60" s="1318"/>
      <c r="G60" s="1316"/>
      <c r="H60" s="1319"/>
      <c r="I60" s="1318"/>
      <c r="J60" s="1316"/>
      <c r="K60" s="1319"/>
      <c r="L60" s="888"/>
    </row>
    <row r="61" spans="1:12" ht="13.15" customHeight="1" x14ac:dyDescent="0.25">
      <c r="A61" s="744" t="s">
        <v>2275</v>
      </c>
      <c r="B61" s="55"/>
      <c r="C61" s="1316"/>
      <c r="D61" s="1316"/>
      <c r="E61" s="1317"/>
      <c r="F61" s="1318"/>
      <c r="G61" s="1316"/>
      <c r="H61" s="1319"/>
      <c r="I61" s="1318"/>
      <c r="J61" s="1316"/>
      <c r="K61" s="1319"/>
      <c r="L61" s="888"/>
    </row>
    <row r="62" spans="1:12" ht="13.15" customHeight="1" x14ac:dyDescent="0.25">
      <c r="A62" s="63" t="s">
        <v>2312</v>
      </c>
      <c r="B62" s="55"/>
      <c r="C62" s="76">
        <f>SUM(C63:C67)</f>
        <v>0</v>
      </c>
      <c r="D62" s="76">
        <f t="shared" ref="D62:K62" si="8">SUM(D63:D67)</f>
        <v>0</v>
      </c>
      <c r="E62" s="332">
        <f t="shared" si="8"/>
        <v>0</v>
      </c>
      <c r="F62" s="79">
        <f t="shared" si="8"/>
        <v>0</v>
      </c>
      <c r="G62" s="76">
        <f t="shared" si="8"/>
        <v>0</v>
      </c>
      <c r="H62" s="333">
        <f t="shared" si="8"/>
        <v>0</v>
      </c>
      <c r="I62" s="79">
        <f t="shared" si="8"/>
        <v>0</v>
      </c>
      <c r="J62" s="76">
        <f t="shared" si="8"/>
        <v>0</v>
      </c>
      <c r="K62" s="333">
        <f t="shared" si="8"/>
        <v>0</v>
      </c>
      <c r="L62" s="888"/>
    </row>
    <row r="63" spans="1:12" ht="13.15" customHeight="1" x14ac:dyDescent="0.25">
      <c r="A63" s="744" t="s">
        <v>2313</v>
      </c>
      <c r="B63" s="55"/>
      <c r="C63" s="1316"/>
      <c r="D63" s="1316"/>
      <c r="E63" s="1317"/>
      <c r="F63" s="1318"/>
      <c r="G63" s="1316"/>
      <c r="H63" s="1319"/>
      <c r="I63" s="1318"/>
      <c r="J63" s="1316"/>
      <c r="K63" s="1319"/>
      <c r="L63" s="888"/>
    </row>
    <row r="64" spans="1:12" ht="13.15" customHeight="1" x14ac:dyDescent="0.25">
      <c r="A64" s="744" t="s">
        <v>2314</v>
      </c>
      <c r="B64" s="55"/>
      <c r="C64" s="1316"/>
      <c r="D64" s="1316"/>
      <c r="E64" s="1317"/>
      <c r="F64" s="1318"/>
      <c r="G64" s="1316"/>
      <c r="H64" s="1319"/>
      <c r="I64" s="1318"/>
      <c r="J64" s="1316"/>
      <c r="K64" s="1319"/>
    </row>
    <row r="65" spans="1:11" ht="13.15" customHeight="1" x14ac:dyDescent="0.25">
      <c r="A65" s="744" t="s">
        <v>2315</v>
      </c>
      <c r="B65" s="55"/>
      <c r="C65" s="1316"/>
      <c r="D65" s="1316"/>
      <c r="E65" s="1317"/>
      <c r="F65" s="1318"/>
      <c r="G65" s="1316"/>
      <c r="H65" s="1319"/>
      <c r="I65" s="1318"/>
      <c r="J65" s="1316"/>
      <c r="K65" s="1319"/>
    </row>
    <row r="66" spans="1:11" ht="13.15" customHeight="1" x14ac:dyDescent="0.25">
      <c r="A66" s="744" t="s">
        <v>2316</v>
      </c>
      <c r="B66" s="55"/>
      <c r="C66" s="1316"/>
      <c r="D66" s="1316"/>
      <c r="E66" s="1317"/>
      <c r="F66" s="1318"/>
      <c r="G66" s="1316"/>
      <c r="H66" s="1319"/>
      <c r="I66" s="1318"/>
      <c r="J66" s="1316"/>
      <c r="K66" s="1319"/>
    </row>
    <row r="67" spans="1:11" ht="13.15" customHeight="1" x14ac:dyDescent="0.25">
      <c r="A67" s="744" t="s">
        <v>2275</v>
      </c>
      <c r="B67" s="55"/>
      <c r="C67" s="1316"/>
      <c r="D67" s="1316"/>
      <c r="E67" s="1317"/>
      <c r="F67" s="1318"/>
      <c r="G67" s="1316"/>
      <c r="H67" s="1319"/>
      <c r="I67" s="1318"/>
      <c r="J67" s="1316"/>
      <c r="K67" s="1319"/>
    </row>
    <row r="68" spans="1:11" ht="13.15" customHeight="1" x14ac:dyDescent="0.25">
      <c r="A68" s="63" t="s">
        <v>2308</v>
      </c>
      <c r="B68" s="55"/>
      <c r="C68" s="76">
        <f>SUM(C69:C72)</f>
        <v>0</v>
      </c>
      <c r="D68" s="76">
        <f t="shared" ref="D68:K68" si="9">SUM(D69:D72)</f>
        <v>0</v>
      </c>
      <c r="E68" s="332">
        <f t="shared" si="9"/>
        <v>0</v>
      </c>
      <c r="F68" s="79">
        <f t="shared" si="9"/>
        <v>0</v>
      </c>
      <c r="G68" s="76">
        <f t="shared" si="9"/>
        <v>0</v>
      </c>
      <c r="H68" s="333">
        <f t="shared" si="9"/>
        <v>0</v>
      </c>
      <c r="I68" s="79">
        <f t="shared" si="9"/>
        <v>0</v>
      </c>
      <c r="J68" s="76">
        <f t="shared" si="9"/>
        <v>0</v>
      </c>
      <c r="K68" s="333">
        <f t="shared" si="9"/>
        <v>0</v>
      </c>
    </row>
    <row r="69" spans="1:11" ht="13.15" customHeight="1" x14ac:dyDescent="0.25">
      <c r="A69" s="744" t="s">
        <v>2309</v>
      </c>
      <c r="B69" s="55"/>
      <c r="C69" s="1316"/>
      <c r="D69" s="1316"/>
      <c r="E69" s="1317"/>
      <c r="F69" s="1318"/>
      <c r="G69" s="1316"/>
      <c r="H69" s="1319"/>
      <c r="I69" s="1318"/>
      <c r="J69" s="1316"/>
      <c r="K69" s="1319"/>
    </row>
    <row r="70" spans="1:11" ht="13.15" customHeight="1" x14ac:dyDescent="0.25">
      <c r="A70" s="744" t="s">
        <v>2310</v>
      </c>
      <c r="B70" s="55"/>
      <c r="C70" s="1316"/>
      <c r="D70" s="1316"/>
      <c r="E70" s="1317"/>
      <c r="F70" s="1318"/>
      <c r="G70" s="1316"/>
      <c r="H70" s="1319"/>
      <c r="I70" s="1318"/>
      <c r="J70" s="1316"/>
      <c r="K70" s="1319"/>
    </row>
    <row r="71" spans="1:11" ht="13.15" customHeight="1" x14ac:dyDescent="0.25">
      <c r="A71" s="744" t="s">
        <v>2311</v>
      </c>
      <c r="B71" s="55"/>
      <c r="C71" s="1316"/>
      <c r="D71" s="1316"/>
      <c r="E71" s="1317"/>
      <c r="F71" s="1318"/>
      <c r="G71" s="1316"/>
      <c r="H71" s="1319"/>
      <c r="I71" s="1318"/>
      <c r="J71" s="1316"/>
      <c r="K71" s="1319"/>
    </row>
    <row r="72" spans="1:11" ht="13.15" customHeight="1" x14ac:dyDescent="0.25">
      <c r="A72" s="744" t="s">
        <v>2275</v>
      </c>
      <c r="B72" s="55"/>
      <c r="C72" s="1316"/>
      <c r="D72" s="1316"/>
      <c r="E72" s="1317"/>
      <c r="F72" s="1318"/>
      <c r="G72" s="1316"/>
      <c r="H72" s="1319"/>
      <c r="I72" s="1318"/>
      <c r="J72" s="1316"/>
      <c r="K72" s="1319"/>
    </row>
    <row r="73" spans="1:11" ht="4.9000000000000004" customHeight="1" x14ac:dyDescent="0.25">
      <c r="A73" s="74"/>
      <c r="B73" s="55"/>
      <c r="C73" s="76"/>
      <c r="D73" s="76"/>
      <c r="E73" s="75"/>
      <c r="F73" s="78"/>
      <c r="G73" s="76"/>
      <c r="H73" s="77"/>
      <c r="I73" s="78"/>
      <c r="J73" s="76"/>
      <c r="K73" s="77"/>
    </row>
    <row r="74" spans="1:11" ht="13.15" customHeight="1" x14ac:dyDescent="0.25">
      <c r="A74" s="54" t="s">
        <v>2324</v>
      </c>
      <c r="B74" s="55"/>
      <c r="C74" s="86">
        <f>C75+C98</f>
        <v>0</v>
      </c>
      <c r="D74" s="86">
        <f t="shared" ref="D74:K74" si="10">D75+D98</f>
        <v>157672</v>
      </c>
      <c r="E74" s="85">
        <f t="shared" si="10"/>
        <v>1371961</v>
      </c>
      <c r="F74" s="88">
        <f t="shared" si="10"/>
        <v>0</v>
      </c>
      <c r="G74" s="86">
        <f t="shared" si="10"/>
        <v>300000</v>
      </c>
      <c r="H74" s="87">
        <f t="shared" si="10"/>
        <v>300000</v>
      </c>
      <c r="I74" s="88">
        <f t="shared" si="10"/>
        <v>0</v>
      </c>
      <c r="J74" s="86">
        <f t="shared" si="10"/>
        <v>3000000</v>
      </c>
      <c r="K74" s="87">
        <f t="shared" si="10"/>
        <v>0</v>
      </c>
    </row>
    <row r="75" spans="1:11" ht="13.15" customHeight="1" x14ac:dyDescent="0.25">
      <c r="A75" s="63" t="s">
        <v>2325</v>
      </c>
      <c r="B75" s="55"/>
      <c r="C75" s="185">
        <f>SUM(C76:C97)</f>
        <v>0</v>
      </c>
      <c r="D75" s="185">
        <f t="shared" ref="D75:K75" si="11">SUM(D76:D97)</f>
        <v>0</v>
      </c>
      <c r="E75" s="759">
        <f t="shared" si="11"/>
        <v>0</v>
      </c>
      <c r="F75" s="217">
        <f t="shared" si="11"/>
        <v>0</v>
      </c>
      <c r="G75" s="185">
        <f t="shared" si="11"/>
        <v>300000</v>
      </c>
      <c r="H75" s="699">
        <f t="shared" si="11"/>
        <v>300000</v>
      </c>
      <c r="I75" s="217">
        <f t="shared" si="11"/>
        <v>0</v>
      </c>
      <c r="J75" s="185">
        <f t="shared" si="11"/>
        <v>3000000</v>
      </c>
      <c r="K75" s="699">
        <f t="shared" si="11"/>
        <v>0</v>
      </c>
    </row>
    <row r="76" spans="1:11" ht="13.15" customHeight="1" x14ac:dyDescent="0.25">
      <c r="A76" s="744" t="s">
        <v>2326</v>
      </c>
      <c r="B76" s="55"/>
      <c r="C76" s="1316"/>
      <c r="D76" s="1316"/>
      <c r="E76" s="1317"/>
      <c r="F76" s="1318"/>
      <c r="G76" s="1316"/>
      <c r="H76" s="1319"/>
      <c r="I76" s="1318"/>
      <c r="J76" s="1316"/>
      <c r="K76" s="1319"/>
    </row>
    <row r="77" spans="1:11" ht="13.15" customHeight="1" x14ac:dyDescent="0.25">
      <c r="A77" s="744" t="s">
        <v>2327</v>
      </c>
      <c r="B77" s="55"/>
      <c r="C77" s="1316"/>
      <c r="D77" s="1316"/>
      <c r="E77" s="1317"/>
      <c r="F77" s="1318"/>
      <c r="G77" s="1316">
        <v>300000</v>
      </c>
      <c r="H77" s="1319">
        <v>300000</v>
      </c>
      <c r="I77" s="1318"/>
      <c r="J77" s="1316"/>
      <c r="K77" s="1319"/>
    </row>
    <row r="78" spans="1:11" ht="13.15" customHeight="1" x14ac:dyDescent="0.25">
      <c r="A78" s="744" t="s">
        <v>2328</v>
      </c>
      <c r="B78" s="55"/>
      <c r="C78" s="1316"/>
      <c r="D78" s="1316"/>
      <c r="E78" s="1317"/>
      <c r="F78" s="1318"/>
      <c r="G78" s="1316"/>
      <c r="H78" s="1319"/>
      <c r="I78" s="1318"/>
      <c r="J78" s="1316"/>
      <c r="K78" s="1319"/>
    </row>
    <row r="79" spans="1:11" ht="13.15" customHeight="1" x14ac:dyDescent="0.25">
      <c r="A79" s="744" t="s">
        <v>2329</v>
      </c>
      <c r="B79" s="55"/>
      <c r="C79" s="1316"/>
      <c r="D79" s="1316"/>
      <c r="E79" s="1317"/>
      <c r="F79" s="1318"/>
      <c r="G79" s="1316"/>
      <c r="H79" s="1319"/>
      <c r="I79" s="1318"/>
      <c r="J79" s="1316"/>
      <c r="K79" s="1319"/>
    </row>
    <row r="80" spans="1:11" ht="13.15" customHeight="1" x14ac:dyDescent="0.25">
      <c r="A80" s="744" t="s">
        <v>2330</v>
      </c>
      <c r="B80" s="55"/>
      <c r="C80" s="1316"/>
      <c r="D80" s="1316"/>
      <c r="E80" s="1317"/>
      <c r="F80" s="1318"/>
      <c r="G80" s="1316"/>
      <c r="H80" s="1319"/>
      <c r="I80" s="1318"/>
      <c r="J80" s="1316"/>
      <c r="K80" s="1319"/>
    </row>
    <row r="81" spans="1:12" ht="13.15" customHeight="1" x14ac:dyDescent="0.25">
      <c r="A81" s="744" t="s">
        <v>2331</v>
      </c>
      <c r="B81" s="55"/>
      <c r="C81" s="1316"/>
      <c r="D81" s="1316"/>
      <c r="E81" s="1317"/>
      <c r="F81" s="1318"/>
      <c r="G81" s="1316"/>
      <c r="H81" s="1319"/>
      <c r="I81" s="1318"/>
      <c r="J81" s="1316"/>
      <c r="K81" s="1319"/>
    </row>
    <row r="82" spans="1:12" ht="13.15" customHeight="1" x14ac:dyDescent="0.25">
      <c r="A82" s="744" t="s">
        <v>2332</v>
      </c>
      <c r="B82" s="55"/>
      <c r="C82" s="1316"/>
      <c r="D82" s="1316"/>
      <c r="E82" s="1317"/>
      <c r="F82" s="1318"/>
      <c r="G82" s="1316"/>
      <c r="H82" s="1319"/>
      <c r="I82" s="1318"/>
      <c r="J82" s="1316"/>
      <c r="K82" s="1319"/>
    </row>
    <row r="83" spans="1:12" ht="13.15" customHeight="1" x14ac:dyDescent="0.25">
      <c r="A83" s="744" t="s">
        <v>2333</v>
      </c>
      <c r="B83" s="55"/>
      <c r="C83" s="1316"/>
      <c r="D83" s="1316"/>
      <c r="E83" s="1317"/>
      <c r="F83" s="1318"/>
      <c r="G83" s="1316"/>
      <c r="H83" s="1319"/>
      <c r="I83" s="1318"/>
      <c r="J83" s="1316"/>
      <c r="K83" s="1319"/>
    </row>
    <row r="84" spans="1:12" s="464" customFormat="1" ht="13.15" customHeight="1" x14ac:dyDescent="0.25">
      <c r="A84" s="744" t="s">
        <v>2334</v>
      </c>
      <c r="B84" s="55"/>
      <c r="C84" s="1316"/>
      <c r="D84" s="1316"/>
      <c r="E84" s="1317"/>
      <c r="F84" s="1318"/>
      <c r="G84" s="1316"/>
      <c r="H84" s="1319"/>
      <c r="I84" s="1318"/>
      <c r="J84" s="1316"/>
      <c r="K84" s="1319"/>
      <c r="L84" s="770"/>
    </row>
    <row r="85" spans="1:12" s="464" customFormat="1" ht="13.15" customHeight="1" x14ac:dyDescent="0.25">
      <c r="A85" s="744" t="s">
        <v>289</v>
      </c>
      <c r="B85" s="55"/>
      <c r="C85" s="1316"/>
      <c r="D85" s="1316"/>
      <c r="E85" s="1317"/>
      <c r="F85" s="1318"/>
      <c r="G85" s="1316"/>
      <c r="H85" s="1319"/>
      <c r="I85" s="1318"/>
      <c r="J85" s="1316"/>
      <c r="K85" s="1319"/>
    </row>
    <row r="86" spans="1:12" s="464" customFormat="1" ht="13.15" customHeight="1" x14ac:dyDescent="0.25">
      <c r="A86" s="744" t="s">
        <v>2335</v>
      </c>
      <c r="B86" s="55"/>
      <c r="C86" s="1316"/>
      <c r="D86" s="1316"/>
      <c r="E86" s="1317"/>
      <c r="F86" s="1318"/>
      <c r="G86" s="1316"/>
      <c r="H86" s="1319"/>
      <c r="I86" s="1318"/>
      <c r="J86" s="1316">
        <v>3000000</v>
      </c>
      <c r="K86" s="1319"/>
    </row>
    <row r="87" spans="1:12" ht="13.15" customHeight="1" x14ac:dyDescent="0.25">
      <c r="A87" s="744" t="s">
        <v>1470</v>
      </c>
      <c r="B87" s="55"/>
      <c r="C87" s="1316"/>
      <c r="D87" s="1316"/>
      <c r="E87" s="1317"/>
      <c r="F87" s="1318"/>
      <c r="G87" s="1316"/>
      <c r="H87" s="1319"/>
      <c r="I87" s="1318"/>
      <c r="J87" s="1316"/>
      <c r="K87" s="1319"/>
    </row>
    <row r="88" spans="1:12" ht="13.15" customHeight="1" x14ac:dyDescent="0.25">
      <c r="A88" s="744" t="s">
        <v>2512</v>
      </c>
      <c r="B88" s="55"/>
      <c r="C88" s="1316"/>
      <c r="D88" s="1316"/>
      <c r="E88" s="1317"/>
      <c r="F88" s="1318"/>
      <c r="G88" s="1316"/>
      <c r="H88" s="1319"/>
      <c r="I88" s="1318"/>
      <c r="J88" s="1316"/>
      <c r="K88" s="1319"/>
    </row>
    <row r="89" spans="1:12" ht="13.15" customHeight="1" x14ac:dyDescent="0.25">
      <c r="A89" s="744" t="s">
        <v>2337</v>
      </c>
      <c r="B89" s="55"/>
      <c r="C89" s="1316"/>
      <c r="D89" s="1316"/>
      <c r="E89" s="1317"/>
      <c r="F89" s="1318"/>
      <c r="G89" s="1316"/>
      <c r="H89" s="1319"/>
      <c r="I89" s="1318"/>
      <c r="J89" s="1316"/>
      <c r="K89" s="1319"/>
    </row>
    <row r="90" spans="1:12" ht="13.15" customHeight="1" x14ac:dyDescent="0.25">
      <c r="A90" s="744" t="s">
        <v>2338</v>
      </c>
      <c r="B90" s="55"/>
      <c r="C90" s="1316"/>
      <c r="D90" s="1316"/>
      <c r="E90" s="1317"/>
      <c r="F90" s="1318"/>
      <c r="G90" s="1316"/>
      <c r="H90" s="1319"/>
      <c r="I90" s="1318"/>
      <c r="J90" s="1316"/>
      <c r="K90" s="1319"/>
    </row>
    <row r="91" spans="1:12" ht="13.15" customHeight="1" x14ac:dyDescent="0.25">
      <c r="A91" s="744" t="s">
        <v>2339</v>
      </c>
      <c r="B91" s="55"/>
      <c r="C91" s="1316"/>
      <c r="D91" s="1316"/>
      <c r="E91" s="1317"/>
      <c r="F91" s="1318"/>
      <c r="G91" s="1316"/>
      <c r="H91" s="1319"/>
      <c r="I91" s="1318"/>
      <c r="J91" s="1316"/>
      <c r="K91" s="1319"/>
    </row>
    <row r="92" spans="1:12" ht="13.15" customHeight="1" x14ac:dyDescent="0.25">
      <c r="A92" s="744" t="s">
        <v>1097</v>
      </c>
      <c r="B92" s="55"/>
      <c r="C92" s="1316"/>
      <c r="D92" s="1316"/>
      <c r="E92" s="1317"/>
      <c r="F92" s="1318"/>
      <c r="G92" s="1316"/>
      <c r="H92" s="1319"/>
      <c r="I92" s="1318"/>
      <c r="J92" s="1316"/>
      <c r="K92" s="1319"/>
    </row>
    <row r="93" spans="1:12" ht="13.15" customHeight="1" x14ac:dyDescent="0.25">
      <c r="A93" s="744" t="s">
        <v>2340</v>
      </c>
      <c r="B93" s="55"/>
      <c r="C93" s="1316"/>
      <c r="D93" s="1316"/>
      <c r="E93" s="1317"/>
      <c r="F93" s="1318"/>
      <c r="G93" s="1316"/>
      <c r="H93" s="1319"/>
      <c r="I93" s="1318"/>
      <c r="J93" s="1316"/>
      <c r="K93" s="1319"/>
    </row>
    <row r="94" spans="1:12" ht="13.15" customHeight="1" x14ac:dyDescent="0.25">
      <c r="A94" s="744" t="s">
        <v>1096</v>
      </c>
      <c r="B94" s="55"/>
      <c r="C94" s="1316"/>
      <c r="D94" s="1316"/>
      <c r="E94" s="1317"/>
      <c r="F94" s="1318"/>
      <c r="G94" s="1316"/>
      <c r="H94" s="1319"/>
      <c r="I94" s="1318"/>
      <c r="J94" s="1316"/>
      <c r="K94" s="1319"/>
    </row>
    <row r="95" spans="1:12" ht="13.15" customHeight="1" x14ac:dyDescent="0.25">
      <c r="A95" s="744" t="s">
        <v>2341</v>
      </c>
      <c r="B95" s="55"/>
      <c r="C95" s="1316"/>
      <c r="D95" s="1316"/>
      <c r="E95" s="1317"/>
      <c r="F95" s="1318"/>
      <c r="G95" s="1316"/>
      <c r="H95" s="1319"/>
      <c r="I95" s="1318"/>
      <c r="J95" s="1316"/>
      <c r="K95" s="1319"/>
    </row>
    <row r="96" spans="1:12" ht="13.15" customHeight="1" x14ac:dyDescent="0.25">
      <c r="A96" s="744" t="s">
        <v>2342</v>
      </c>
      <c r="B96" s="55"/>
      <c r="C96" s="1316"/>
      <c r="D96" s="1316"/>
      <c r="E96" s="1317"/>
      <c r="F96" s="1318"/>
      <c r="G96" s="1316"/>
      <c r="H96" s="1319"/>
      <c r="I96" s="1318"/>
      <c r="J96" s="1316"/>
      <c r="K96" s="1319"/>
    </row>
    <row r="97" spans="1:11" ht="13.15" customHeight="1" x14ac:dyDescent="0.25">
      <c r="A97" s="744" t="s">
        <v>2275</v>
      </c>
      <c r="B97" s="55"/>
      <c r="C97" s="1316"/>
      <c r="D97" s="1316"/>
      <c r="E97" s="1317"/>
      <c r="F97" s="1318"/>
      <c r="G97" s="1316"/>
      <c r="H97" s="1319"/>
      <c r="I97" s="1318"/>
      <c r="J97" s="1316"/>
      <c r="K97" s="1319"/>
    </row>
    <row r="98" spans="1:11" ht="13.15" customHeight="1" x14ac:dyDescent="0.25">
      <c r="A98" s="63" t="s">
        <v>2343</v>
      </c>
      <c r="B98" s="55"/>
      <c r="C98" s="76">
        <f>SUM(C99:C101)</f>
        <v>0</v>
      </c>
      <c r="D98" s="76">
        <f t="shared" ref="D98:K98" si="12">SUM(D99:D101)</f>
        <v>157672</v>
      </c>
      <c r="E98" s="332">
        <f t="shared" si="12"/>
        <v>1371961</v>
      </c>
      <c r="F98" s="79">
        <f t="shared" si="12"/>
        <v>0</v>
      </c>
      <c r="G98" s="76">
        <f t="shared" si="12"/>
        <v>0</v>
      </c>
      <c r="H98" s="333">
        <f t="shared" si="12"/>
        <v>0</v>
      </c>
      <c r="I98" s="79">
        <f t="shared" si="12"/>
        <v>0</v>
      </c>
      <c r="J98" s="76">
        <f t="shared" si="12"/>
        <v>0</v>
      </c>
      <c r="K98" s="333">
        <f t="shared" si="12"/>
        <v>0</v>
      </c>
    </row>
    <row r="99" spans="1:11" ht="13.15" customHeight="1" x14ac:dyDescent="0.25">
      <c r="A99" s="744" t="s">
        <v>2344</v>
      </c>
      <c r="B99" s="55"/>
      <c r="C99" s="1316"/>
      <c r="D99" s="1316"/>
      <c r="E99" s="1317"/>
      <c r="F99" s="1318"/>
      <c r="G99" s="1316"/>
      <c r="H99" s="1319"/>
      <c r="I99" s="1318"/>
      <c r="J99" s="1316"/>
      <c r="K99" s="1319"/>
    </row>
    <row r="100" spans="1:11" ht="13.15" customHeight="1" x14ac:dyDescent="0.25">
      <c r="A100" s="744" t="s">
        <v>2345</v>
      </c>
      <c r="B100" s="55"/>
      <c r="C100" s="1316"/>
      <c r="D100" s="1316">
        <v>157672</v>
      </c>
      <c r="E100" s="1317">
        <v>1371961</v>
      </c>
      <c r="F100" s="1318"/>
      <c r="G100" s="1316"/>
      <c r="H100" s="1319"/>
      <c r="I100" s="1318"/>
      <c r="J100" s="1316"/>
      <c r="K100" s="1319"/>
    </row>
    <row r="101" spans="1:11" ht="13.15" customHeight="1" x14ac:dyDescent="0.25">
      <c r="A101" s="744" t="s">
        <v>2275</v>
      </c>
      <c r="B101" s="55"/>
      <c r="C101" s="1316"/>
      <c r="D101" s="1316"/>
      <c r="E101" s="1317"/>
      <c r="F101" s="1318"/>
      <c r="G101" s="1316"/>
      <c r="H101" s="1319"/>
      <c r="I101" s="1318"/>
      <c r="J101" s="1316"/>
      <c r="K101" s="1319"/>
    </row>
    <row r="102" spans="1:11" ht="4.9000000000000004" customHeight="1" x14ac:dyDescent="0.25">
      <c r="A102" s="74"/>
      <c r="B102" s="55"/>
      <c r="C102" s="76"/>
      <c r="D102" s="76"/>
      <c r="E102" s="75"/>
      <c r="F102" s="78"/>
      <c r="G102" s="76"/>
      <c r="H102" s="77"/>
      <c r="I102" s="78"/>
      <c r="J102" s="76"/>
      <c r="K102" s="77"/>
    </row>
    <row r="103" spans="1:11" ht="13.15" customHeight="1" x14ac:dyDescent="0.25">
      <c r="A103" s="54" t="s">
        <v>843</v>
      </c>
      <c r="B103" s="55"/>
      <c r="C103" s="76">
        <f>SUM(C104:C108)</f>
        <v>0</v>
      </c>
      <c r="D103" s="76">
        <f t="shared" ref="D103:K103" si="13">SUM(D104:D108)</f>
        <v>0</v>
      </c>
      <c r="E103" s="75">
        <f t="shared" si="13"/>
        <v>0</v>
      </c>
      <c r="F103" s="78">
        <f t="shared" si="13"/>
        <v>0</v>
      </c>
      <c r="G103" s="76">
        <f t="shared" si="13"/>
        <v>0</v>
      </c>
      <c r="H103" s="77">
        <f t="shared" si="13"/>
        <v>0</v>
      </c>
      <c r="I103" s="78">
        <f t="shared" si="13"/>
        <v>0</v>
      </c>
      <c r="J103" s="76">
        <f t="shared" si="13"/>
        <v>0</v>
      </c>
      <c r="K103" s="77">
        <f t="shared" si="13"/>
        <v>0</v>
      </c>
    </row>
    <row r="104" spans="1:11" ht="13.15" customHeight="1" x14ac:dyDescent="0.25">
      <c r="A104" s="63" t="s">
        <v>2346</v>
      </c>
      <c r="B104" s="55"/>
      <c r="C104" s="1316"/>
      <c r="D104" s="1316"/>
      <c r="E104" s="1317"/>
      <c r="F104" s="1318"/>
      <c r="G104" s="1316"/>
      <c r="H104" s="1319"/>
      <c r="I104" s="1318"/>
      <c r="J104" s="1316"/>
      <c r="K104" s="1319"/>
    </row>
    <row r="105" spans="1:11" ht="13.15" customHeight="1" x14ac:dyDescent="0.25">
      <c r="A105" s="63" t="s">
        <v>2347</v>
      </c>
      <c r="B105" s="55"/>
      <c r="C105" s="1316"/>
      <c r="D105" s="1316"/>
      <c r="E105" s="1317"/>
      <c r="F105" s="1318"/>
      <c r="G105" s="1316"/>
      <c r="H105" s="1319"/>
      <c r="I105" s="1318"/>
      <c r="J105" s="1316"/>
      <c r="K105" s="1319"/>
    </row>
    <row r="106" spans="1:11" ht="13.15" customHeight="1" x14ac:dyDescent="0.25">
      <c r="A106" s="63" t="s">
        <v>2348</v>
      </c>
      <c r="B106" s="55"/>
      <c r="C106" s="1316"/>
      <c r="D106" s="1316"/>
      <c r="E106" s="1317"/>
      <c r="F106" s="1318"/>
      <c r="G106" s="1316"/>
      <c r="H106" s="1319"/>
      <c r="I106" s="1318"/>
      <c r="J106" s="1316"/>
      <c r="K106" s="1319"/>
    </row>
    <row r="107" spans="1:11" ht="13.15" customHeight="1" x14ac:dyDescent="0.25">
      <c r="A107" s="63" t="s">
        <v>2349</v>
      </c>
      <c r="B107" s="55"/>
      <c r="C107" s="1316"/>
      <c r="D107" s="1316"/>
      <c r="E107" s="1317"/>
      <c r="F107" s="1318"/>
      <c r="G107" s="1316"/>
      <c r="H107" s="1319"/>
      <c r="I107" s="1318"/>
      <c r="J107" s="1316"/>
      <c r="K107" s="1319"/>
    </row>
    <row r="108" spans="1:11" ht="13.15" customHeight="1" x14ac:dyDescent="0.25">
      <c r="A108" s="63" t="s">
        <v>2350</v>
      </c>
      <c r="B108" s="55"/>
      <c r="C108" s="1316"/>
      <c r="D108" s="1316"/>
      <c r="E108" s="1317"/>
      <c r="F108" s="1318"/>
      <c r="G108" s="1316"/>
      <c r="H108" s="1319"/>
      <c r="I108" s="1318"/>
      <c r="J108" s="1316"/>
      <c r="K108" s="1319"/>
    </row>
    <row r="109" spans="1:11" ht="4.9000000000000004" customHeight="1" x14ac:dyDescent="0.25">
      <c r="A109" s="74"/>
      <c r="B109" s="55"/>
      <c r="C109" s="76"/>
      <c r="D109" s="76"/>
      <c r="E109" s="75"/>
      <c r="F109" s="78"/>
      <c r="G109" s="76"/>
      <c r="H109" s="77"/>
      <c r="I109" s="78"/>
      <c r="J109" s="76"/>
      <c r="K109" s="77"/>
    </row>
    <row r="110" spans="1:11" ht="13.15" customHeight="1" x14ac:dyDescent="0.25">
      <c r="A110" s="54" t="s">
        <v>844</v>
      </c>
      <c r="B110" s="55"/>
      <c r="C110" s="86">
        <f>+C111+C114</f>
        <v>0</v>
      </c>
      <c r="D110" s="86">
        <f t="shared" ref="D110:K110" si="14">+D111+D114</f>
        <v>0</v>
      </c>
      <c r="E110" s="85">
        <f t="shared" si="14"/>
        <v>0</v>
      </c>
      <c r="F110" s="88">
        <f t="shared" si="14"/>
        <v>0</v>
      </c>
      <c r="G110" s="86">
        <f t="shared" si="14"/>
        <v>0</v>
      </c>
      <c r="H110" s="87">
        <f t="shared" si="14"/>
        <v>0</v>
      </c>
      <c r="I110" s="88">
        <f t="shared" si="14"/>
        <v>0</v>
      </c>
      <c r="J110" s="86">
        <f t="shared" si="14"/>
        <v>0</v>
      </c>
      <c r="K110" s="87">
        <f t="shared" si="14"/>
        <v>0</v>
      </c>
    </row>
    <row r="111" spans="1:11" ht="13.15" customHeight="1" x14ac:dyDescent="0.25">
      <c r="A111" s="63" t="s">
        <v>2380</v>
      </c>
      <c r="B111" s="55"/>
      <c r="C111" s="185">
        <f t="shared" ref="C111:K111" si="15">SUM(C112:C113)</f>
        <v>0</v>
      </c>
      <c r="D111" s="185">
        <f t="shared" si="15"/>
        <v>0</v>
      </c>
      <c r="E111" s="759">
        <f t="shared" si="15"/>
        <v>0</v>
      </c>
      <c r="F111" s="217">
        <f t="shared" si="15"/>
        <v>0</v>
      </c>
      <c r="G111" s="185">
        <f t="shared" si="15"/>
        <v>0</v>
      </c>
      <c r="H111" s="699">
        <f t="shared" si="15"/>
        <v>0</v>
      </c>
      <c r="I111" s="217">
        <f t="shared" si="15"/>
        <v>0</v>
      </c>
      <c r="J111" s="185">
        <f t="shared" si="15"/>
        <v>0</v>
      </c>
      <c r="K111" s="699">
        <f t="shared" si="15"/>
        <v>0</v>
      </c>
    </row>
    <row r="112" spans="1:11" ht="13.15" customHeight="1" x14ac:dyDescent="0.25">
      <c r="A112" s="744" t="s">
        <v>2381</v>
      </c>
      <c r="B112" s="55"/>
      <c r="C112" s="1316"/>
      <c r="D112" s="1316"/>
      <c r="E112" s="1317"/>
      <c r="F112" s="1318"/>
      <c r="G112" s="1316"/>
      <c r="H112" s="1319"/>
      <c r="I112" s="1318"/>
      <c r="J112" s="1316"/>
      <c r="K112" s="1319"/>
    </row>
    <row r="113" spans="1:11" ht="13.15" customHeight="1" x14ac:dyDescent="0.25">
      <c r="A113" s="744" t="s">
        <v>2382</v>
      </c>
      <c r="B113" s="55"/>
      <c r="C113" s="1316"/>
      <c r="D113" s="1316"/>
      <c r="E113" s="1317"/>
      <c r="F113" s="1318"/>
      <c r="G113" s="1316"/>
      <c r="H113" s="1319"/>
      <c r="I113" s="1318"/>
      <c r="J113" s="1316"/>
      <c r="K113" s="1319"/>
    </row>
    <row r="114" spans="1:11" ht="13.15" customHeight="1" x14ac:dyDescent="0.25">
      <c r="A114" s="63" t="s">
        <v>2383</v>
      </c>
      <c r="B114" s="55"/>
      <c r="C114" s="76">
        <f>SUM(C115:C116)</f>
        <v>0</v>
      </c>
      <c r="D114" s="76">
        <f t="shared" ref="D114:K114" si="16">SUM(D115:D116)</f>
        <v>0</v>
      </c>
      <c r="E114" s="332">
        <f t="shared" si="16"/>
        <v>0</v>
      </c>
      <c r="F114" s="79">
        <f t="shared" si="16"/>
        <v>0</v>
      </c>
      <c r="G114" s="76">
        <f t="shared" si="16"/>
        <v>0</v>
      </c>
      <c r="H114" s="333">
        <f t="shared" si="16"/>
        <v>0</v>
      </c>
      <c r="I114" s="79">
        <f t="shared" si="16"/>
        <v>0</v>
      </c>
      <c r="J114" s="76">
        <f t="shared" si="16"/>
        <v>0</v>
      </c>
      <c r="K114" s="333">
        <f t="shared" si="16"/>
        <v>0</v>
      </c>
    </row>
    <row r="115" spans="1:11" ht="13.15" customHeight="1" x14ac:dyDescent="0.25">
      <c r="A115" s="744" t="s">
        <v>2381</v>
      </c>
      <c r="B115" s="55"/>
      <c r="C115" s="1316"/>
      <c r="D115" s="1316"/>
      <c r="E115" s="1317"/>
      <c r="F115" s="1318"/>
      <c r="G115" s="1316"/>
      <c r="H115" s="1319"/>
      <c r="I115" s="1318"/>
      <c r="J115" s="1316"/>
      <c r="K115" s="1319"/>
    </row>
    <row r="116" spans="1:11" ht="13.15" customHeight="1" x14ac:dyDescent="0.25">
      <c r="A116" s="744" t="s">
        <v>2382</v>
      </c>
      <c r="B116" s="55"/>
      <c r="C116" s="1316"/>
      <c r="D116" s="1316"/>
      <c r="E116" s="1317"/>
      <c r="F116" s="1318"/>
      <c r="G116" s="1316"/>
      <c r="H116" s="1319"/>
      <c r="I116" s="1318"/>
      <c r="J116" s="1316"/>
      <c r="K116" s="1319"/>
    </row>
    <row r="117" spans="1:11" ht="4.9000000000000004" customHeight="1" x14ac:dyDescent="0.25">
      <c r="A117" s="74"/>
      <c r="B117" s="55"/>
      <c r="C117" s="76"/>
      <c r="D117" s="76"/>
      <c r="E117" s="75"/>
      <c r="F117" s="78"/>
      <c r="G117" s="76"/>
      <c r="H117" s="77"/>
      <c r="I117" s="78"/>
      <c r="J117" s="76"/>
      <c r="K117" s="77"/>
    </row>
    <row r="118" spans="1:11" ht="13.15" customHeight="1" x14ac:dyDescent="0.25">
      <c r="A118" s="54" t="s">
        <v>845</v>
      </c>
      <c r="B118" s="55"/>
      <c r="C118" s="86">
        <f>+C119+C131</f>
        <v>0</v>
      </c>
      <c r="D118" s="86">
        <f t="shared" ref="D118:K118" si="17">+D119+D131</f>
        <v>150322</v>
      </c>
      <c r="E118" s="85">
        <f t="shared" si="17"/>
        <v>112352.48999999999</v>
      </c>
      <c r="F118" s="88">
        <f t="shared" si="17"/>
        <v>0</v>
      </c>
      <c r="G118" s="86">
        <f t="shared" si="17"/>
        <v>0</v>
      </c>
      <c r="H118" s="87">
        <f t="shared" si="17"/>
        <v>0</v>
      </c>
      <c r="I118" s="88">
        <f t="shared" si="17"/>
        <v>0</v>
      </c>
      <c r="J118" s="86">
        <f t="shared" si="17"/>
        <v>0</v>
      </c>
      <c r="K118" s="87">
        <f t="shared" si="17"/>
        <v>0</v>
      </c>
    </row>
    <row r="119" spans="1:11" ht="13.15" customHeight="1" x14ac:dyDescent="0.25">
      <c r="A119" s="63" t="s">
        <v>2351</v>
      </c>
      <c r="B119" s="55"/>
      <c r="C119" s="185">
        <f>SUM(C120:C130)</f>
        <v>0</v>
      </c>
      <c r="D119" s="185">
        <f t="shared" ref="D119:K119" si="18">SUM(D120:D130)</f>
        <v>150322</v>
      </c>
      <c r="E119" s="759">
        <f t="shared" si="18"/>
        <v>112352.48999999999</v>
      </c>
      <c r="F119" s="217">
        <f t="shared" si="18"/>
        <v>0</v>
      </c>
      <c r="G119" s="185">
        <f t="shared" si="18"/>
        <v>0</v>
      </c>
      <c r="H119" s="699">
        <f t="shared" si="18"/>
        <v>0</v>
      </c>
      <c r="I119" s="217">
        <f t="shared" si="18"/>
        <v>0</v>
      </c>
      <c r="J119" s="185">
        <f t="shared" si="18"/>
        <v>0</v>
      </c>
      <c r="K119" s="699">
        <f t="shared" si="18"/>
        <v>0</v>
      </c>
    </row>
    <row r="120" spans="1:11" ht="13.15" customHeight="1" x14ac:dyDescent="0.25">
      <c r="A120" s="744" t="s">
        <v>2352</v>
      </c>
      <c r="B120" s="55"/>
      <c r="C120" s="1316"/>
      <c r="D120" s="1316">
        <v>150322</v>
      </c>
      <c r="E120" s="1317">
        <v>112352.48999999999</v>
      </c>
      <c r="F120" s="1318"/>
      <c r="G120" s="1316"/>
      <c r="H120" s="1319"/>
      <c r="I120" s="1318"/>
      <c r="J120" s="1316"/>
      <c r="K120" s="1319"/>
    </row>
    <row r="121" spans="1:11" ht="13.15" customHeight="1" x14ac:dyDescent="0.25">
      <c r="A121" s="744" t="s">
        <v>2353</v>
      </c>
      <c r="B121" s="55"/>
      <c r="C121" s="1316"/>
      <c r="D121" s="1316"/>
      <c r="E121" s="1317"/>
      <c r="F121" s="1318"/>
      <c r="G121" s="1316"/>
      <c r="H121" s="1319"/>
      <c r="I121" s="1318"/>
      <c r="J121" s="1316"/>
      <c r="K121" s="1319"/>
    </row>
    <row r="122" spans="1:11" ht="13.15" customHeight="1" x14ac:dyDescent="0.25">
      <c r="A122" s="744" t="s">
        <v>2354</v>
      </c>
      <c r="B122" s="55"/>
      <c r="C122" s="1316"/>
      <c r="D122" s="1316"/>
      <c r="E122" s="1317"/>
      <c r="F122" s="1318"/>
      <c r="G122" s="1316"/>
      <c r="H122" s="1319"/>
      <c r="I122" s="1318"/>
      <c r="J122" s="1316"/>
      <c r="K122" s="1319"/>
    </row>
    <row r="123" spans="1:11" ht="13.15" customHeight="1" x14ac:dyDescent="0.25">
      <c r="A123" s="744" t="s">
        <v>2355</v>
      </c>
      <c r="B123" s="55"/>
      <c r="C123" s="1316"/>
      <c r="D123" s="1316"/>
      <c r="E123" s="1317"/>
      <c r="F123" s="1318"/>
      <c r="G123" s="1316"/>
      <c r="H123" s="1319"/>
      <c r="I123" s="1318"/>
      <c r="J123" s="1316"/>
      <c r="K123" s="1319"/>
    </row>
    <row r="124" spans="1:11" ht="13.15" customHeight="1" x14ac:dyDescent="0.25">
      <c r="A124" s="744" t="s">
        <v>2356</v>
      </c>
      <c r="B124" s="55"/>
      <c r="C124" s="1316"/>
      <c r="D124" s="1316"/>
      <c r="E124" s="1317"/>
      <c r="F124" s="1318"/>
      <c r="G124" s="1316"/>
      <c r="H124" s="1319"/>
      <c r="I124" s="1318"/>
      <c r="J124" s="1316"/>
      <c r="K124" s="1319"/>
    </row>
    <row r="125" spans="1:11" ht="13.15" customHeight="1" x14ac:dyDescent="0.25">
      <c r="A125" s="744" t="s">
        <v>2357</v>
      </c>
      <c r="B125" s="55"/>
      <c r="C125" s="1316"/>
      <c r="D125" s="1316"/>
      <c r="E125" s="1317"/>
      <c r="F125" s="1318"/>
      <c r="G125" s="1316"/>
      <c r="H125" s="1319"/>
      <c r="I125" s="1318"/>
      <c r="J125" s="1316"/>
      <c r="K125" s="1319"/>
    </row>
    <row r="126" spans="1:11" ht="13.15" customHeight="1" x14ac:dyDescent="0.25">
      <c r="A126" s="744" t="s">
        <v>2358</v>
      </c>
      <c r="B126" s="55"/>
      <c r="C126" s="1316"/>
      <c r="D126" s="1316"/>
      <c r="E126" s="1317"/>
      <c r="F126" s="1318"/>
      <c r="G126" s="1316"/>
      <c r="H126" s="1319"/>
      <c r="I126" s="1318"/>
      <c r="J126" s="1316"/>
      <c r="K126" s="1319"/>
    </row>
    <row r="127" spans="1:11" ht="13.15" customHeight="1" x14ac:dyDescent="0.25">
      <c r="A127" s="744" t="s">
        <v>2359</v>
      </c>
      <c r="B127" s="55"/>
      <c r="C127" s="1316"/>
      <c r="D127" s="1316"/>
      <c r="E127" s="1317"/>
      <c r="F127" s="1318"/>
      <c r="G127" s="1316"/>
      <c r="H127" s="1319"/>
      <c r="I127" s="1318"/>
      <c r="J127" s="1316"/>
      <c r="K127" s="1319"/>
    </row>
    <row r="128" spans="1:11" ht="13.15" customHeight="1" x14ac:dyDescent="0.25">
      <c r="A128" s="744" t="s">
        <v>2360</v>
      </c>
      <c r="B128" s="55"/>
      <c r="C128" s="1316"/>
      <c r="D128" s="1316"/>
      <c r="E128" s="1317"/>
      <c r="F128" s="1318"/>
      <c r="G128" s="1316"/>
      <c r="H128" s="1319"/>
      <c r="I128" s="1318"/>
      <c r="J128" s="1316"/>
      <c r="K128" s="1319"/>
    </row>
    <row r="129" spans="1:11" ht="13.15" customHeight="1" x14ac:dyDescent="0.25">
      <c r="A129" s="744" t="s">
        <v>2361</v>
      </c>
      <c r="B129" s="55"/>
      <c r="C129" s="1316"/>
      <c r="D129" s="1316"/>
      <c r="E129" s="1317"/>
      <c r="F129" s="1318"/>
      <c r="G129" s="1316"/>
      <c r="H129" s="1319"/>
      <c r="I129" s="1318"/>
      <c r="J129" s="1316"/>
      <c r="K129" s="1319"/>
    </row>
    <row r="130" spans="1:11" ht="13.15" customHeight="1" x14ac:dyDescent="0.25">
      <c r="A130" s="744" t="s">
        <v>2275</v>
      </c>
      <c r="B130" s="55"/>
      <c r="C130" s="1316"/>
      <c r="D130" s="1316"/>
      <c r="E130" s="1317"/>
      <c r="F130" s="1318"/>
      <c r="G130" s="1316"/>
      <c r="H130" s="1319"/>
      <c r="I130" s="1318"/>
      <c r="J130" s="1316"/>
      <c r="K130" s="1319"/>
    </row>
    <row r="131" spans="1:11" ht="13.15" customHeight="1" x14ac:dyDescent="0.25">
      <c r="A131" s="63" t="s">
        <v>1513</v>
      </c>
      <c r="B131" s="55"/>
      <c r="C131" s="76">
        <f>SUM(C132:C134)</f>
        <v>0</v>
      </c>
      <c r="D131" s="76">
        <f t="shared" ref="D131:K131" si="19">SUM(D132:D134)</f>
        <v>0</v>
      </c>
      <c r="E131" s="332">
        <f t="shared" si="19"/>
        <v>0</v>
      </c>
      <c r="F131" s="79">
        <f t="shared" si="19"/>
        <v>0</v>
      </c>
      <c r="G131" s="76">
        <f t="shared" si="19"/>
        <v>0</v>
      </c>
      <c r="H131" s="333">
        <f t="shared" si="19"/>
        <v>0</v>
      </c>
      <c r="I131" s="79">
        <f t="shared" si="19"/>
        <v>0</v>
      </c>
      <c r="J131" s="76">
        <f t="shared" si="19"/>
        <v>0</v>
      </c>
      <c r="K131" s="333">
        <f t="shared" si="19"/>
        <v>0</v>
      </c>
    </row>
    <row r="132" spans="1:11" ht="13.15" customHeight="1" x14ac:dyDescent="0.25">
      <c r="A132" s="744" t="s">
        <v>2362</v>
      </c>
      <c r="B132" s="55"/>
      <c r="C132" s="1316"/>
      <c r="D132" s="1316"/>
      <c r="E132" s="1317"/>
      <c r="F132" s="1318"/>
      <c r="G132" s="1316"/>
      <c r="H132" s="1319"/>
      <c r="I132" s="1318"/>
      <c r="J132" s="1316"/>
      <c r="K132" s="1319"/>
    </row>
    <row r="133" spans="1:11" ht="13.15" customHeight="1" x14ac:dyDescent="0.25">
      <c r="A133" s="744" t="s">
        <v>2363</v>
      </c>
      <c r="B133" s="55"/>
      <c r="C133" s="1316"/>
      <c r="D133" s="1316"/>
      <c r="E133" s="1317"/>
      <c r="F133" s="1318"/>
      <c r="G133" s="1316"/>
      <c r="H133" s="1319"/>
      <c r="I133" s="1318"/>
      <c r="J133" s="1316"/>
      <c r="K133" s="1319"/>
    </row>
    <row r="134" spans="1:11" ht="13.15" customHeight="1" x14ac:dyDescent="0.25">
      <c r="A134" s="744" t="s">
        <v>2275</v>
      </c>
      <c r="B134" s="55"/>
      <c r="C134" s="1316"/>
      <c r="D134" s="1316"/>
      <c r="E134" s="1317"/>
      <c r="F134" s="1318"/>
      <c r="G134" s="1316"/>
      <c r="H134" s="1319"/>
      <c r="I134" s="1318"/>
      <c r="J134" s="1316"/>
      <c r="K134" s="1319"/>
    </row>
    <row r="135" spans="1:11" ht="4.9000000000000004" customHeight="1" x14ac:dyDescent="0.25">
      <c r="A135" s="525"/>
      <c r="B135" s="55"/>
      <c r="C135" s="76"/>
      <c r="D135" s="76"/>
      <c r="E135" s="75"/>
      <c r="F135" s="78"/>
      <c r="G135" s="76"/>
      <c r="H135" s="77"/>
      <c r="I135" s="78"/>
      <c r="J135" s="76"/>
      <c r="K135" s="77"/>
    </row>
    <row r="136" spans="1:11" ht="13.15" customHeight="1" x14ac:dyDescent="0.25">
      <c r="A136" s="54" t="s">
        <v>2364</v>
      </c>
      <c r="B136" s="55"/>
      <c r="C136" s="76">
        <f t="shared" ref="C136:K136" si="20">SUM(C137:C137)</f>
        <v>0</v>
      </c>
      <c r="D136" s="76">
        <f t="shared" si="20"/>
        <v>0</v>
      </c>
      <c r="E136" s="75">
        <f t="shared" si="20"/>
        <v>0</v>
      </c>
      <c r="F136" s="78">
        <f t="shared" si="20"/>
        <v>0</v>
      </c>
      <c r="G136" s="76">
        <f t="shared" si="20"/>
        <v>0</v>
      </c>
      <c r="H136" s="77">
        <f t="shared" si="20"/>
        <v>0</v>
      </c>
      <c r="I136" s="78">
        <f t="shared" si="20"/>
        <v>0</v>
      </c>
      <c r="J136" s="76">
        <f t="shared" si="20"/>
        <v>0</v>
      </c>
      <c r="K136" s="77">
        <f t="shared" si="20"/>
        <v>0</v>
      </c>
    </row>
    <row r="137" spans="1:11" ht="13.15" customHeight="1" x14ac:dyDescent="0.25">
      <c r="A137" s="63" t="s">
        <v>2364</v>
      </c>
      <c r="B137" s="55"/>
      <c r="C137" s="1316"/>
      <c r="D137" s="1316"/>
      <c r="E137" s="1317"/>
      <c r="F137" s="1318"/>
      <c r="G137" s="1316"/>
      <c r="H137" s="1319"/>
      <c r="I137" s="1318"/>
      <c r="J137" s="1316"/>
      <c r="K137" s="1319"/>
    </row>
    <row r="138" spans="1:11" ht="4.9000000000000004" customHeight="1" x14ac:dyDescent="0.25">
      <c r="A138" s="74"/>
      <c r="B138" s="55"/>
      <c r="C138" s="76"/>
      <c r="D138" s="76"/>
      <c r="E138" s="75"/>
      <c r="F138" s="78"/>
      <c r="G138" s="76"/>
      <c r="H138" s="77"/>
      <c r="I138" s="78"/>
      <c r="J138" s="76"/>
      <c r="K138" s="77"/>
    </row>
    <row r="139" spans="1:11" ht="13.15" customHeight="1" x14ac:dyDescent="0.25">
      <c r="A139" s="54" t="s">
        <v>2367</v>
      </c>
      <c r="B139" s="55"/>
      <c r="C139" s="76">
        <f>+C140+C141</f>
        <v>0</v>
      </c>
      <c r="D139" s="76">
        <f t="shared" ref="D139:K139" si="21">+D140+D141</f>
        <v>49308</v>
      </c>
      <c r="E139" s="75">
        <f t="shared" si="21"/>
        <v>0</v>
      </c>
      <c r="F139" s="78">
        <f t="shared" si="21"/>
        <v>0</v>
      </c>
      <c r="G139" s="76">
        <f t="shared" si="21"/>
        <v>0</v>
      </c>
      <c r="H139" s="77">
        <f t="shared" si="21"/>
        <v>0</v>
      </c>
      <c r="I139" s="78">
        <f t="shared" si="21"/>
        <v>0</v>
      </c>
      <c r="J139" s="76">
        <f t="shared" si="21"/>
        <v>0</v>
      </c>
      <c r="K139" s="77">
        <f t="shared" si="21"/>
        <v>0</v>
      </c>
    </row>
    <row r="140" spans="1:11" ht="13.15" customHeight="1" x14ac:dyDescent="0.25">
      <c r="A140" s="63" t="s">
        <v>2365</v>
      </c>
      <c r="B140" s="55"/>
      <c r="C140" s="1316"/>
      <c r="D140" s="1316"/>
      <c r="E140" s="1317"/>
      <c r="F140" s="1318"/>
      <c r="G140" s="1316"/>
      <c r="H140" s="1319"/>
      <c r="I140" s="1318"/>
      <c r="J140" s="1316"/>
      <c r="K140" s="1319"/>
    </row>
    <row r="141" spans="1:11" ht="13.15" customHeight="1" x14ac:dyDescent="0.25">
      <c r="A141" s="63" t="s">
        <v>2366</v>
      </c>
      <c r="B141" s="55"/>
      <c r="C141" s="76">
        <f>SUM(C142:C147)</f>
        <v>0</v>
      </c>
      <c r="D141" s="76">
        <f t="shared" ref="D141:K141" si="22">SUM(D142:D147)</f>
        <v>49308</v>
      </c>
      <c r="E141" s="332">
        <f t="shared" si="22"/>
        <v>0</v>
      </c>
      <c r="F141" s="79">
        <f t="shared" si="22"/>
        <v>0</v>
      </c>
      <c r="G141" s="76">
        <f t="shared" si="22"/>
        <v>0</v>
      </c>
      <c r="H141" s="333">
        <f t="shared" si="22"/>
        <v>0</v>
      </c>
      <c r="I141" s="79">
        <f t="shared" si="22"/>
        <v>0</v>
      </c>
      <c r="J141" s="76">
        <f t="shared" si="22"/>
        <v>0</v>
      </c>
      <c r="K141" s="333">
        <f t="shared" si="22"/>
        <v>0</v>
      </c>
    </row>
    <row r="142" spans="1:11" ht="13.15" customHeight="1" x14ac:dyDescent="0.25">
      <c r="A142" s="744" t="s">
        <v>2368</v>
      </c>
      <c r="B142" s="55"/>
      <c r="C142" s="1316"/>
      <c r="D142" s="1316"/>
      <c r="E142" s="1317"/>
      <c r="F142" s="1318"/>
      <c r="G142" s="1316"/>
      <c r="H142" s="1319"/>
      <c r="I142" s="1318"/>
      <c r="J142" s="1316"/>
      <c r="K142" s="1319"/>
    </row>
    <row r="143" spans="1:11" ht="13.15" customHeight="1" x14ac:dyDescent="0.25">
      <c r="A143" s="744" t="s">
        <v>2369</v>
      </c>
      <c r="B143" s="55"/>
      <c r="C143" s="1316"/>
      <c r="D143" s="1316"/>
      <c r="E143" s="1317"/>
      <c r="F143" s="1318"/>
      <c r="G143" s="1316"/>
      <c r="H143" s="1319"/>
      <c r="I143" s="1318"/>
      <c r="J143" s="1316"/>
      <c r="K143" s="1319"/>
    </row>
    <row r="144" spans="1:11" ht="13.15" customHeight="1" x14ac:dyDescent="0.25">
      <c r="A144" s="744" t="s">
        <v>2370</v>
      </c>
      <c r="B144" s="55"/>
      <c r="C144" s="1316"/>
      <c r="D144" s="1316"/>
      <c r="E144" s="1317"/>
      <c r="F144" s="1318"/>
      <c r="G144" s="1316"/>
      <c r="H144" s="1319"/>
      <c r="I144" s="1318"/>
      <c r="J144" s="1316"/>
      <c r="K144" s="1319"/>
    </row>
    <row r="145" spans="1:11" ht="13.15" customHeight="1" x14ac:dyDescent="0.25">
      <c r="A145" s="744" t="s">
        <v>2371</v>
      </c>
      <c r="B145" s="55"/>
      <c r="C145" s="1316"/>
      <c r="D145" s="1316">
        <v>49308</v>
      </c>
      <c r="E145" s="1317"/>
      <c r="F145" s="1318"/>
      <c r="G145" s="1316"/>
      <c r="H145" s="1319"/>
      <c r="I145" s="1318"/>
      <c r="J145" s="1316"/>
      <c r="K145" s="1319"/>
    </row>
    <row r="146" spans="1:11" ht="13.15" customHeight="1" x14ac:dyDescent="0.25">
      <c r="A146" s="744" t="s">
        <v>2372</v>
      </c>
      <c r="B146" s="55"/>
      <c r="C146" s="1316"/>
      <c r="D146" s="1316"/>
      <c r="E146" s="1317"/>
      <c r="F146" s="1318"/>
      <c r="G146" s="1316"/>
      <c r="H146" s="1319"/>
      <c r="I146" s="1318"/>
      <c r="J146" s="1316"/>
      <c r="K146" s="1319"/>
    </row>
    <row r="147" spans="1:11" ht="13.15" customHeight="1" x14ac:dyDescent="0.25">
      <c r="A147" s="744" t="s">
        <v>2373</v>
      </c>
      <c r="B147" s="55"/>
      <c r="C147" s="1316"/>
      <c r="D147" s="1316"/>
      <c r="E147" s="1317"/>
      <c r="F147" s="1318"/>
      <c r="G147" s="1316"/>
      <c r="H147" s="1319"/>
      <c r="I147" s="1318"/>
      <c r="J147" s="1316"/>
      <c r="K147" s="1319"/>
    </row>
    <row r="148" spans="1:11" ht="4.9000000000000004" customHeight="1" x14ac:dyDescent="0.25">
      <c r="A148" s="74"/>
      <c r="B148" s="55"/>
      <c r="C148" s="86"/>
      <c r="D148" s="86"/>
      <c r="E148" s="85"/>
      <c r="F148" s="88"/>
      <c r="G148" s="86"/>
      <c r="H148" s="87"/>
      <c r="I148" s="88"/>
      <c r="J148" s="86"/>
      <c r="K148" s="87"/>
    </row>
    <row r="149" spans="1:11" ht="13.15" customHeight="1" x14ac:dyDescent="0.25">
      <c r="A149" s="54" t="s">
        <v>2374</v>
      </c>
      <c r="B149" s="55"/>
      <c r="C149" s="76">
        <f t="shared" ref="C149:K149" si="23">SUM(C150:C150)</f>
        <v>0</v>
      </c>
      <c r="D149" s="76">
        <f t="shared" si="23"/>
        <v>237523</v>
      </c>
      <c r="E149" s="75">
        <f t="shared" si="23"/>
        <v>502839.04000000004</v>
      </c>
      <c r="F149" s="78">
        <f t="shared" si="23"/>
        <v>24100</v>
      </c>
      <c r="G149" s="76">
        <f t="shared" si="23"/>
        <v>12000</v>
      </c>
      <c r="H149" s="77">
        <f t="shared" si="23"/>
        <v>12000</v>
      </c>
      <c r="I149" s="78">
        <f t="shared" si="23"/>
        <v>0</v>
      </c>
      <c r="J149" s="76">
        <f t="shared" si="23"/>
        <v>0</v>
      </c>
      <c r="K149" s="77">
        <f t="shared" si="23"/>
        <v>0</v>
      </c>
    </row>
    <row r="150" spans="1:11" ht="13.15" customHeight="1" x14ac:dyDescent="0.25">
      <c r="A150" s="63" t="s">
        <v>2374</v>
      </c>
      <c r="B150" s="55"/>
      <c r="C150" s="1316"/>
      <c r="D150" s="1316">
        <v>237523</v>
      </c>
      <c r="E150" s="1317">
        <v>502839.04000000004</v>
      </c>
      <c r="F150" s="1318">
        <v>24100</v>
      </c>
      <c r="G150" s="1316">
        <v>12000</v>
      </c>
      <c r="H150" s="1319">
        <v>12000</v>
      </c>
      <c r="I150" s="1318"/>
      <c r="J150" s="1316"/>
      <c r="K150" s="1319"/>
    </row>
    <row r="151" spans="1:11" ht="4.9000000000000004" customHeight="1" x14ac:dyDescent="0.25">
      <c r="A151" s="74"/>
      <c r="B151" s="55"/>
      <c r="C151" s="76"/>
      <c r="D151" s="76"/>
      <c r="E151" s="75"/>
      <c r="F151" s="78"/>
      <c r="G151" s="76"/>
      <c r="H151" s="77"/>
      <c r="I151" s="78"/>
      <c r="J151" s="76"/>
      <c r="K151" s="77"/>
    </row>
    <row r="152" spans="1:11" ht="13.15" customHeight="1" x14ac:dyDescent="0.25">
      <c r="A152" s="54" t="s">
        <v>2375</v>
      </c>
      <c r="B152" s="55"/>
      <c r="C152" s="76">
        <f t="shared" ref="C152:K152" si="24">SUM(C153:C153)</f>
        <v>0</v>
      </c>
      <c r="D152" s="76">
        <f t="shared" si="24"/>
        <v>342778</v>
      </c>
      <c r="E152" s="75">
        <f t="shared" si="24"/>
        <v>86023.67</v>
      </c>
      <c r="F152" s="78">
        <f t="shared" si="24"/>
        <v>43100</v>
      </c>
      <c r="G152" s="76">
        <f t="shared" si="24"/>
        <v>215600</v>
      </c>
      <c r="H152" s="77">
        <f t="shared" si="24"/>
        <v>215600</v>
      </c>
      <c r="I152" s="78">
        <f t="shared" si="24"/>
        <v>0</v>
      </c>
      <c r="J152" s="76">
        <f t="shared" si="24"/>
        <v>0</v>
      </c>
      <c r="K152" s="77">
        <f t="shared" si="24"/>
        <v>0</v>
      </c>
    </row>
    <row r="153" spans="1:11" ht="13.15" customHeight="1" x14ac:dyDescent="0.25">
      <c r="A153" s="63" t="s">
        <v>2375</v>
      </c>
      <c r="B153" s="55"/>
      <c r="C153" s="1316"/>
      <c r="D153" s="1316">
        <v>342778</v>
      </c>
      <c r="E153" s="1317">
        <v>86023.67</v>
      </c>
      <c r="F153" s="1318">
        <v>43100</v>
      </c>
      <c r="G153" s="1316">
        <v>215600</v>
      </c>
      <c r="H153" s="1319">
        <v>215600</v>
      </c>
      <c r="I153" s="1318"/>
      <c r="J153" s="1316"/>
      <c r="K153" s="1319"/>
    </row>
    <row r="154" spans="1:11" ht="4.9000000000000004" customHeight="1" x14ac:dyDescent="0.25">
      <c r="A154" s="74"/>
      <c r="B154" s="55"/>
      <c r="C154" s="76"/>
      <c r="D154" s="76"/>
      <c r="E154" s="75"/>
      <c r="F154" s="78"/>
      <c r="G154" s="76"/>
      <c r="H154" s="77"/>
      <c r="I154" s="78"/>
      <c r="J154" s="76"/>
      <c r="K154" s="77"/>
    </row>
    <row r="155" spans="1:11" ht="13.15" customHeight="1" x14ac:dyDescent="0.25">
      <c r="A155" s="54" t="s">
        <v>2376</v>
      </c>
      <c r="B155" s="55"/>
      <c r="C155" s="76">
        <f t="shared" ref="C155:K155" si="25">SUM(C156:C156)</f>
        <v>0</v>
      </c>
      <c r="D155" s="76">
        <f t="shared" si="25"/>
        <v>75823</v>
      </c>
      <c r="E155" s="75">
        <f t="shared" si="25"/>
        <v>584179.87</v>
      </c>
      <c r="F155" s="78">
        <f t="shared" si="25"/>
        <v>532350</v>
      </c>
      <c r="G155" s="76">
        <f t="shared" si="25"/>
        <v>292350</v>
      </c>
      <c r="H155" s="77">
        <f t="shared" si="25"/>
        <v>292350</v>
      </c>
      <c r="I155" s="78">
        <f t="shared" si="25"/>
        <v>0</v>
      </c>
      <c r="J155" s="76">
        <f t="shared" si="25"/>
        <v>0</v>
      </c>
      <c r="K155" s="77">
        <f t="shared" si="25"/>
        <v>0</v>
      </c>
    </row>
    <row r="156" spans="1:11" ht="13.15" customHeight="1" x14ac:dyDescent="0.25">
      <c r="A156" s="63" t="s">
        <v>2376</v>
      </c>
      <c r="B156" s="55"/>
      <c r="C156" s="1316"/>
      <c r="D156" s="1316">
        <f>22408+53415</f>
        <v>75823</v>
      </c>
      <c r="E156" s="1317">
        <v>584179.87</v>
      </c>
      <c r="F156" s="1318">
        <v>532350</v>
      </c>
      <c r="G156" s="1316">
        <v>292350</v>
      </c>
      <c r="H156" s="1319">
        <v>292350</v>
      </c>
      <c r="I156" s="1318"/>
      <c r="J156" s="1316"/>
      <c r="K156" s="1319"/>
    </row>
    <row r="157" spans="1:11" ht="4.9000000000000004" customHeight="1" x14ac:dyDescent="0.25">
      <c r="A157" s="74"/>
      <c r="B157" s="55"/>
      <c r="C157" s="76"/>
      <c r="D157" s="76"/>
      <c r="E157" s="75"/>
      <c r="F157" s="78"/>
      <c r="G157" s="76"/>
      <c r="H157" s="77"/>
      <c r="I157" s="78"/>
      <c r="J157" s="76"/>
      <c r="K157" s="77"/>
    </row>
    <row r="158" spans="1:11" ht="13.15" customHeight="1" x14ac:dyDescent="0.25">
      <c r="A158" s="54" t="s">
        <v>2377</v>
      </c>
      <c r="B158" s="55"/>
      <c r="C158" s="76">
        <f t="shared" ref="C158:K158" si="26">SUM(C159:C159)</f>
        <v>0</v>
      </c>
      <c r="D158" s="76">
        <f t="shared" si="26"/>
        <v>0</v>
      </c>
      <c r="E158" s="75">
        <f t="shared" si="26"/>
        <v>418082.93</v>
      </c>
      <c r="F158" s="78">
        <f t="shared" si="26"/>
        <v>0</v>
      </c>
      <c r="G158" s="76">
        <f t="shared" si="26"/>
        <v>190015</v>
      </c>
      <c r="H158" s="77">
        <f t="shared" si="26"/>
        <v>190015</v>
      </c>
      <c r="I158" s="78">
        <f t="shared" si="26"/>
        <v>0</v>
      </c>
      <c r="J158" s="76">
        <f t="shared" si="26"/>
        <v>0</v>
      </c>
      <c r="K158" s="77">
        <f t="shared" si="26"/>
        <v>0</v>
      </c>
    </row>
    <row r="159" spans="1:11" ht="13.15" customHeight="1" x14ac:dyDescent="0.25">
      <c r="A159" s="63" t="s">
        <v>2377</v>
      </c>
      <c r="B159" s="55"/>
      <c r="C159" s="1316"/>
      <c r="D159" s="1316"/>
      <c r="E159" s="1317">
        <v>418082.93</v>
      </c>
      <c r="F159" s="1318"/>
      <c r="G159" s="1316">
        <f>190000+15</f>
        <v>190015</v>
      </c>
      <c r="H159" s="1319">
        <f>190000+15</f>
        <v>190015</v>
      </c>
      <c r="I159" s="1318"/>
      <c r="J159" s="1316"/>
      <c r="K159" s="1319"/>
    </row>
    <row r="160" spans="1:11" ht="4.9000000000000004" customHeight="1" x14ac:dyDescent="0.25">
      <c r="A160" s="74"/>
      <c r="B160" s="55"/>
      <c r="C160" s="76"/>
      <c r="D160" s="76"/>
      <c r="E160" s="75"/>
      <c r="F160" s="78"/>
      <c r="G160" s="76"/>
      <c r="H160" s="77"/>
      <c r="I160" s="78"/>
      <c r="J160" s="76"/>
      <c r="K160" s="77"/>
    </row>
    <row r="161" spans="1:11" ht="13.15" customHeight="1" x14ac:dyDescent="0.25">
      <c r="A161" s="54" t="s">
        <v>2514</v>
      </c>
      <c r="B161" s="55"/>
      <c r="C161" s="76">
        <f t="shared" ref="C161:K161" si="27">SUM(C162:C162)</f>
        <v>0</v>
      </c>
      <c r="D161" s="76">
        <f t="shared" si="27"/>
        <v>0</v>
      </c>
      <c r="E161" s="75">
        <f t="shared" si="27"/>
        <v>0</v>
      </c>
      <c r="F161" s="78">
        <f t="shared" si="27"/>
        <v>0</v>
      </c>
      <c r="G161" s="76">
        <f t="shared" si="27"/>
        <v>0</v>
      </c>
      <c r="H161" s="77">
        <f t="shared" si="27"/>
        <v>0</v>
      </c>
      <c r="I161" s="78">
        <f t="shared" si="27"/>
        <v>0</v>
      </c>
      <c r="J161" s="76">
        <f t="shared" si="27"/>
        <v>0</v>
      </c>
      <c r="K161" s="77">
        <f t="shared" si="27"/>
        <v>0</v>
      </c>
    </row>
    <row r="162" spans="1:11" ht="13.15" customHeight="1" x14ac:dyDescent="0.25">
      <c r="A162" s="63" t="s">
        <v>2514</v>
      </c>
      <c r="B162" s="55"/>
      <c r="C162" s="1316"/>
      <c r="D162" s="1316"/>
      <c r="E162" s="1317"/>
      <c r="F162" s="1318"/>
      <c r="G162" s="1316"/>
      <c r="H162" s="1319"/>
      <c r="I162" s="1318"/>
      <c r="J162" s="1316"/>
      <c r="K162" s="1319"/>
    </row>
    <row r="163" spans="1:11" ht="4.9000000000000004" customHeight="1" x14ac:dyDescent="0.25">
      <c r="A163" s="74"/>
      <c r="B163" s="55"/>
      <c r="C163" s="76"/>
      <c r="D163" s="76"/>
      <c r="E163" s="75"/>
      <c r="F163" s="78"/>
      <c r="G163" s="76"/>
      <c r="H163" s="77"/>
      <c r="I163" s="78"/>
      <c r="J163" s="76"/>
      <c r="K163" s="77"/>
    </row>
    <row r="164" spans="1:11" ht="13.15" customHeight="1" x14ac:dyDescent="0.25">
      <c r="A164" s="54" t="s">
        <v>2378</v>
      </c>
      <c r="B164" s="55"/>
      <c r="C164" s="76">
        <f t="shared" ref="C164:K164" si="28">SUM(C165:C165)</f>
        <v>0</v>
      </c>
      <c r="D164" s="76">
        <f t="shared" si="28"/>
        <v>0</v>
      </c>
      <c r="E164" s="75">
        <f t="shared" si="28"/>
        <v>0</v>
      </c>
      <c r="F164" s="78">
        <f t="shared" si="28"/>
        <v>0</v>
      </c>
      <c r="G164" s="76">
        <f t="shared" si="28"/>
        <v>0</v>
      </c>
      <c r="H164" s="77">
        <f t="shared" si="28"/>
        <v>0</v>
      </c>
      <c r="I164" s="78">
        <f t="shared" si="28"/>
        <v>0</v>
      </c>
      <c r="J164" s="76">
        <f t="shared" si="28"/>
        <v>0</v>
      </c>
      <c r="K164" s="77">
        <f t="shared" si="28"/>
        <v>0</v>
      </c>
    </row>
    <row r="165" spans="1:11" ht="13.15" customHeight="1" x14ac:dyDescent="0.25">
      <c r="A165" s="63" t="s">
        <v>2378</v>
      </c>
      <c r="B165" s="55"/>
      <c r="C165" s="1316"/>
      <c r="D165" s="1316"/>
      <c r="E165" s="1317"/>
      <c r="F165" s="1318"/>
      <c r="G165" s="1316"/>
      <c r="H165" s="1319"/>
      <c r="I165" s="1318"/>
      <c r="J165" s="1316"/>
      <c r="K165" s="1319"/>
    </row>
    <row r="166" spans="1:11" ht="4.9000000000000004" customHeight="1" x14ac:dyDescent="0.25">
      <c r="A166" s="74"/>
      <c r="B166" s="55"/>
      <c r="C166" s="76"/>
      <c r="D166" s="76"/>
      <c r="E166" s="75"/>
      <c r="F166" s="78"/>
      <c r="G166" s="76"/>
      <c r="H166" s="77"/>
      <c r="I166" s="78"/>
      <c r="J166" s="76"/>
      <c r="K166" s="77"/>
    </row>
    <row r="167" spans="1:11" ht="13.15" customHeight="1" x14ac:dyDescent="0.25">
      <c r="A167" s="92" t="s">
        <v>2379</v>
      </c>
      <c r="B167" s="93">
        <v>1</v>
      </c>
      <c r="C167" s="95">
        <f>C6+C74+C103+C110+C118+C136+C139+C149+C152+C155+C158+C161+C164</f>
        <v>0</v>
      </c>
      <c r="D167" s="95">
        <f t="shared" ref="D167:K167" si="29">D6+D74+D103+D110+D118+D136+D139+D149+D152+D155+D158+D161+D164</f>
        <v>62449783</v>
      </c>
      <c r="E167" s="94">
        <f t="shared" si="29"/>
        <v>53459027</v>
      </c>
      <c r="F167" s="97">
        <f t="shared" si="29"/>
        <v>15599550</v>
      </c>
      <c r="G167" s="95">
        <f t="shared" si="29"/>
        <v>39864365</v>
      </c>
      <c r="H167" s="96">
        <f t="shared" si="29"/>
        <v>39864365</v>
      </c>
      <c r="I167" s="97">
        <f t="shared" si="29"/>
        <v>16106465.1</v>
      </c>
      <c r="J167" s="95">
        <f t="shared" si="29"/>
        <v>31050141</v>
      </c>
      <c r="K167" s="96">
        <f t="shared" si="29"/>
        <v>0</v>
      </c>
    </row>
    <row r="168" spans="1:11" x14ac:dyDescent="0.25">
      <c r="A168" s="63"/>
      <c r="C168" s="770"/>
      <c r="D168" s="770"/>
      <c r="E168" s="770"/>
      <c r="F168" s="770"/>
      <c r="G168" s="770"/>
      <c r="H168" s="770"/>
      <c r="I168" s="770"/>
      <c r="J168" s="770"/>
      <c r="K168" s="770"/>
    </row>
    <row r="169" spans="1:11" x14ac:dyDescent="0.25">
      <c r="A169" s="101" t="str">
        <f>head27a</f>
        <v>References</v>
      </c>
      <c r="B169" s="645"/>
      <c r="C169" s="647"/>
      <c r="D169" s="647"/>
      <c r="E169" s="647"/>
      <c r="F169" s="647"/>
      <c r="G169" s="647"/>
      <c r="H169" s="647"/>
      <c r="I169" s="647"/>
      <c r="J169" s="647"/>
      <c r="K169" s="647"/>
    </row>
    <row r="170" spans="1:11" x14ac:dyDescent="0.25">
      <c r="A170" s="132" t="s">
        <v>2395</v>
      </c>
      <c r="B170" s="645"/>
      <c r="C170" s="648"/>
      <c r="D170" s="648"/>
      <c r="E170" s="647"/>
      <c r="F170" s="647"/>
      <c r="G170" s="647"/>
      <c r="H170" s="647"/>
      <c r="I170" s="647"/>
      <c r="J170" s="647"/>
      <c r="K170" s="647"/>
    </row>
    <row r="173" spans="1:11" ht="11.25" customHeight="1" x14ac:dyDescent="0.25">
      <c r="A173" s="133" t="s">
        <v>249</v>
      </c>
      <c r="B173" s="107"/>
      <c r="C173" s="109">
        <f>SUM(C167+SA34b!C167++SA34e!C167)-'A5-Capex'!C40</f>
        <v>0</v>
      </c>
      <c r="D173" s="109">
        <f>SUM(D167+SA34b!D167++SA34e!D167)-'A5-Capex'!D40</f>
        <v>0.28999999910593033</v>
      </c>
      <c r="E173" s="109">
        <f>SUM(E167+SA34b!E167++SA34e!E167)-'A5-Capex'!E40</f>
        <v>0</v>
      </c>
      <c r="F173" s="109">
        <f>SUM(F167+SA34b!F167++SA34e!F167)-'A5-Capex'!F40</f>
        <v>0</v>
      </c>
      <c r="G173" s="109">
        <f>SUM(G167+SA34b!G167++SA34e!G167)-'A5-Capex'!G40</f>
        <v>0</v>
      </c>
      <c r="H173" s="109">
        <f>SUM(H167+SA34b!H167++SA34e!H167)-'A5-Capex'!H40</f>
        <v>0</v>
      </c>
      <c r="I173" s="109">
        <f>SUM(I167+SA34b!I167++SA34e!I167)-'A5-Capex'!J40</f>
        <v>0</v>
      </c>
      <c r="J173" s="109">
        <f>SUM(J167+SA34b!J167++SA34e!J167)-'A5-Capex'!K40</f>
        <v>0</v>
      </c>
      <c r="K173" s="109">
        <f>SUM(K167+SA34b!K167++SA34e!K167)-'A5-Capex'!L40</f>
        <v>0</v>
      </c>
    </row>
  </sheetData>
  <mergeCells count="2">
    <mergeCell ref="F2:H2"/>
    <mergeCell ref="I2:K2"/>
  </mergeCells>
  <phoneticPr fontId="3" type="noConversion"/>
  <printOptions horizontalCentered="1"/>
  <pageMargins left="0" right="0" top="0.78740157480314965" bottom="0.59055118110236227" header="0.51181102362204722" footer="0.39370078740157483"/>
  <pageSetup paperSize="9" scale="60" fitToHeight="2" orientation="portrait"/>
  <headerFooter alignWithMargins="0"/>
  <rowBreaks count="1" manualBreakCount="1">
    <brk id="73" max="10"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8">
    <pageSetUpPr fitToPage="1"/>
  </sheetPr>
  <dimension ref="A1:L208"/>
  <sheetViews>
    <sheetView showGridLines="0" zoomScaleNormal="100" workbookViewId="0">
      <pane xSplit="2" ySplit="3" topLeftCell="C153" activePane="bottomRight" state="frozen"/>
      <selection pane="topRight"/>
      <selection pane="bottomLeft"/>
      <selection pane="bottomRight" activeCell="G163" sqref="G163"/>
    </sheetView>
  </sheetViews>
  <sheetFormatPr defaultRowHeight="12.75" x14ac:dyDescent="0.25"/>
  <cols>
    <col min="1" max="1" width="31.4257812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2" ht="13.5" customHeight="1" x14ac:dyDescent="0.25">
      <c r="A1" s="23" t="str">
        <f>muni&amp;" - "&amp;TableA34b</f>
        <v>EC101 Dr Beyers Naude - Supporting Table SA34b Capital expenditure on the renewal of existing assets by asset class</v>
      </c>
      <c r="B1" s="23"/>
      <c r="C1" s="23"/>
      <c r="D1" s="23"/>
      <c r="E1" s="23"/>
      <c r="F1" s="23"/>
      <c r="G1" s="23"/>
      <c r="H1" s="23"/>
      <c r="I1" s="23"/>
      <c r="J1" s="23"/>
      <c r="K1" s="23"/>
    </row>
    <row r="2" spans="1:12" ht="28.5" customHeight="1" x14ac:dyDescent="0.25">
      <c r="A2" s="614" t="str">
        <f>desc</f>
        <v>Description</v>
      </c>
      <c r="B2" s="220" t="str">
        <f>head27</f>
        <v>Ref</v>
      </c>
      <c r="C2" s="26" t="str">
        <f>head1b</f>
        <v>2015/16</v>
      </c>
      <c r="D2" s="475" t="str">
        <f>head1A</f>
        <v>2016/17</v>
      </c>
      <c r="E2" s="21" t="str">
        <f>Head1</f>
        <v>2017/18</v>
      </c>
      <c r="F2" s="1907" t="str">
        <f>Head2</f>
        <v>Current Year 2018/19</v>
      </c>
      <c r="G2" s="1908"/>
      <c r="H2" s="1912"/>
      <c r="I2" s="1904" t="str">
        <f>Head3</f>
        <v>2019/20 Medium Term Revenue &amp; Expenditure Framework</v>
      </c>
      <c r="J2" s="1905"/>
      <c r="K2" s="1906"/>
    </row>
    <row r="3" spans="1:12" ht="25.5" x14ac:dyDescent="0.25">
      <c r="A3" s="53" t="s">
        <v>573</v>
      </c>
      <c r="B3" s="615">
        <v>1</v>
      </c>
      <c r="C3" s="203" t="str">
        <f>Head5</f>
        <v>Audited Outcome</v>
      </c>
      <c r="D3" s="627" t="str">
        <f>Head5</f>
        <v>Audited Outcome</v>
      </c>
      <c r="E3" s="202"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2" ht="11.25" customHeight="1" x14ac:dyDescent="0.25">
      <c r="A4" s="539" t="s">
        <v>1084</v>
      </c>
      <c r="B4" s="136"/>
      <c r="C4" s="149"/>
      <c r="D4" s="149"/>
      <c r="E4" s="150"/>
      <c r="F4" s="151"/>
      <c r="G4" s="149"/>
      <c r="H4" s="152"/>
      <c r="I4" s="151"/>
      <c r="J4" s="149"/>
      <c r="K4" s="152"/>
    </row>
    <row r="5" spans="1:12" ht="4.9000000000000004" customHeight="1" x14ac:dyDescent="0.25">
      <c r="A5" s="54"/>
      <c r="B5" s="55"/>
      <c r="C5" s="153"/>
      <c r="D5" s="153"/>
      <c r="E5" s="154"/>
      <c r="F5" s="155"/>
      <c r="G5" s="153"/>
      <c r="H5" s="156"/>
      <c r="I5" s="155"/>
      <c r="J5" s="153"/>
      <c r="K5" s="156"/>
    </row>
    <row r="6" spans="1:12" ht="11.25" customHeight="1" x14ac:dyDescent="0.25">
      <c r="A6" s="54" t="s">
        <v>853</v>
      </c>
      <c r="B6" s="55"/>
      <c r="C6" s="86">
        <f>C7+C12+C16+C26+C37+C44+C52+C62+C68</f>
        <v>0</v>
      </c>
      <c r="D6" s="86">
        <f t="shared" ref="D6:K6" si="0">D7+D12+D16+D26+D37+D44+D52+D62+D68</f>
        <v>0</v>
      </c>
      <c r="E6" s="85">
        <f t="shared" si="0"/>
        <v>0</v>
      </c>
      <c r="F6" s="88">
        <f t="shared" si="0"/>
        <v>4243623</v>
      </c>
      <c r="G6" s="86">
        <f t="shared" si="0"/>
        <v>486976</v>
      </c>
      <c r="H6" s="87">
        <f t="shared" si="0"/>
        <v>486976</v>
      </c>
      <c r="I6" s="88">
        <f t="shared" si="0"/>
        <v>0</v>
      </c>
      <c r="J6" s="86">
        <f t="shared" si="0"/>
        <v>0</v>
      </c>
      <c r="K6" s="87">
        <f t="shared" si="0"/>
        <v>0</v>
      </c>
    </row>
    <row r="7" spans="1:12" s="877" customFormat="1" ht="13.5" x14ac:dyDescent="0.25">
      <c r="A7" s="63" t="s">
        <v>2272</v>
      </c>
      <c r="B7" s="55"/>
      <c r="C7" s="185">
        <f t="shared" ref="C7:K7" si="1">SUM(C8:C11)</f>
        <v>0</v>
      </c>
      <c r="D7" s="185">
        <f t="shared" si="1"/>
        <v>0</v>
      </c>
      <c r="E7" s="759">
        <f t="shared" si="1"/>
        <v>0</v>
      </c>
      <c r="F7" s="217">
        <f t="shared" si="1"/>
        <v>3799112</v>
      </c>
      <c r="G7" s="185">
        <f t="shared" si="1"/>
        <v>42465</v>
      </c>
      <c r="H7" s="699">
        <f t="shared" si="1"/>
        <v>42465</v>
      </c>
      <c r="I7" s="217">
        <f t="shared" si="1"/>
        <v>0</v>
      </c>
      <c r="J7" s="185">
        <f t="shared" si="1"/>
        <v>0</v>
      </c>
      <c r="K7" s="699">
        <f t="shared" si="1"/>
        <v>0</v>
      </c>
      <c r="L7" s="25"/>
    </row>
    <row r="8" spans="1:12" s="877" customFormat="1" ht="13.5" x14ac:dyDescent="0.25">
      <c r="A8" s="744" t="s">
        <v>638</v>
      </c>
      <c r="B8" s="55"/>
      <c r="C8" s="1316"/>
      <c r="D8" s="1316"/>
      <c r="E8" s="1317"/>
      <c r="F8" s="1318">
        <v>3799112</v>
      </c>
      <c r="G8" s="1316">
        <v>42465</v>
      </c>
      <c r="H8" s="1319">
        <v>42465</v>
      </c>
      <c r="I8" s="1318"/>
      <c r="J8" s="1316"/>
      <c r="K8" s="1319"/>
      <c r="L8" s="25"/>
    </row>
    <row r="9" spans="1:12" s="877" customFormat="1" ht="13.5" x14ac:dyDescent="0.25">
      <c r="A9" s="744" t="s">
        <v>2273</v>
      </c>
      <c r="B9" s="55"/>
      <c r="C9" s="1316"/>
      <c r="D9" s="1316"/>
      <c r="E9" s="1317"/>
      <c r="F9" s="1318"/>
      <c r="G9" s="1316"/>
      <c r="H9" s="1319"/>
      <c r="I9" s="1318"/>
      <c r="J9" s="1316"/>
      <c r="K9" s="1319"/>
      <c r="L9" s="888"/>
    </row>
    <row r="10" spans="1:12" s="877" customFormat="1" ht="13.5" x14ac:dyDescent="0.25">
      <c r="A10" s="744" t="s">
        <v>2274</v>
      </c>
      <c r="B10" s="55"/>
      <c r="C10" s="1316"/>
      <c r="D10" s="1316"/>
      <c r="E10" s="1317"/>
      <c r="F10" s="1318"/>
      <c r="G10" s="1316"/>
      <c r="H10" s="1319"/>
      <c r="I10" s="1318"/>
      <c r="J10" s="1316"/>
      <c r="K10" s="1319"/>
      <c r="L10" s="25"/>
    </row>
    <row r="11" spans="1:12" s="877" customFormat="1" ht="13.5" x14ac:dyDescent="0.25">
      <c r="A11" s="744" t="s">
        <v>2275</v>
      </c>
      <c r="B11" s="55"/>
      <c r="C11" s="1316"/>
      <c r="D11" s="1316"/>
      <c r="E11" s="1317"/>
      <c r="F11" s="1318"/>
      <c r="G11" s="1316"/>
      <c r="H11" s="1319"/>
      <c r="I11" s="1318"/>
      <c r="J11" s="1316"/>
      <c r="K11" s="1319"/>
      <c r="L11" s="888"/>
    </row>
    <row r="12" spans="1:12" s="877" customFormat="1" ht="13.5" x14ac:dyDescent="0.25">
      <c r="A12" s="63" t="s">
        <v>2276</v>
      </c>
      <c r="B12" s="55"/>
      <c r="C12" s="76">
        <f>SUM(C13:C15)</f>
        <v>0</v>
      </c>
      <c r="D12" s="76">
        <f t="shared" ref="D12:K12" si="2">SUM(D13:D15)</f>
        <v>0</v>
      </c>
      <c r="E12" s="332">
        <f t="shared" si="2"/>
        <v>0</v>
      </c>
      <c r="F12" s="79">
        <f t="shared" si="2"/>
        <v>444511</v>
      </c>
      <c r="G12" s="76">
        <f t="shared" si="2"/>
        <v>444511</v>
      </c>
      <c r="H12" s="333">
        <f t="shared" si="2"/>
        <v>444511</v>
      </c>
      <c r="I12" s="79">
        <f t="shared" si="2"/>
        <v>0</v>
      </c>
      <c r="J12" s="76">
        <f t="shared" si="2"/>
        <v>0</v>
      </c>
      <c r="K12" s="333">
        <f t="shared" si="2"/>
        <v>0</v>
      </c>
      <c r="L12" s="888"/>
    </row>
    <row r="13" spans="1:12" s="877" customFormat="1" ht="13.5" x14ac:dyDescent="0.25">
      <c r="A13" s="744" t="s">
        <v>2277</v>
      </c>
      <c r="B13" s="55"/>
      <c r="C13" s="1316"/>
      <c r="D13" s="1316"/>
      <c r="E13" s="1317"/>
      <c r="F13" s="1318"/>
      <c r="G13" s="1316"/>
      <c r="H13" s="1319"/>
      <c r="I13" s="1318"/>
      <c r="J13" s="1316"/>
      <c r="K13" s="1319"/>
      <c r="L13" s="888"/>
    </row>
    <row r="14" spans="1:12" s="877" customFormat="1" ht="13.5" x14ac:dyDescent="0.25">
      <c r="A14" s="744" t="s">
        <v>2278</v>
      </c>
      <c r="B14" s="55"/>
      <c r="C14" s="1316"/>
      <c r="D14" s="1316"/>
      <c r="E14" s="1317"/>
      <c r="F14" s="1318">
        <v>444511</v>
      </c>
      <c r="G14" s="1316">
        <v>444511</v>
      </c>
      <c r="H14" s="1319">
        <v>444511</v>
      </c>
      <c r="I14" s="1318"/>
      <c r="J14" s="1316"/>
      <c r="K14" s="1319"/>
      <c r="L14" s="888"/>
    </row>
    <row r="15" spans="1:12" s="877" customFormat="1" ht="13.5" x14ac:dyDescent="0.25">
      <c r="A15" s="744" t="s">
        <v>2279</v>
      </c>
      <c r="B15" s="55"/>
      <c r="C15" s="1316"/>
      <c r="D15" s="1316"/>
      <c r="E15" s="1317"/>
      <c r="F15" s="1318"/>
      <c r="G15" s="1316"/>
      <c r="H15" s="1319"/>
      <c r="I15" s="1318"/>
      <c r="J15" s="1316"/>
      <c r="K15" s="1319"/>
      <c r="L15" s="888"/>
    </row>
    <row r="16" spans="1:12" s="877" customFormat="1" ht="13.5" x14ac:dyDescent="0.25">
      <c r="A16" s="63" t="s">
        <v>2321</v>
      </c>
      <c r="B16" s="55"/>
      <c r="C16" s="76">
        <f t="shared" ref="C16:K16" si="3">SUM(C17:C25)</f>
        <v>0</v>
      </c>
      <c r="D16" s="76">
        <f t="shared" si="3"/>
        <v>0</v>
      </c>
      <c r="E16" s="332">
        <f t="shared" si="3"/>
        <v>0</v>
      </c>
      <c r="F16" s="79">
        <f t="shared" si="3"/>
        <v>0</v>
      </c>
      <c r="G16" s="76">
        <f t="shared" si="3"/>
        <v>0</v>
      </c>
      <c r="H16" s="333">
        <f t="shared" si="3"/>
        <v>0</v>
      </c>
      <c r="I16" s="79">
        <f t="shared" si="3"/>
        <v>0</v>
      </c>
      <c r="J16" s="76">
        <f t="shared" si="3"/>
        <v>0</v>
      </c>
      <c r="K16" s="333">
        <f t="shared" si="3"/>
        <v>0</v>
      </c>
      <c r="L16" s="888"/>
    </row>
    <row r="17" spans="1:12" s="877" customFormat="1" ht="13.5" x14ac:dyDescent="0.25">
      <c r="A17" s="744" t="s">
        <v>2280</v>
      </c>
      <c r="B17" s="55"/>
      <c r="C17" s="1316"/>
      <c r="D17" s="1316"/>
      <c r="E17" s="1317"/>
      <c r="F17" s="1318"/>
      <c r="G17" s="1316"/>
      <c r="H17" s="1319"/>
      <c r="I17" s="1318"/>
      <c r="J17" s="1316"/>
      <c r="K17" s="1319"/>
      <c r="L17" s="888"/>
    </row>
    <row r="18" spans="1:12" s="877" customFormat="1" ht="13.5" x14ac:dyDescent="0.25">
      <c r="A18" s="744" t="s">
        <v>2281</v>
      </c>
      <c r="B18" s="55"/>
      <c r="C18" s="1316"/>
      <c r="D18" s="1316"/>
      <c r="E18" s="1317"/>
      <c r="F18" s="1318"/>
      <c r="G18" s="1316"/>
      <c r="H18" s="1319"/>
      <c r="I18" s="1318"/>
      <c r="J18" s="1316"/>
      <c r="K18" s="1319"/>
      <c r="L18" s="888"/>
    </row>
    <row r="19" spans="1:12" s="877" customFormat="1" ht="13.5" x14ac:dyDescent="0.25">
      <c r="A19" s="744" t="s">
        <v>2282</v>
      </c>
      <c r="B19" s="55"/>
      <c r="C19" s="1316"/>
      <c r="D19" s="1316"/>
      <c r="E19" s="1317"/>
      <c r="F19" s="1318"/>
      <c r="G19" s="1316"/>
      <c r="H19" s="1319"/>
      <c r="I19" s="1318"/>
      <c r="J19" s="1316"/>
      <c r="K19" s="1319"/>
      <c r="L19" s="888"/>
    </row>
    <row r="20" spans="1:12" s="877" customFormat="1" ht="13.5" x14ac:dyDescent="0.25">
      <c r="A20" s="744" t="s">
        <v>2283</v>
      </c>
      <c r="B20" s="55"/>
      <c r="C20" s="1316"/>
      <c r="D20" s="1316"/>
      <c r="E20" s="1317"/>
      <c r="F20" s="1318"/>
      <c r="G20" s="1316"/>
      <c r="H20" s="1319"/>
      <c r="I20" s="1318"/>
      <c r="J20" s="1316"/>
      <c r="K20" s="1319"/>
      <c r="L20" s="888"/>
    </row>
    <row r="21" spans="1:12" s="877" customFormat="1" ht="13.5" x14ac:dyDescent="0.25">
      <c r="A21" s="744" t="s">
        <v>2284</v>
      </c>
      <c r="B21" s="55"/>
      <c r="C21" s="1316"/>
      <c r="D21" s="1316"/>
      <c r="E21" s="1317"/>
      <c r="F21" s="1318"/>
      <c r="G21" s="1316"/>
      <c r="H21" s="1319"/>
      <c r="I21" s="1318"/>
      <c r="J21" s="1316"/>
      <c r="K21" s="1319"/>
      <c r="L21" s="888"/>
    </row>
    <row r="22" spans="1:12" s="877" customFormat="1" ht="13.5" x14ac:dyDescent="0.25">
      <c r="A22" s="744" t="s">
        <v>2285</v>
      </c>
      <c r="B22" s="55"/>
      <c r="C22" s="1316"/>
      <c r="D22" s="1316"/>
      <c r="E22" s="1317"/>
      <c r="F22" s="1318"/>
      <c r="G22" s="1316"/>
      <c r="H22" s="1319"/>
      <c r="I22" s="1318"/>
      <c r="J22" s="1316"/>
      <c r="K22" s="1319"/>
      <c r="L22" s="888"/>
    </row>
    <row r="23" spans="1:12" s="877" customFormat="1" ht="13.5" x14ac:dyDescent="0.25">
      <c r="A23" s="744" t="s">
        <v>2286</v>
      </c>
      <c r="B23" s="55"/>
      <c r="C23" s="1316"/>
      <c r="D23" s="1316"/>
      <c r="E23" s="1317"/>
      <c r="F23" s="1318"/>
      <c r="G23" s="1316"/>
      <c r="H23" s="1319"/>
      <c r="I23" s="1318"/>
      <c r="J23" s="1316"/>
      <c r="K23" s="1319"/>
      <c r="L23" s="888"/>
    </row>
    <row r="24" spans="1:12" s="877" customFormat="1" ht="13.5" x14ac:dyDescent="0.25">
      <c r="A24" s="744" t="s">
        <v>2287</v>
      </c>
      <c r="B24" s="55"/>
      <c r="C24" s="1316"/>
      <c r="D24" s="1316"/>
      <c r="E24" s="1317"/>
      <c r="F24" s="1318"/>
      <c r="G24" s="1316"/>
      <c r="H24" s="1319"/>
      <c r="I24" s="1318"/>
      <c r="J24" s="1316"/>
      <c r="K24" s="1319"/>
      <c r="L24" s="888"/>
    </row>
    <row r="25" spans="1:12" s="877" customFormat="1" ht="13.5" x14ac:dyDescent="0.25">
      <c r="A25" s="744" t="s">
        <v>2275</v>
      </c>
      <c r="B25" s="55"/>
      <c r="C25" s="1316"/>
      <c r="D25" s="1316"/>
      <c r="E25" s="1317"/>
      <c r="F25" s="1318"/>
      <c r="G25" s="1316"/>
      <c r="H25" s="1319"/>
      <c r="I25" s="1318"/>
      <c r="J25" s="1316"/>
      <c r="K25" s="1319"/>
      <c r="L25" s="888"/>
    </row>
    <row r="26" spans="1:12" s="877" customFormat="1" ht="13.5" x14ac:dyDescent="0.25">
      <c r="A26" s="63" t="s">
        <v>2322</v>
      </c>
      <c r="B26" s="55"/>
      <c r="C26" s="76">
        <f>SUM(C27:C36)</f>
        <v>0</v>
      </c>
      <c r="D26" s="76">
        <f t="shared" ref="D26:K26" si="4">SUM(D27:D36)</f>
        <v>0</v>
      </c>
      <c r="E26" s="332">
        <f t="shared" si="4"/>
        <v>0</v>
      </c>
      <c r="F26" s="79">
        <f t="shared" si="4"/>
        <v>0</v>
      </c>
      <c r="G26" s="76">
        <f t="shared" si="4"/>
        <v>0</v>
      </c>
      <c r="H26" s="333">
        <f t="shared" si="4"/>
        <v>0</v>
      </c>
      <c r="I26" s="79">
        <f t="shared" si="4"/>
        <v>0</v>
      </c>
      <c r="J26" s="76">
        <f t="shared" si="4"/>
        <v>0</v>
      </c>
      <c r="K26" s="333">
        <f t="shared" si="4"/>
        <v>0</v>
      </c>
      <c r="L26" s="888"/>
    </row>
    <row r="27" spans="1:12" s="877" customFormat="1" ht="13.5" x14ac:dyDescent="0.25">
      <c r="A27" s="744" t="s">
        <v>2288</v>
      </c>
      <c r="B27" s="55"/>
      <c r="C27" s="1316"/>
      <c r="D27" s="1316"/>
      <c r="E27" s="1317"/>
      <c r="F27" s="1318"/>
      <c r="G27" s="1316"/>
      <c r="H27" s="1319"/>
      <c r="I27" s="1318"/>
      <c r="J27" s="1316"/>
      <c r="K27" s="1319"/>
      <c r="L27" s="888"/>
    </row>
    <row r="28" spans="1:12" s="877" customFormat="1" ht="13.5" x14ac:dyDescent="0.25">
      <c r="A28" s="744" t="s">
        <v>2289</v>
      </c>
      <c r="B28" s="55"/>
      <c r="C28" s="1316"/>
      <c r="D28" s="1316"/>
      <c r="E28" s="1317"/>
      <c r="F28" s="1318"/>
      <c r="G28" s="1316"/>
      <c r="H28" s="1319"/>
      <c r="I28" s="1318"/>
      <c r="J28" s="1316"/>
      <c r="K28" s="1319"/>
      <c r="L28" s="888"/>
    </row>
    <row r="29" spans="1:12" s="877" customFormat="1" ht="13.5" x14ac:dyDescent="0.25">
      <c r="A29" s="744" t="s">
        <v>2290</v>
      </c>
      <c r="B29" s="55"/>
      <c r="C29" s="1316"/>
      <c r="D29" s="1316"/>
      <c r="E29" s="1317"/>
      <c r="F29" s="1318"/>
      <c r="G29" s="1316"/>
      <c r="H29" s="1319"/>
      <c r="I29" s="1318"/>
      <c r="J29" s="1316"/>
      <c r="K29" s="1319"/>
      <c r="L29" s="888"/>
    </row>
    <row r="30" spans="1:12" s="877" customFormat="1" ht="13.5" x14ac:dyDescent="0.25">
      <c r="A30" s="744" t="s">
        <v>2291</v>
      </c>
      <c r="B30" s="55"/>
      <c r="C30" s="1316"/>
      <c r="D30" s="1316"/>
      <c r="E30" s="1317"/>
      <c r="F30" s="1318"/>
      <c r="G30" s="1316"/>
      <c r="H30" s="1319"/>
      <c r="I30" s="1318"/>
      <c r="J30" s="1316"/>
      <c r="K30" s="1319"/>
      <c r="L30" s="888"/>
    </row>
    <row r="31" spans="1:12" s="877" customFormat="1" ht="13.5" x14ac:dyDescent="0.25">
      <c r="A31" s="744" t="s">
        <v>2292</v>
      </c>
      <c r="B31" s="55"/>
      <c r="C31" s="1316"/>
      <c r="D31" s="1316"/>
      <c r="E31" s="1317"/>
      <c r="F31" s="1318"/>
      <c r="G31" s="1316"/>
      <c r="H31" s="1319"/>
      <c r="I31" s="1318"/>
      <c r="J31" s="1316"/>
      <c r="K31" s="1319"/>
      <c r="L31" s="888"/>
    </row>
    <row r="32" spans="1:12" s="877" customFormat="1" ht="13.5" x14ac:dyDescent="0.25">
      <c r="A32" s="744" t="s">
        <v>2293</v>
      </c>
      <c r="B32" s="55"/>
      <c r="C32" s="1316"/>
      <c r="D32" s="1316"/>
      <c r="E32" s="1317"/>
      <c r="F32" s="1318"/>
      <c r="G32" s="1316"/>
      <c r="H32" s="1319"/>
      <c r="I32" s="1318"/>
      <c r="J32" s="1316"/>
      <c r="K32" s="1319"/>
      <c r="L32" s="888"/>
    </row>
    <row r="33" spans="1:12" s="877" customFormat="1" ht="13.5" x14ac:dyDescent="0.25">
      <c r="A33" s="744" t="s">
        <v>2294</v>
      </c>
      <c r="B33" s="55"/>
      <c r="C33" s="1316"/>
      <c r="D33" s="1316"/>
      <c r="E33" s="1317"/>
      <c r="F33" s="1318"/>
      <c r="G33" s="1316"/>
      <c r="H33" s="1319"/>
      <c r="I33" s="1318"/>
      <c r="J33" s="1316"/>
      <c r="K33" s="1319"/>
      <c r="L33" s="888"/>
    </row>
    <row r="34" spans="1:12" s="877" customFormat="1" ht="13.5" x14ac:dyDescent="0.25">
      <c r="A34" s="744" t="s">
        <v>2295</v>
      </c>
      <c r="B34" s="55"/>
      <c r="C34" s="1316"/>
      <c r="D34" s="1316"/>
      <c r="E34" s="1317"/>
      <c r="F34" s="1318"/>
      <c r="G34" s="1316"/>
      <c r="H34" s="1319"/>
      <c r="I34" s="1318"/>
      <c r="J34" s="1316"/>
      <c r="K34" s="1319"/>
      <c r="L34" s="888"/>
    </row>
    <row r="35" spans="1:12" s="877" customFormat="1" ht="13.5" x14ac:dyDescent="0.25">
      <c r="A35" s="744" t="s">
        <v>2296</v>
      </c>
      <c r="B35" s="55"/>
      <c r="C35" s="1316"/>
      <c r="D35" s="1316"/>
      <c r="E35" s="1317"/>
      <c r="F35" s="1318"/>
      <c r="G35" s="1316"/>
      <c r="H35" s="1319"/>
      <c r="I35" s="1318"/>
      <c r="J35" s="1316"/>
      <c r="K35" s="1319"/>
      <c r="L35" s="888"/>
    </row>
    <row r="36" spans="1:12" s="877" customFormat="1" ht="13.5" x14ac:dyDescent="0.25">
      <c r="A36" s="744" t="s">
        <v>2275</v>
      </c>
      <c r="B36" s="55"/>
      <c r="C36" s="1316"/>
      <c r="D36" s="1316"/>
      <c r="E36" s="1317"/>
      <c r="F36" s="1318"/>
      <c r="G36" s="1316"/>
      <c r="H36" s="1319"/>
      <c r="I36" s="1318"/>
      <c r="J36" s="1316"/>
      <c r="K36" s="1319"/>
      <c r="L36" s="888"/>
    </row>
    <row r="37" spans="1:12" s="877" customFormat="1" ht="13.5" x14ac:dyDescent="0.25">
      <c r="A37" s="63" t="s">
        <v>2323</v>
      </c>
      <c r="B37" s="55"/>
      <c r="C37" s="76">
        <f>SUM(C38:C43)</f>
        <v>0</v>
      </c>
      <c r="D37" s="76">
        <f t="shared" ref="D37:K37" si="5">SUM(D38:D43)</f>
        <v>0</v>
      </c>
      <c r="E37" s="332">
        <f t="shared" si="5"/>
        <v>0</v>
      </c>
      <c r="F37" s="79">
        <f t="shared" si="5"/>
        <v>0</v>
      </c>
      <c r="G37" s="76">
        <f t="shared" si="5"/>
        <v>0</v>
      </c>
      <c r="H37" s="333">
        <f t="shared" si="5"/>
        <v>0</v>
      </c>
      <c r="I37" s="79">
        <f t="shared" si="5"/>
        <v>0</v>
      </c>
      <c r="J37" s="76">
        <f t="shared" si="5"/>
        <v>0</v>
      </c>
      <c r="K37" s="333">
        <f t="shared" si="5"/>
        <v>0</v>
      </c>
      <c r="L37" s="888"/>
    </row>
    <row r="38" spans="1:12" s="877" customFormat="1" ht="13.5" x14ac:dyDescent="0.25">
      <c r="A38" s="744" t="s">
        <v>2297</v>
      </c>
      <c r="B38" s="55"/>
      <c r="C38" s="1316"/>
      <c r="D38" s="1316"/>
      <c r="E38" s="1317"/>
      <c r="F38" s="1318"/>
      <c r="G38" s="1316"/>
      <c r="H38" s="1319"/>
      <c r="I38" s="1318"/>
      <c r="J38" s="1316"/>
      <c r="K38" s="1319"/>
      <c r="L38" s="888"/>
    </row>
    <row r="39" spans="1:12" s="877" customFormat="1" ht="13.5" x14ac:dyDescent="0.25">
      <c r="A39" s="744" t="s">
        <v>25</v>
      </c>
      <c r="B39" s="55"/>
      <c r="C39" s="1316"/>
      <c r="D39" s="1316"/>
      <c r="E39" s="1317"/>
      <c r="F39" s="1318"/>
      <c r="G39" s="1316"/>
      <c r="H39" s="1319"/>
      <c r="I39" s="1318"/>
      <c r="J39" s="1316"/>
      <c r="K39" s="1319"/>
      <c r="L39" s="888"/>
    </row>
    <row r="40" spans="1:12" s="877" customFormat="1" ht="13.5" x14ac:dyDescent="0.25">
      <c r="A40" s="744" t="s">
        <v>2298</v>
      </c>
      <c r="B40" s="55"/>
      <c r="C40" s="1316"/>
      <c r="D40" s="1316"/>
      <c r="E40" s="1317"/>
      <c r="F40" s="1318"/>
      <c r="G40" s="1316"/>
      <c r="H40" s="1319"/>
      <c r="I40" s="1318"/>
      <c r="J40" s="1316"/>
      <c r="K40" s="1319"/>
      <c r="L40" s="888"/>
    </row>
    <row r="41" spans="1:12" s="877" customFormat="1" ht="13.5" x14ac:dyDescent="0.25">
      <c r="A41" s="744" t="s">
        <v>2299</v>
      </c>
      <c r="B41" s="55"/>
      <c r="C41" s="1316"/>
      <c r="D41" s="1316"/>
      <c r="E41" s="1317"/>
      <c r="F41" s="1318"/>
      <c r="G41" s="1316"/>
      <c r="H41" s="1319"/>
      <c r="I41" s="1318"/>
      <c r="J41" s="1316"/>
      <c r="K41" s="1319"/>
      <c r="L41" s="888"/>
    </row>
    <row r="42" spans="1:12" s="877" customFormat="1" ht="13.5" x14ac:dyDescent="0.25">
      <c r="A42" s="744" t="s">
        <v>2300</v>
      </c>
      <c r="B42" s="55"/>
      <c r="C42" s="1316"/>
      <c r="D42" s="1316"/>
      <c r="E42" s="1317"/>
      <c r="F42" s="1318"/>
      <c r="G42" s="1316"/>
      <c r="H42" s="1319"/>
      <c r="I42" s="1318"/>
      <c r="J42" s="1316"/>
      <c r="K42" s="1319"/>
      <c r="L42" s="888"/>
    </row>
    <row r="43" spans="1:12" s="877" customFormat="1" ht="13.5" x14ac:dyDescent="0.25">
      <c r="A43" s="744" t="s">
        <v>2275</v>
      </c>
      <c r="B43" s="55"/>
      <c r="C43" s="1316"/>
      <c r="D43" s="1316"/>
      <c r="E43" s="1317"/>
      <c r="F43" s="1318"/>
      <c r="G43" s="1316"/>
      <c r="H43" s="1319"/>
      <c r="I43" s="1318"/>
      <c r="J43" s="1316"/>
      <c r="K43" s="1319"/>
      <c r="L43" s="888"/>
    </row>
    <row r="44" spans="1:12" s="877" customFormat="1" ht="13.5" x14ac:dyDescent="0.25">
      <c r="A44" s="63" t="s">
        <v>2301</v>
      </c>
      <c r="B44" s="55"/>
      <c r="C44" s="76">
        <f>SUM(C45:C51)</f>
        <v>0</v>
      </c>
      <c r="D44" s="76">
        <f t="shared" ref="D44:K44" si="6">SUM(D45:D51)</f>
        <v>0</v>
      </c>
      <c r="E44" s="332">
        <f t="shared" si="6"/>
        <v>0</v>
      </c>
      <c r="F44" s="79">
        <f t="shared" si="6"/>
        <v>0</v>
      </c>
      <c r="G44" s="76">
        <f t="shared" si="6"/>
        <v>0</v>
      </c>
      <c r="H44" s="333">
        <f t="shared" si="6"/>
        <v>0</v>
      </c>
      <c r="I44" s="79">
        <f t="shared" si="6"/>
        <v>0</v>
      </c>
      <c r="J44" s="76">
        <f t="shared" si="6"/>
        <v>0</v>
      </c>
      <c r="K44" s="333">
        <f t="shared" si="6"/>
        <v>0</v>
      </c>
      <c r="L44" s="888"/>
    </row>
    <row r="45" spans="1:12" s="877" customFormat="1" ht="13.5" x14ac:dyDescent="0.25">
      <c r="A45" s="744" t="s">
        <v>2302</v>
      </c>
      <c r="B45" s="55"/>
      <c r="C45" s="1316"/>
      <c r="D45" s="1316"/>
      <c r="E45" s="1317"/>
      <c r="F45" s="1318"/>
      <c r="G45" s="1316"/>
      <c r="H45" s="1319"/>
      <c r="I45" s="1318"/>
      <c r="J45" s="1316"/>
      <c r="K45" s="1319"/>
      <c r="L45" s="888"/>
    </row>
    <row r="46" spans="1:12" s="877" customFormat="1" ht="13.5" x14ac:dyDescent="0.25">
      <c r="A46" s="744" t="s">
        <v>2303</v>
      </c>
      <c r="B46" s="55"/>
      <c r="C46" s="1316"/>
      <c r="D46" s="1316"/>
      <c r="E46" s="1317"/>
      <c r="F46" s="1318"/>
      <c r="G46" s="1316"/>
      <c r="H46" s="1319"/>
      <c r="I46" s="1318"/>
      <c r="J46" s="1316"/>
      <c r="K46" s="1319"/>
      <c r="L46" s="888"/>
    </row>
    <row r="47" spans="1:12" s="877" customFormat="1" ht="13.5" x14ac:dyDescent="0.25">
      <c r="A47" s="744" t="s">
        <v>2304</v>
      </c>
      <c r="B47" s="55"/>
      <c r="C47" s="1316"/>
      <c r="D47" s="1316"/>
      <c r="E47" s="1317"/>
      <c r="F47" s="1318"/>
      <c r="G47" s="1316"/>
      <c r="H47" s="1319"/>
      <c r="I47" s="1318"/>
      <c r="J47" s="1316"/>
      <c r="K47" s="1319"/>
      <c r="L47" s="888"/>
    </row>
    <row r="48" spans="1:12" s="877" customFormat="1" ht="13.5" x14ac:dyDescent="0.25">
      <c r="A48" s="744" t="s">
        <v>2305</v>
      </c>
      <c r="B48" s="55"/>
      <c r="C48" s="1316"/>
      <c r="D48" s="1316"/>
      <c r="E48" s="1317"/>
      <c r="F48" s="1318"/>
      <c r="G48" s="1316"/>
      <c r="H48" s="1319"/>
      <c r="I48" s="1318"/>
      <c r="J48" s="1316"/>
      <c r="K48" s="1319"/>
      <c r="L48" s="888"/>
    </row>
    <row r="49" spans="1:12" s="877" customFormat="1" ht="13.5" x14ac:dyDescent="0.25">
      <c r="A49" s="744" t="s">
        <v>2306</v>
      </c>
      <c r="B49" s="55"/>
      <c r="C49" s="1316"/>
      <c r="D49" s="1316"/>
      <c r="E49" s="1317"/>
      <c r="F49" s="1318"/>
      <c r="G49" s="1316"/>
      <c r="H49" s="1319"/>
      <c r="I49" s="1318"/>
      <c r="J49" s="1316"/>
      <c r="K49" s="1319"/>
      <c r="L49" s="888"/>
    </row>
    <row r="50" spans="1:12" s="877" customFormat="1" ht="13.5" x14ac:dyDescent="0.25">
      <c r="A50" s="744" t="s">
        <v>2307</v>
      </c>
      <c r="B50" s="55"/>
      <c r="C50" s="1316"/>
      <c r="D50" s="1316"/>
      <c r="E50" s="1317"/>
      <c r="F50" s="1318"/>
      <c r="G50" s="1316"/>
      <c r="H50" s="1319"/>
      <c r="I50" s="1318"/>
      <c r="J50" s="1316"/>
      <c r="K50" s="1319"/>
      <c r="L50" s="888"/>
    </row>
    <row r="51" spans="1:12" s="877" customFormat="1" ht="13.5" x14ac:dyDescent="0.25">
      <c r="A51" s="744" t="s">
        <v>2275</v>
      </c>
      <c r="B51" s="55"/>
      <c r="C51" s="1316"/>
      <c r="D51" s="1316"/>
      <c r="E51" s="1317"/>
      <c r="F51" s="1318"/>
      <c r="G51" s="1316"/>
      <c r="H51" s="1319"/>
      <c r="I51" s="1318"/>
      <c r="J51" s="1316"/>
      <c r="K51" s="1319"/>
      <c r="L51" s="888"/>
    </row>
    <row r="52" spans="1:12" s="877" customFormat="1" ht="13.5" x14ac:dyDescent="0.25">
      <c r="A52" s="63" t="s">
        <v>2317</v>
      </c>
      <c r="B52" s="55"/>
      <c r="C52" s="76">
        <f t="shared" ref="C52:K52" si="7">SUM(C53:C61)</f>
        <v>0</v>
      </c>
      <c r="D52" s="76">
        <f t="shared" si="7"/>
        <v>0</v>
      </c>
      <c r="E52" s="332">
        <f t="shared" si="7"/>
        <v>0</v>
      </c>
      <c r="F52" s="79">
        <f t="shared" si="7"/>
        <v>0</v>
      </c>
      <c r="G52" s="76">
        <f t="shared" si="7"/>
        <v>0</v>
      </c>
      <c r="H52" s="333">
        <f t="shared" si="7"/>
        <v>0</v>
      </c>
      <c r="I52" s="79">
        <f t="shared" si="7"/>
        <v>0</v>
      </c>
      <c r="J52" s="76">
        <f t="shared" si="7"/>
        <v>0</v>
      </c>
      <c r="K52" s="333">
        <f t="shared" si="7"/>
        <v>0</v>
      </c>
      <c r="L52" s="888"/>
    </row>
    <row r="53" spans="1:12" s="877" customFormat="1" ht="13.5" x14ac:dyDescent="0.25">
      <c r="A53" s="744" t="s">
        <v>2318</v>
      </c>
      <c r="B53" s="55"/>
      <c r="C53" s="1316"/>
      <c r="D53" s="1316"/>
      <c r="E53" s="1317"/>
      <c r="F53" s="1318"/>
      <c r="G53" s="1316"/>
      <c r="H53" s="1319"/>
      <c r="I53" s="1318"/>
      <c r="J53" s="1316"/>
      <c r="K53" s="1319"/>
      <c r="L53" s="888"/>
    </row>
    <row r="54" spans="1:12" s="877" customFormat="1" ht="13.5" x14ac:dyDescent="0.25">
      <c r="A54" s="744" t="s">
        <v>2319</v>
      </c>
      <c r="B54" s="55"/>
      <c r="C54" s="1316"/>
      <c r="D54" s="1316"/>
      <c r="E54" s="1317"/>
      <c r="F54" s="1318"/>
      <c r="G54" s="1316"/>
      <c r="H54" s="1319"/>
      <c r="I54" s="1318"/>
      <c r="J54" s="1316"/>
      <c r="K54" s="1319"/>
      <c r="L54" s="888"/>
    </row>
    <row r="55" spans="1:12" s="877" customFormat="1" ht="13.5" x14ac:dyDescent="0.25">
      <c r="A55" s="744" t="s">
        <v>2320</v>
      </c>
      <c r="B55" s="55"/>
      <c r="C55" s="1316"/>
      <c r="D55" s="1316"/>
      <c r="E55" s="1317"/>
      <c r="F55" s="1318"/>
      <c r="G55" s="1316"/>
      <c r="H55" s="1319"/>
      <c r="I55" s="1318"/>
      <c r="J55" s="1316"/>
      <c r="K55" s="1319"/>
      <c r="L55" s="888"/>
    </row>
    <row r="56" spans="1:12" s="877" customFormat="1" ht="13.5" x14ac:dyDescent="0.25">
      <c r="A56" s="744" t="s">
        <v>2277</v>
      </c>
      <c r="B56" s="55"/>
      <c r="C56" s="1316"/>
      <c r="D56" s="1316"/>
      <c r="E56" s="1317"/>
      <c r="F56" s="1318"/>
      <c r="G56" s="1316"/>
      <c r="H56" s="1319"/>
      <c r="I56" s="1318"/>
      <c r="J56" s="1316"/>
      <c r="K56" s="1319"/>
      <c r="L56" s="888"/>
    </row>
    <row r="57" spans="1:12" s="877" customFormat="1" ht="13.5" x14ac:dyDescent="0.25">
      <c r="A57" s="744" t="s">
        <v>2278</v>
      </c>
      <c r="B57" s="55"/>
      <c r="C57" s="1316"/>
      <c r="D57" s="1316"/>
      <c r="E57" s="1317"/>
      <c r="F57" s="1318"/>
      <c r="G57" s="1316"/>
      <c r="H57" s="1319"/>
      <c r="I57" s="1318"/>
      <c r="J57" s="1316"/>
      <c r="K57" s="1319"/>
      <c r="L57" s="888"/>
    </row>
    <row r="58" spans="1:12" s="877" customFormat="1" ht="13.5" x14ac:dyDescent="0.25">
      <c r="A58" s="744" t="s">
        <v>2279</v>
      </c>
      <c r="B58" s="55"/>
      <c r="C58" s="1316"/>
      <c r="D58" s="1316"/>
      <c r="E58" s="1317"/>
      <c r="F58" s="1318"/>
      <c r="G58" s="1316"/>
      <c r="H58" s="1319"/>
      <c r="I58" s="1318"/>
      <c r="J58" s="1316"/>
      <c r="K58" s="1319"/>
      <c r="L58" s="888"/>
    </row>
    <row r="59" spans="1:12" s="877" customFormat="1" ht="13.5" x14ac:dyDescent="0.25">
      <c r="A59" s="744" t="s">
        <v>2284</v>
      </c>
      <c r="B59" s="55"/>
      <c r="C59" s="1316"/>
      <c r="D59" s="1316"/>
      <c r="E59" s="1317"/>
      <c r="F59" s="1318"/>
      <c r="G59" s="1316"/>
      <c r="H59" s="1319"/>
      <c r="I59" s="1318"/>
      <c r="J59" s="1316"/>
      <c r="K59" s="1319"/>
      <c r="L59" s="888"/>
    </row>
    <row r="60" spans="1:12" s="877" customFormat="1" ht="13.5" x14ac:dyDescent="0.25">
      <c r="A60" s="744" t="s">
        <v>2287</v>
      </c>
      <c r="B60" s="55"/>
      <c r="C60" s="1316"/>
      <c r="D60" s="1316"/>
      <c r="E60" s="1317"/>
      <c r="F60" s="1318"/>
      <c r="G60" s="1316"/>
      <c r="H60" s="1319"/>
      <c r="I60" s="1318"/>
      <c r="J60" s="1316"/>
      <c r="K60" s="1319"/>
      <c r="L60" s="888"/>
    </row>
    <row r="61" spans="1:12" s="877" customFormat="1" ht="13.5" x14ac:dyDescent="0.25">
      <c r="A61" s="744" t="s">
        <v>2275</v>
      </c>
      <c r="B61" s="55"/>
      <c r="C61" s="1316"/>
      <c r="D61" s="1316"/>
      <c r="E61" s="1317"/>
      <c r="F61" s="1318"/>
      <c r="G61" s="1316"/>
      <c r="H61" s="1319"/>
      <c r="I61" s="1318"/>
      <c r="J61" s="1316"/>
      <c r="K61" s="1319"/>
      <c r="L61" s="888"/>
    </row>
    <row r="62" spans="1:12" s="877" customFormat="1" ht="13.5" x14ac:dyDescent="0.25">
      <c r="A62" s="63" t="s">
        <v>2312</v>
      </c>
      <c r="B62" s="55"/>
      <c r="C62" s="76">
        <f>SUM(C63:C67)</f>
        <v>0</v>
      </c>
      <c r="D62" s="76">
        <f t="shared" ref="D62:K62" si="8">SUM(D63:D67)</f>
        <v>0</v>
      </c>
      <c r="E62" s="332">
        <f t="shared" si="8"/>
        <v>0</v>
      </c>
      <c r="F62" s="79">
        <f t="shared" si="8"/>
        <v>0</v>
      </c>
      <c r="G62" s="76">
        <f t="shared" si="8"/>
        <v>0</v>
      </c>
      <c r="H62" s="333">
        <f t="shared" si="8"/>
        <v>0</v>
      </c>
      <c r="I62" s="79">
        <f t="shared" si="8"/>
        <v>0</v>
      </c>
      <c r="J62" s="76">
        <f t="shared" si="8"/>
        <v>0</v>
      </c>
      <c r="K62" s="333">
        <f t="shared" si="8"/>
        <v>0</v>
      </c>
      <c r="L62" s="888"/>
    </row>
    <row r="63" spans="1:12" s="877" customFormat="1" ht="13.5" x14ac:dyDescent="0.25">
      <c r="A63" s="744" t="s">
        <v>2313</v>
      </c>
      <c r="B63" s="55"/>
      <c r="C63" s="1316"/>
      <c r="D63" s="1316"/>
      <c r="E63" s="1317"/>
      <c r="F63" s="1318"/>
      <c r="G63" s="1316"/>
      <c r="H63" s="1319"/>
      <c r="I63" s="1318"/>
      <c r="J63" s="1316"/>
      <c r="K63" s="1319"/>
      <c r="L63" s="888"/>
    </row>
    <row r="64" spans="1:12" s="877" customFormat="1" ht="13.5" x14ac:dyDescent="0.25">
      <c r="A64" s="744" t="s">
        <v>2314</v>
      </c>
      <c r="B64" s="55"/>
      <c r="C64" s="1316"/>
      <c r="D64" s="1316"/>
      <c r="E64" s="1317"/>
      <c r="F64" s="1318"/>
      <c r="G64" s="1316"/>
      <c r="H64" s="1319"/>
      <c r="I64" s="1318"/>
      <c r="J64" s="1316"/>
      <c r="K64" s="1319"/>
      <c r="L64" s="888"/>
    </row>
    <row r="65" spans="1:12" s="877" customFormat="1" ht="13.5" x14ac:dyDescent="0.25">
      <c r="A65" s="744" t="s">
        <v>2315</v>
      </c>
      <c r="B65" s="55"/>
      <c r="C65" s="1316"/>
      <c r="D65" s="1316"/>
      <c r="E65" s="1317"/>
      <c r="F65" s="1318"/>
      <c r="G65" s="1316"/>
      <c r="H65" s="1319"/>
      <c r="I65" s="1318"/>
      <c r="J65" s="1316"/>
      <c r="K65" s="1319"/>
      <c r="L65" s="888"/>
    </row>
    <row r="66" spans="1:12" s="877" customFormat="1" ht="13.5" x14ac:dyDescent="0.25">
      <c r="A66" s="744" t="s">
        <v>2316</v>
      </c>
      <c r="B66" s="55"/>
      <c r="C66" s="1316"/>
      <c r="D66" s="1316"/>
      <c r="E66" s="1317"/>
      <c r="F66" s="1318"/>
      <c r="G66" s="1316"/>
      <c r="H66" s="1319"/>
      <c r="I66" s="1318"/>
      <c r="J66" s="1316"/>
      <c r="K66" s="1319"/>
      <c r="L66" s="888"/>
    </row>
    <row r="67" spans="1:12" s="877" customFormat="1" ht="13.5" x14ac:dyDescent="0.25">
      <c r="A67" s="744" t="s">
        <v>2275</v>
      </c>
      <c r="B67" s="55"/>
      <c r="C67" s="1316"/>
      <c r="D67" s="1316"/>
      <c r="E67" s="1317"/>
      <c r="F67" s="1318"/>
      <c r="G67" s="1316"/>
      <c r="H67" s="1319"/>
      <c r="I67" s="1318"/>
      <c r="J67" s="1316"/>
      <c r="K67" s="1319"/>
      <c r="L67" s="888"/>
    </row>
    <row r="68" spans="1:12" s="877" customFormat="1" ht="13.5" x14ac:dyDescent="0.25">
      <c r="A68" s="63" t="s">
        <v>2308</v>
      </c>
      <c r="B68" s="55"/>
      <c r="C68" s="76">
        <f>SUM(C69:C72)</f>
        <v>0</v>
      </c>
      <c r="D68" s="76">
        <f t="shared" ref="D68:K68" si="9">SUM(D69:D72)</f>
        <v>0</v>
      </c>
      <c r="E68" s="332">
        <f t="shared" si="9"/>
        <v>0</v>
      </c>
      <c r="F68" s="79">
        <f t="shared" si="9"/>
        <v>0</v>
      </c>
      <c r="G68" s="76">
        <f t="shared" si="9"/>
        <v>0</v>
      </c>
      <c r="H68" s="333">
        <f t="shared" si="9"/>
        <v>0</v>
      </c>
      <c r="I68" s="79">
        <f t="shared" si="9"/>
        <v>0</v>
      </c>
      <c r="J68" s="76">
        <f t="shared" si="9"/>
        <v>0</v>
      </c>
      <c r="K68" s="333">
        <f t="shared" si="9"/>
        <v>0</v>
      </c>
      <c r="L68" s="888"/>
    </row>
    <row r="69" spans="1:12" s="877" customFormat="1" ht="13.5" x14ac:dyDescent="0.25">
      <c r="A69" s="744" t="s">
        <v>2309</v>
      </c>
      <c r="B69" s="55"/>
      <c r="C69" s="1316"/>
      <c r="D69" s="1316"/>
      <c r="E69" s="1317"/>
      <c r="F69" s="1318"/>
      <c r="G69" s="1316"/>
      <c r="H69" s="1319"/>
      <c r="I69" s="1318"/>
      <c r="J69" s="1316"/>
      <c r="K69" s="1319"/>
      <c r="L69" s="25"/>
    </row>
    <row r="70" spans="1:12" s="877" customFormat="1" ht="13.5" x14ac:dyDescent="0.25">
      <c r="A70" s="744" t="s">
        <v>2310</v>
      </c>
      <c r="B70" s="55"/>
      <c r="C70" s="1316"/>
      <c r="D70" s="1316"/>
      <c r="E70" s="1317"/>
      <c r="F70" s="1318"/>
      <c r="G70" s="1316"/>
      <c r="H70" s="1319"/>
      <c r="I70" s="1318"/>
      <c r="J70" s="1316"/>
      <c r="K70" s="1319"/>
      <c r="L70" s="888"/>
    </row>
    <row r="71" spans="1:12" s="877" customFormat="1" ht="13.5" x14ac:dyDescent="0.25">
      <c r="A71" s="744" t="s">
        <v>2311</v>
      </c>
      <c r="B71" s="55"/>
      <c r="C71" s="1316"/>
      <c r="D71" s="1316"/>
      <c r="E71" s="1317"/>
      <c r="F71" s="1318"/>
      <c r="G71" s="1316"/>
      <c r="H71" s="1319"/>
      <c r="I71" s="1318"/>
      <c r="J71" s="1316"/>
      <c r="K71" s="1319"/>
      <c r="L71" s="888"/>
    </row>
    <row r="72" spans="1:12" s="877" customFormat="1" ht="13.5" x14ac:dyDescent="0.25">
      <c r="A72" s="744" t="s">
        <v>2275</v>
      </c>
      <c r="B72" s="55"/>
      <c r="C72" s="1316"/>
      <c r="D72" s="1316"/>
      <c r="E72" s="1317"/>
      <c r="F72" s="1318"/>
      <c r="G72" s="1316"/>
      <c r="H72" s="1319"/>
      <c r="I72" s="1318"/>
      <c r="J72" s="1316"/>
      <c r="K72" s="1319"/>
      <c r="L72" s="888"/>
    </row>
    <row r="73" spans="1:12" ht="4.9000000000000004" customHeight="1" x14ac:dyDescent="0.25">
      <c r="A73" s="74"/>
      <c r="B73" s="55"/>
      <c r="C73" s="76"/>
      <c r="D73" s="76"/>
      <c r="E73" s="75"/>
      <c r="F73" s="78"/>
      <c r="G73" s="76"/>
      <c r="H73" s="77"/>
      <c r="I73" s="78"/>
      <c r="J73" s="76"/>
      <c r="K73" s="77"/>
    </row>
    <row r="74" spans="1:12" ht="17.25" customHeight="1" x14ac:dyDescent="0.25">
      <c r="A74" s="54" t="s">
        <v>2324</v>
      </c>
      <c r="B74" s="55"/>
      <c r="C74" s="86">
        <f>C75+C98</f>
        <v>0</v>
      </c>
      <c r="D74" s="86">
        <f t="shared" ref="D74:K74" si="10">D75+D98</f>
        <v>0</v>
      </c>
      <c r="E74" s="85">
        <f t="shared" si="10"/>
        <v>0</v>
      </c>
      <c r="F74" s="88">
        <f t="shared" si="10"/>
        <v>0</v>
      </c>
      <c r="G74" s="86">
        <f t="shared" si="10"/>
        <v>0</v>
      </c>
      <c r="H74" s="87">
        <f t="shared" si="10"/>
        <v>0</v>
      </c>
      <c r="I74" s="88">
        <f t="shared" si="10"/>
        <v>0</v>
      </c>
      <c r="J74" s="86">
        <f t="shared" si="10"/>
        <v>0</v>
      </c>
      <c r="K74" s="87">
        <f t="shared" si="10"/>
        <v>0</v>
      </c>
    </row>
    <row r="75" spans="1:12" s="877" customFormat="1" ht="13.5" x14ac:dyDescent="0.25">
      <c r="A75" s="63" t="s">
        <v>2325</v>
      </c>
      <c r="B75" s="55"/>
      <c r="C75" s="185">
        <f>SUM(C76:C97)</f>
        <v>0</v>
      </c>
      <c r="D75" s="185">
        <f t="shared" ref="D75:K75" si="11">SUM(D76:D97)</f>
        <v>0</v>
      </c>
      <c r="E75" s="759">
        <f t="shared" si="11"/>
        <v>0</v>
      </c>
      <c r="F75" s="217">
        <f t="shared" si="11"/>
        <v>0</v>
      </c>
      <c r="G75" s="185">
        <f t="shared" si="11"/>
        <v>0</v>
      </c>
      <c r="H75" s="699">
        <f t="shared" si="11"/>
        <v>0</v>
      </c>
      <c r="I75" s="217">
        <f t="shared" si="11"/>
        <v>0</v>
      </c>
      <c r="J75" s="185">
        <f t="shared" si="11"/>
        <v>0</v>
      </c>
      <c r="K75" s="699">
        <f t="shared" si="11"/>
        <v>0</v>
      </c>
      <c r="L75" s="888"/>
    </row>
    <row r="76" spans="1:12" ht="11.25" customHeight="1" x14ac:dyDescent="0.25">
      <c r="A76" s="744" t="s">
        <v>2326</v>
      </c>
      <c r="B76" s="55"/>
      <c r="C76" s="1316"/>
      <c r="D76" s="1316"/>
      <c r="E76" s="1317"/>
      <c r="F76" s="1318"/>
      <c r="G76" s="1316"/>
      <c r="H76" s="1319"/>
      <c r="I76" s="1318"/>
      <c r="J76" s="1316"/>
      <c r="K76" s="1319"/>
      <c r="L76" s="888"/>
    </row>
    <row r="77" spans="1:12" ht="11.25" customHeight="1" x14ac:dyDescent="0.25">
      <c r="A77" s="744" t="s">
        <v>2327</v>
      </c>
      <c r="B77" s="55"/>
      <c r="C77" s="1316"/>
      <c r="D77" s="1316"/>
      <c r="E77" s="1317"/>
      <c r="F77" s="1318"/>
      <c r="G77" s="1316"/>
      <c r="H77" s="1319"/>
      <c r="I77" s="1318"/>
      <c r="J77" s="1316"/>
      <c r="K77" s="1319"/>
      <c r="L77" s="888"/>
    </row>
    <row r="78" spans="1:12" ht="11.25" customHeight="1" x14ac:dyDescent="0.25">
      <c r="A78" s="744" t="s">
        <v>2328</v>
      </c>
      <c r="B78" s="55"/>
      <c r="C78" s="1316"/>
      <c r="D78" s="1316"/>
      <c r="E78" s="1317"/>
      <c r="F78" s="1318"/>
      <c r="G78" s="1316"/>
      <c r="H78" s="1319"/>
      <c r="I78" s="1318"/>
      <c r="J78" s="1316"/>
      <c r="K78" s="1319"/>
      <c r="L78" s="888"/>
    </row>
    <row r="79" spans="1:12" ht="11.25" customHeight="1" x14ac:dyDescent="0.25">
      <c r="A79" s="744" t="s">
        <v>2329</v>
      </c>
      <c r="B79" s="55"/>
      <c r="C79" s="1316"/>
      <c r="D79" s="1316"/>
      <c r="E79" s="1317"/>
      <c r="F79" s="1318"/>
      <c r="G79" s="1316"/>
      <c r="H79" s="1319"/>
      <c r="I79" s="1318"/>
      <c r="J79" s="1316"/>
      <c r="K79" s="1319"/>
      <c r="L79" s="888"/>
    </row>
    <row r="80" spans="1:12" ht="11.25" customHeight="1" x14ac:dyDescent="0.25">
      <c r="A80" s="744" t="s">
        <v>2330</v>
      </c>
      <c r="B80" s="55"/>
      <c r="C80" s="1316"/>
      <c r="D80" s="1316"/>
      <c r="E80" s="1317"/>
      <c r="F80" s="1318"/>
      <c r="G80" s="1316"/>
      <c r="H80" s="1319"/>
      <c r="I80" s="1318"/>
      <c r="J80" s="1316"/>
      <c r="K80" s="1319"/>
      <c r="L80" s="888"/>
    </row>
    <row r="81" spans="1:12" ht="11.25" customHeight="1" x14ac:dyDescent="0.25">
      <c r="A81" s="744" t="s">
        <v>2331</v>
      </c>
      <c r="B81" s="55"/>
      <c r="C81" s="1316"/>
      <c r="D81" s="1316"/>
      <c r="E81" s="1317"/>
      <c r="F81" s="1318"/>
      <c r="G81" s="1316"/>
      <c r="H81" s="1319"/>
      <c r="I81" s="1318"/>
      <c r="J81" s="1316"/>
      <c r="K81" s="1319"/>
      <c r="L81" s="888"/>
    </row>
    <row r="82" spans="1:12" ht="11.25" customHeight="1" x14ac:dyDescent="0.25">
      <c r="A82" s="744" t="s">
        <v>2332</v>
      </c>
      <c r="B82" s="55"/>
      <c r="C82" s="1316"/>
      <c r="D82" s="1316"/>
      <c r="E82" s="1317"/>
      <c r="F82" s="1318"/>
      <c r="G82" s="1316"/>
      <c r="H82" s="1319"/>
      <c r="I82" s="1318"/>
      <c r="J82" s="1316"/>
      <c r="K82" s="1319"/>
      <c r="L82" s="888"/>
    </row>
    <row r="83" spans="1:12" ht="11.25" customHeight="1" x14ac:dyDescent="0.25">
      <c r="A83" s="744" t="s">
        <v>2333</v>
      </c>
      <c r="B83" s="55"/>
      <c r="C83" s="1316"/>
      <c r="D83" s="1316"/>
      <c r="E83" s="1317"/>
      <c r="F83" s="1318"/>
      <c r="G83" s="1316"/>
      <c r="H83" s="1319"/>
      <c r="I83" s="1318"/>
      <c r="J83" s="1316"/>
      <c r="K83" s="1319"/>
      <c r="L83" s="888"/>
    </row>
    <row r="84" spans="1:12" ht="11.25" customHeight="1" x14ac:dyDescent="0.25">
      <c r="A84" s="744" t="s">
        <v>2334</v>
      </c>
      <c r="B84" s="55"/>
      <c r="C84" s="1316"/>
      <c r="D84" s="1316"/>
      <c r="E84" s="1317"/>
      <c r="F84" s="1318"/>
      <c r="G84" s="1316"/>
      <c r="H84" s="1319"/>
      <c r="I84" s="1318"/>
      <c r="J84" s="1316"/>
      <c r="K84" s="1319"/>
      <c r="L84" s="888"/>
    </row>
    <row r="85" spans="1:12" ht="11.25" customHeight="1" x14ac:dyDescent="0.25">
      <c r="A85" s="744" t="s">
        <v>289</v>
      </c>
      <c r="B85" s="55"/>
      <c r="C85" s="1316"/>
      <c r="D85" s="1316"/>
      <c r="E85" s="1317"/>
      <c r="F85" s="1318"/>
      <c r="G85" s="1316"/>
      <c r="H85" s="1319"/>
      <c r="I85" s="1318"/>
      <c r="J85" s="1316"/>
      <c r="K85" s="1319"/>
      <c r="L85" s="888"/>
    </row>
    <row r="86" spans="1:12" ht="11.25" customHeight="1" x14ac:dyDescent="0.25">
      <c r="A86" s="744" t="s">
        <v>2335</v>
      </c>
      <c r="B86" s="55"/>
      <c r="C86" s="1316"/>
      <c r="D86" s="1316"/>
      <c r="E86" s="1317"/>
      <c r="F86" s="1318"/>
      <c r="G86" s="1316"/>
      <c r="H86" s="1319"/>
      <c r="I86" s="1318"/>
      <c r="J86" s="1316"/>
      <c r="K86" s="1319"/>
      <c r="L86" s="888"/>
    </row>
    <row r="87" spans="1:12" ht="11.25" customHeight="1" x14ac:dyDescent="0.25">
      <c r="A87" s="744" t="s">
        <v>1470</v>
      </c>
      <c r="B87" s="55"/>
      <c r="C87" s="1316"/>
      <c r="D87" s="1316"/>
      <c r="E87" s="1317"/>
      <c r="F87" s="1318"/>
      <c r="G87" s="1316"/>
      <c r="H87" s="1319"/>
      <c r="I87" s="1318"/>
      <c r="J87" s="1316"/>
      <c r="K87" s="1319"/>
      <c r="L87" s="888"/>
    </row>
    <row r="88" spans="1:12" ht="11.25" customHeight="1" x14ac:dyDescent="0.25">
      <c r="A88" s="744" t="s">
        <v>2512</v>
      </c>
      <c r="B88" s="55"/>
      <c r="C88" s="1316"/>
      <c r="D88" s="1316"/>
      <c r="E88" s="1317"/>
      <c r="F88" s="1318"/>
      <c r="G88" s="1316"/>
      <c r="H88" s="1319"/>
      <c r="I88" s="1318"/>
      <c r="J88" s="1316"/>
      <c r="K88" s="1319"/>
      <c r="L88" s="888"/>
    </row>
    <row r="89" spans="1:12" ht="11.25" customHeight="1" x14ac:dyDescent="0.25">
      <c r="A89" s="744" t="s">
        <v>2337</v>
      </c>
      <c r="B89" s="55"/>
      <c r="C89" s="1316"/>
      <c r="D89" s="1316"/>
      <c r="E89" s="1317"/>
      <c r="F89" s="1318"/>
      <c r="G89" s="1316"/>
      <c r="H89" s="1319"/>
      <c r="I89" s="1318"/>
      <c r="J89" s="1316"/>
      <c r="K89" s="1319"/>
      <c r="L89" s="888"/>
    </row>
    <row r="90" spans="1:12" ht="11.25" customHeight="1" x14ac:dyDescent="0.25">
      <c r="A90" s="744" t="s">
        <v>2338</v>
      </c>
      <c r="B90" s="55"/>
      <c r="C90" s="1316"/>
      <c r="D90" s="1316"/>
      <c r="E90" s="1317"/>
      <c r="F90" s="1318"/>
      <c r="G90" s="1316"/>
      <c r="H90" s="1319"/>
      <c r="I90" s="1318"/>
      <c r="J90" s="1316"/>
      <c r="K90" s="1319"/>
      <c r="L90" s="888"/>
    </row>
    <row r="91" spans="1:12" ht="11.25" customHeight="1" x14ac:dyDescent="0.25">
      <c r="A91" s="744" t="s">
        <v>2339</v>
      </c>
      <c r="B91" s="55"/>
      <c r="C91" s="1316"/>
      <c r="D91" s="1316"/>
      <c r="E91" s="1317"/>
      <c r="F91" s="1318"/>
      <c r="G91" s="1316"/>
      <c r="H91" s="1319"/>
      <c r="I91" s="1318"/>
      <c r="J91" s="1316"/>
      <c r="K91" s="1319"/>
      <c r="L91" s="888"/>
    </row>
    <row r="92" spans="1:12" ht="11.25" customHeight="1" x14ac:dyDescent="0.25">
      <c r="A92" s="744" t="s">
        <v>1097</v>
      </c>
      <c r="B92" s="55"/>
      <c r="C92" s="1316"/>
      <c r="D92" s="1316"/>
      <c r="E92" s="1317"/>
      <c r="F92" s="1318"/>
      <c r="G92" s="1316"/>
      <c r="H92" s="1319"/>
      <c r="I92" s="1318"/>
      <c r="J92" s="1316"/>
      <c r="K92" s="1319"/>
      <c r="L92" s="888"/>
    </row>
    <row r="93" spans="1:12" ht="11.25" customHeight="1" x14ac:dyDescent="0.25">
      <c r="A93" s="744" t="s">
        <v>2340</v>
      </c>
      <c r="B93" s="55"/>
      <c r="C93" s="1316"/>
      <c r="D93" s="1316"/>
      <c r="E93" s="1317"/>
      <c r="F93" s="1318"/>
      <c r="G93" s="1316"/>
      <c r="H93" s="1319"/>
      <c r="I93" s="1318"/>
      <c r="J93" s="1316"/>
      <c r="K93" s="1319"/>
      <c r="L93" s="888"/>
    </row>
    <row r="94" spans="1:12" ht="11.25" customHeight="1" x14ac:dyDescent="0.25">
      <c r="A94" s="744" t="s">
        <v>1096</v>
      </c>
      <c r="B94" s="55"/>
      <c r="C94" s="1316"/>
      <c r="D94" s="1316"/>
      <c r="E94" s="1317"/>
      <c r="F94" s="1318"/>
      <c r="G94" s="1316"/>
      <c r="H94" s="1319"/>
      <c r="I94" s="1318"/>
      <c r="J94" s="1316"/>
      <c r="K94" s="1319"/>
      <c r="L94" s="888"/>
    </row>
    <row r="95" spans="1:12" ht="11.25" customHeight="1" x14ac:dyDescent="0.25">
      <c r="A95" s="744" t="s">
        <v>2341</v>
      </c>
      <c r="B95" s="55"/>
      <c r="C95" s="1316"/>
      <c r="D95" s="1316"/>
      <c r="E95" s="1317"/>
      <c r="F95" s="1318"/>
      <c r="G95" s="1316"/>
      <c r="H95" s="1319"/>
      <c r="I95" s="1318"/>
      <c r="J95" s="1316"/>
      <c r="K95" s="1319"/>
      <c r="L95" s="888"/>
    </row>
    <row r="96" spans="1:12" ht="11.25" customHeight="1" x14ac:dyDescent="0.25">
      <c r="A96" s="744" t="s">
        <v>2342</v>
      </c>
      <c r="B96" s="55"/>
      <c r="C96" s="1316"/>
      <c r="D96" s="1316"/>
      <c r="E96" s="1317"/>
      <c r="F96" s="1318"/>
      <c r="G96" s="1316"/>
      <c r="H96" s="1319"/>
      <c r="I96" s="1318"/>
      <c r="J96" s="1316"/>
      <c r="K96" s="1319"/>
    </row>
    <row r="97" spans="1:12" ht="11.25" customHeight="1" x14ac:dyDescent="0.25">
      <c r="A97" s="744" t="s">
        <v>2275</v>
      </c>
      <c r="B97" s="55"/>
      <c r="C97" s="1316"/>
      <c r="D97" s="1316"/>
      <c r="E97" s="1317"/>
      <c r="F97" s="1318"/>
      <c r="G97" s="1316"/>
      <c r="H97" s="1319"/>
      <c r="I97" s="1318"/>
      <c r="J97" s="1316"/>
      <c r="K97" s="1319"/>
      <c r="L97" s="888"/>
    </row>
    <row r="98" spans="1:12" s="877" customFormat="1" ht="13.5" x14ac:dyDescent="0.25">
      <c r="A98" s="63" t="s">
        <v>2343</v>
      </c>
      <c r="B98" s="55"/>
      <c r="C98" s="76">
        <f>SUM(C99:C101)</f>
        <v>0</v>
      </c>
      <c r="D98" s="76">
        <f t="shared" ref="D98:K98" si="12">SUM(D99:D101)</f>
        <v>0</v>
      </c>
      <c r="E98" s="332">
        <f t="shared" si="12"/>
        <v>0</v>
      </c>
      <c r="F98" s="79">
        <f t="shared" si="12"/>
        <v>0</v>
      </c>
      <c r="G98" s="76">
        <f t="shared" si="12"/>
        <v>0</v>
      </c>
      <c r="H98" s="333">
        <f t="shared" si="12"/>
        <v>0</v>
      </c>
      <c r="I98" s="79">
        <f t="shared" si="12"/>
        <v>0</v>
      </c>
      <c r="J98" s="76">
        <f t="shared" si="12"/>
        <v>0</v>
      </c>
      <c r="K98" s="333">
        <f t="shared" si="12"/>
        <v>0</v>
      </c>
      <c r="L98" s="888"/>
    </row>
    <row r="99" spans="1:12" s="877" customFormat="1" ht="13.5" x14ac:dyDescent="0.25">
      <c r="A99" s="744" t="s">
        <v>2344</v>
      </c>
      <c r="B99" s="55"/>
      <c r="C99" s="1316"/>
      <c r="D99" s="1316"/>
      <c r="E99" s="1317"/>
      <c r="F99" s="1318"/>
      <c r="G99" s="1316"/>
      <c r="H99" s="1319"/>
      <c r="I99" s="1318"/>
      <c r="J99" s="1316"/>
      <c r="K99" s="1319"/>
      <c r="L99" s="25"/>
    </row>
    <row r="100" spans="1:12" s="877" customFormat="1" ht="13.5" x14ac:dyDescent="0.25">
      <c r="A100" s="744" t="s">
        <v>2345</v>
      </c>
      <c r="B100" s="55"/>
      <c r="C100" s="1316"/>
      <c r="D100" s="1316"/>
      <c r="E100" s="1317"/>
      <c r="F100" s="1318"/>
      <c r="G100" s="1316"/>
      <c r="H100" s="1319"/>
      <c r="I100" s="1318"/>
      <c r="J100" s="1316"/>
      <c r="K100" s="1319"/>
      <c r="L100" s="888"/>
    </row>
    <row r="101" spans="1:12" s="877" customFormat="1" ht="13.5" x14ac:dyDescent="0.25">
      <c r="A101" s="744" t="s">
        <v>2275</v>
      </c>
      <c r="B101" s="55"/>
      <c r="C101" s="1316"/>
      <c r="D101" s="1316"/>
      <c r="E101" s="1317"/>
      <c r="F101" s="1318"/>
      <c r="G101" s="1316"/>
      <c r="H101" s="1319"/>
      <c r="I101" s="1318"/>
      <c r="J101" s="1316"/>
      <c r="K101" s="1319"/>
      <c r="L101" s="888"/>
    </row>
    <row r="102" spans="1:12" ht="4.9000000000000004" customHeight="1" x14ac:dyDescent="0.25">
      <c r="A102" s="74"/>
      <c r="B102" s="55"/>
      <c r="C102" s="76"/>
      <c r="D102" s="76"/>
      <c r="E102" s="75"/>
      <c r="F102" s="78"/>
      <c r="G102" s="76"/>
      <c r="H102" s="77"/>
      <c r="I102" s="78"/>
      <c r="J102" s="76"/>
      <c r="K102" s="77"/>
    </row>
    <row r="103" spans="1:12" ht="17.25" customHeight="1" x14ac:dyDescent="0.25">
      <c r="A103" s="54" t="s">
        <v>843</v>
      </c>
      <c r="B103" s="55"/>
      <c r="C103" s="76">
        <f>SUM(C104:C108)</f>
        <v>0</v>
      </c>
      <c r="D103" s="76">
        <f t="shared" ref="D103:K103" si="13">SUM(D104:D108)</f>
        <v>0</v>
      </c>
      <c r="E103" s="75">
        <f t="shared" si="13"/>
        <v>0</v>
      </c>
      <c r="F103" s="78">
        <f t="shared" si="13"/>
        <v>0</v>
      </c>
      <c r="G103" s="76">
        <f t="shared" si="13"/>
        <v>0</v>
      </c>
      <c r="H103" s="77">
        <f t="shared" si="13"/>
        <v>0</v>
      </c>
      <c r="I103" s="78">
        <f t="shared" si="13"/>
        <v>0</v>
      </c>
      <c r="J103" s="76">
        <f t="shared" si="13"/>
        <v>0</v>
      </c>
      <c r="K103" s="77">
        <f t="shared" si="13"/>
        <v>0</v>
      </c>
    </row>
    <row r="104" spans="1:12" ht="11.25" customHeight="1" x14ac:dyDescent="0.25">
      <c r="A104" s="63" t="s">
        <v>2346</v>
      </c>
      <c r="B104" s="55"/>
      <c r="C104" s="1316"/>
      <c r="D104" s="1316"/>
      <c r="E104" s="1317"/>
      <c r="F104" s="1318"/>
      <c r="G104" s="1316"/>
      <c r="H104" s="1319"/>
      <c r="I104" s="1318"/>
      <c r="J104" s="1316"/>
      <c r="K104" s="1319"/>
    </row>
    <row r="105" spans="1:12" ht="11.25" customHeight="1" x14ac:dyDescent="0.25">
      <c r="A105" s="63" t="s">
        <v>2347</v>
      </c>
      <c r="B105" s="55"/>
      <c r="C105" s="1316"/>
      <c r="D105" s="1316"/>
      <c r="E105" s="1317"/>
      <c r="F105" s="1318"/>
      <c r="G105" s="1316"/>
      <c r="H105" s="1319"/>
      <c r="I105" s="1318"/>
      <c r="J105" s="1316"/>
      <c r="K105" s="1319"/>
    </row>
    <row r="106" spans="1:12" ht="11.25" customHeight="1" x14ac:dyDescent="0.25">
      <c r="A106" s="63" t="s">
        <v>2348</v>
      </c>
      <c r="B106" s="55"/>
      <c r="C106" s="1316"/>
      <c r="D106" s="1316"/>
      <c r="E106" s="1317"/>
      <c r="F106" s="1318"/>
      <c r="G106" s="1316"/>
      <c r="H106" s="1319"/>
      <c r="I106" s="1318"/>
      <c r="J106" s="1316"/>
      <c r="K106" s="1319"/>
    </row>
    <row r="107" spans="1:12" ht="11.25" customHeight="1" x14ac:dyDescent="0.25">
      <c r="A107" s="63" t="s">
        <v>2349</v>
      </c>
      <c r="B107" s="55"/>
      <c r="C107" s="1316"/>
      <c r="D107" s="1316"/>
      <c r="E107" s="1317"/>
      <c r="F107" s="1318"/>
      <c r="G107" s="1316"/>
      <c r="H107" s="1319"/>
      <c r="I107" s="1318"/>
      <c r="J107" s="1316"/>
      <c r="K107" s="1319"/>
    </row>
    <row r="108" spans="1:12" ht="11.25" customHeight="1" x14ac:dyDescent="0.25">
      <c r="A108" s="63" t="s">
        <v>2350</v>
      </c>
      <c r="B108" s="55"/>
      <c r="C108" s="1316"/>
      <c r="D108" s="1316"/>
      <c r="E108" s="1317"/>
      <c r="F108" s="1318"/>
      <c r="G108" s="1316"/>
      <c r="H108" s="1319"/>
      <c r="I108" s="1318"/>
      <c r="J108" s="1316"/>
      <c r="K108" s="1319"/>
    </row>
    <row r="109" spans="1:12" ht="4.9000000000000004" customHeight="1" x14ac:dyDescent="0.25">
      <c r="A109" s="74"/>
      <c r="B109" s="55"/>
      <c r="C109" s="76"/>
      <c r="D109" s="76"/>
      <c r="E109" s="75"/>
      <c r="F109" s="78"/>
      <c r="G109" s="76"/>
      <c r="H109" s="77"/>
      <c r="I109" s="78"/>
      <c r="J109" s="76"/>
      <c r="K109" s="77"/>
    </row>
    <row r="110" spans="1:12" ht="17.25" customHeight="1" x14ac:dyDescent="0.25">
      <c r="A110" s="54" t="s">
        <v>844</v>
      </c>
      <c r="B110" s="55"/>
      <c r="C110" s="86">
        <f>+C111+C114</f>
        <v>0</v>
      </c>
      <c r="D110" s="86">
        <f t="shared" ref="D110:K110" si="14">+D111+D114</f>
        <v>0</v>
      </c>
      <c r="E110" s="85">
        <f t="shared" si="14"/>
        <v>0</v>
      </c>
      <c r="F110" s="88">
        <f t="shared" si="14"/>
        <v>0</v>
      </c>
      <c r="G110" s="86">
        <f t="shared" si="14"/>
        <v>0</v>
      </c>
      <c r="H110" s="87">
        <f t="shared" si="14"/>
        <v>0</v>
      </c>
      <c r="I110" s="88">
        <f t="shared" si="14"/>
        <v>0</v>
      </c>
      <c r="J110" s="86">
        <f t="shared" si="14"/>
        <v>0</v>
      </c>
      <c r="K110" s="87">
        <f t="shared" si="14"/>
        <v>0</v>
      </c>
    </row>
    <row r="111" spans="1:12" s="877" customFormat="1" ht="13.5" x14ac:dyDescent="0.25">
      <c r="A111" s="63" t="s">
        <v>2380</v>
      </c>
      <c r="B111" s="55"/>
      <c r="C111" s="185">
        <f t="shared" ref="C111:K111" si="15">SUM(C112:C113)</f>
        <v>0</v>
      </c>
      <c r="D111" s="185">
        <f t="shared" si="15"/>
        <v>0</v>
      </c>
      <c r="E111" s="759">
        <f t="shared" si="15"/>
        <v>0</v>
      </c>
      <c r="F111" s="217">
        <f t="shared" si="15"/>
        <v>0</v>
      </c>
      <c r="G111" s="185">
        <f t="shared" si="15"/>
        <v>0</v>
      </c>
      <c r="H111" s="699">
        <f t="shared" si="15"/>
        <v>0</v>
      </c>
      <c r="I111" s="217">
        <f t="shared" si="15"/>
        <v>0</v>
      </c>
      <c r="J111" s="185">
        <f t="shared" si="15"/>
        <v>0</v>
      </c>
      <c r="K111" s="699">
        <f t="shared" si="15"/>
        <v>0</v>
      </c>
      <c r="L111" s="888"/>
    </row>
    <row r="112" spans="1:12" s="877" customFormat="1" ht="13.5" x14ac:dyDescent="0.25">
      <c r="A112" s="744" t="s">
        <v>2381</v>
      </c>
      <c r="B112" s="55"/>
      <c r="C112" s="1316"/>
      <c r="D112" s="1316"/>
      <c r="E112" s="1317"/>
      <c r="F112" s="1318"/>
      <c r="G112" s="1316"/>
      <c r="H112" s="1319"/>
      <c r="I112" s="1318"/>
      <c r="J112" s="1316"/>
      <c r="K112" s="1319"/>
      <c r="L112" s="25"/>
    </row>
    <row r="113" spans="1:12" s="877" customFormat="1" ht="13.5" x14ac:dyDescent="0.25">
      <c r="A113" s="744" t="s">
        <v>2382</v>
      </c>
      <c r="B113" s="55"/>
      <c r="C113" s="1316"/>
      <c r="D113" s="1316"/>
      <c r="E113" s="1317"/>
      <c r="F113" s="1318"/>
      <c r="G113" s="1316"/>
      <c r="H113" s="1319"/>
      <c r="I113" s="1318"/>
      <c r="J113" s="1316"/>
      <c r="K113" s="1319"/>
      <c r="L113" s="888"/>
    </row>
    <row r="114" spans="1:12" s="877" customFormat="1" ht="13.5" x14ac:dyDescent="0.25">
      <c r="A114" s="63" t="s">
        <v>2383</v>
      </c>
      <c r="B114" s="55"/>
      <c r="C114" s="76">
        <f>SUM(C115:C116)</f>
        <v>0</v>
      </c>
      <c r="D114" s="76">
        <f t="shared" ref="D114:K114" si="16">SUM(D115:D116)</f>
        <v>0</v>
      </c>
      <c r="E114" s="332">
        <f t="shared" si="16"/>
        <v>0</v>
      </c>
      <c r="F114" s="79">
        <f t="shared" si="16"/>
        <v>0</v>
      </c>
      <c r="G114" s="76">
        <f t="shared" si="16"/>
        <v>0</v>
      </c>
      <c r="H114" s="333">
        <f t="shared" si="16"/>
        <v>0</v>
      </c>
      <c r="I114" s="79">
        <f t="shared" si="16"/>
        <v>0</v>
      </c>
      <c r="J114" s="76">
        <f t="shared" si="16"/>
        <v>0</v>
      </c>
      <c r="K114" s="333">
        <f t="shared" si="16"/>
        <v>0</v>
      </c>
      <c r="L114" s="888"/>
    </row>
    <row r="115" spans="1:12" s="877" customFormat="1" ht="13.5" x14ac:dyDescent="0.25">
      <c r="A115" s="744" t="s">
        <v>2381</v>
      </c>
      <c r="B115" s="55"/>
      <c r="C115" s="1316"/>
      <c r="D115" s="1316"/>
      <c r="E115" s="1317"/>
      <c r="F115" s="1318"/>
      <c r="G115" s="1316"/>
      <c r="H115" s="1319"/>
      <c r="I115" s="1318"/>
      <c r="J115" s="1316"/>
      <c r="K115" s="1319"/>
      <c r="L115" s="25"/>
    </row>
    <row r="116" spans="1:12" s="877" customFormat="1" ht="13.5" x14ac:dyDescent="0.25">
      <c r="A116" s="744" t="s">
        <v>2382</v>
      </c>
      <c r="B116" s="55"/>
      <c r="C116" s="1316"/>
      <c r="D116" s="1316"/>
      <c r="E116" s="1317"/>
      <c r="F116" s="1318"/>
      <c r="G116" s="1316"/>
      <c r="H116" s="1319"/>
      <c r="I116" s="1318"/>
      <c r="J116" s="1316"/>
      <c r="K116" s="1319"/>
      <c r="L116" s="888"/>
    </row>
    <row r="117" spans="1:12" ht="4.9000000000000004" customHeight="1" x14ac:dyDescent="0.25">
      <c r="A117" s="74"/>
      <c r="B117" s="55"/>
      <c r="C117" s="76"/>
      <c r="D117" s="76"/>
      <c r="E117" s="75"/>
      <c r="F117" s="78"/>
      <c r="G117" s="76"/>
      <c r="H117" s="77"/>
      <c r="I117" s="78"/>
      <c r="J117" s="76"/>
      <c r="K117" s="77"/>
    </row>
    <row r="118" spans="1:12" ht="17.25" customHeight="1" x14ac:dyDescent="0.25">
      <c r="A118" s="54" t="s">
        <v>845</v>
      </c>
      <c r="B118" s="55"/>
      <c r="C118" s="86">
        <f>+C119+C131</f>
        <v>0</v>
      </c>
      <c r="D118" s="86">
        <f t="shared" ref="D118:K118" si="17">+D119+D131</f>
        <v>0</v>
      </c>
      <c r="E118" s="85">
        <f t="shared" si="17"/>
        <v>0</v>
      </c>
      <c r="F118" s="88">
        <f t="shared" si="17"/>
        <v>0</v>
      </c>
      <c r="G118" s="86">
        <f t="shared" si="17"/>
        <v>0</v>
      </c>
      <c r="H118" s="87">
        <f t="shared" si="17"/>
        <v>0</v>
      </c>
      <c r="I118" s="88">
        <f t="shared" si="17"/>
        <v>0</v>
      </c>
      <c r="J118" s="86">
        <f t="shared" si="17"/>
        <v>0</v>
      </c>
      <c r="K118" s="87">
        <f t="shared" si="17"/>
        <v>0</v>
      </c>
    </row>
    <row r="119" spans="1:12" s="877" customFormat="1" ht="13.5" x14ac:dyDescent="0.25">
      <c r="A119" s="63" t="s">
        <v>2351</v>
      </c>
      <c r="B119" s="55"/>
      <c r="C119" s="185">
        <f>SUM(C120:C130)</f>
        <v>0</v>
      </c>
      <c r="D119" s="185">
        <f t="shared" ref="D119:K119" si="18">SUM(D120:D130)</f>
        <v>0</v>
      </c>
      <c r="E119" s="759">
        <f t="shared" si="18"/>
        <v>0</v>
      </c>
      <c r="F119" s="217">
        <f t="shared" si="18"/>
        <v>0</v>
      </c>
      <c r="G119" s="185">
        <f t="shared" si="18"/>
        <v>0</v>
      </c>
      <c r="H119" s="699">
        <f t="shared" si="18"/>
        <v>0</v>
      </c>
      <c r="I119" s="217">
        <f t="shared" si="18"/>
        <v>0</v>
      </c>
      <c r="J119" s="185">
        <f t="shared" si="18"/>
        <v>0</v>
      </c>
      <c r="K119" s="699">
        <f t="shared" si="18"/>
        <v>0</v>
      </c>
      <c r="L119" s="888"/>
    </row>
    <row r="120" spans="1:12" s="877" customFormat="1" ht="13.5" x14ac:dyDescent="0.25">
      <c r="A120" s="744" t="s">
        <v>2352</v>
      </c>
      <c r="B120" s="55"/>
      <c r="C120" s="1316"/>
      <c r="D120" s="1316"/>
      <c r="E120" s="1317"/>
      <c r="F120" s="1318"/>
      <c r="G120" s="1316"/>
      <c r="H120" s="1319"/>
      <c r="I120" s="1318"/>
      <c r="J120" s="1316"/>
      <c r="K120" s="1319"/>
      <c r="L120" s="25"/>
    </row>
    <row r="121" spans="1:12" s="877" customFormat="1" ht="13.5" x14ac:dyDescent="0.25">
      <c r="A121" s="744" t="s">
        <v>2353</v>
      </c>
      <c r="B121" s="55"/>
      <c r="C121" s="1316"/>
      <c r="D121" s="1316"/>
      <c r="E121" s="1317"/>
      <c r="F121" s="1318"/>
      <c r="G121" s="1316"/>
      <c r="H121" s="1319"/>
      <c r="I121" s="1318"/>
      <c r="J121" s="1316"/>
      <c r="K121" s="1319"/>
      <c r="L121" s="25"/>
    </row>
    <row r="122" spans="1:12" s="877" customFormat="1" ht="13.5" x14ac:dyDescent="0.25">
      <c r="A122" s="744" t="s">
        <v>2354</v>
      </c>
      <c r="B122" s="55"/>
      <c r="C122" s="1316"/>
      <c r="D122" s="1316"/>
      <c r="E122" s="1317"/>
      <c r="F122" s="1318"/>
      <c r="G122" s="1316"/>
      <c r="H122" s="1319"/>
      <c r="I122" s="1318"/>
      <c r="J122" s="1316"/>
      <c r="K122" s="1319"/>
      <c r="L122" s="25"/>
    </row>
    <row r="123" spans="1:12" s="877" customFormat="1" ht="13.5" x14ac:dyDescent="0.25">
      <c r="A123" s="744" t="s">
        <v>2355</v>
      </c>
      <c r="B123" s="55"/>
      <c r="C123" s="1316"/>
      <c r="D123" s="1316"/>
      <c r="E123" s="1317"/>
      <c r="F123" s="1318"/>
      <c r="G123" s="1316"/>
      <c r="H123" s="1319"/>
      <c r="I123" s="1318"/>
      <c r="J123" s="1316"/>
      <c r="K123" s="1319"/>
      <c r="L123" s="25"/>
    </row>
    <row r="124" spans="1:12" s="877" customFormat="1" ht="13.5" x14ac:dyDescent="0.25">
      <c r="A124" s="744" t="s">
        <v>2356</v>
      </c>
      <c r="B124" s="55"/>
      <c r="C124" s="1316"/>
      <c r="D124" s="1316"/>
      <c r="E124" s="1317"/>
      <c r="F124" s="1318"/>
      <c r="G124" s="1316"/>
      <c r="H124" s="1319"/>
      <c r="I124" s="1318"/>
      <c r="J124" s="1316"/>
      <c r="K124" s="1319"/>
      <c r="L124" s="25"/>
    </row>
    <row r="125" spans="1:12" s="877" customFormat="1" ht="13.5" x14ac:dyDescent="0.25">
      <c r="A125" s="744" t="s">
        <v>2357</v>
      </c>
      <c r="B125" s="55"/>
      <c r="C125" s="1316"/>
      <c r="D125" s="1316"/>
      <c r="E125" s="1317"/>
      <c r="F125" s="1318"/>
      <c r="G125" s="1316"/>
      <c r="H125" s="1319"/>
      <c r="I125" s="1318"/>
      <c r="J125" s="1316"/>
      <c r="K125" s="1319"/>
      <c r="L125" s="25"/>
    </row>
    <row r="126" spans="1:12" s="877" customFormat="1" ht="13.5" x14ac:dyDescent="0.25">
      <c r="A126" s="744" t="s">
        <v>2358</v>
      </c>
      <c r="B126" s="55"/>
      <c r="C126" s="1316"/>
      <c r="D126" s="1316"/>
      <c r="E126" s="1317"/>
      <c r="F126" s="1318"/>
      <c r="G126" s="1316"/>
      <c r="H126" s="1319"/>
      <c r="I126" s="1318"/>
      <c r="J126" s="1316"/>
      <c r="K126" s="1319"/>
      <c r="L126" s="25"/>
    </row>
    <row r="127" spans="1:12" s="877" customFormat="1" ht="13.5" x14ac:dyDescent="0.25">
      <c r="A127" s="744" t="s">
        <v>2359</v>
      </c>
      <c r="B127" s="55"/>
      <c r="C127" s="1316"/>
      <c r="D127" s="1316"/>
      <c r="E127" s="1317"/>
      <c r="F127" s="1318"/>
      <c r="G127" s="1316"/>
      <c r="H127" s="1319"/>
      <c r="I127" s="1318"/>
      <c r="J127" s="1316"/>
      <c r="K127" s="1319"/>
      <c r="L127" s="25"/>
    </row>
    <row r="128" spans="1:12" s="877" customFormat="1" ht="13.5" x14ac:dyDescent="0.25">
      <c r="A128" s="744" t="s">
        <v>2360</v>
      </c>
      <c r="B128" s="55"/>
      <c r="C128" s="1316"/>
      <c r="D128" s="1316"/>
      <c r="E128" s="1317"/>
      <c r="F128" s="1318"/>
      <c r="G128" s="1316"/>
      <c r="H128" s="1319"/>
      <c r="I128" s="1318"/>
      <c r="J128" s="1316"/>
      <c r="K128" s="1319"/>
      <c r="L128" s="25"/>
    </row>
    <row r="129" spans="1:12" s="877" customFormat="1" ht="13.5" x14ac:dyDescent="0.25">
      <c r="A129" s="744" t="s">
        <v>2361</v>
      </c>
      <c r="B129" s="55"/>
      <c r="C129" s="1316"/>
      <c r="D129" s="1316"/>
      <c r="E129" s="1317"/>
      <c r="F129" s="1318"/>
      <c r="G129" s="1316"/>
      <c r="H129" s="1319"/>
      <c r="I129" s="1318"/>
      <c r="J129" s="1316"/>
      <c r="K129" s="1319"/>
      <c r="L129" s="25"/>
    </row>
    <row r="130" spans="1:12" s="877" customFormat="1" ht="13.5" x14ac:dyDescent="0.25">
      <c r="A130" s="744" t="s">
        <v>2275</v>
      </c>
      <c r="B130" s="55"/>
      <c r="C130" s="1316"/>
      <c r="D130" s="1316"/>
      <c r="E130" s="1317"/>
      <c r="F130" s="1318"/>
      <c r="G130" s="1316"/>
      <c r="H130" s="1319"/>
      <c r="I130" s="1318"/>
      <c r="J130" s="1316"/>
      <c r="K130" s="1319"/>
      <c r="L130" s="25"/>
    </row>
    <row r="131" spans="1:12" s="877" customFormat="1" ht="13.5" x14ac:dyDescent="0.25">
      <c r="A131" s="63" t="s">
        <v>1513</v>
      </c>
      <c r="B131" s="55"/>
      <c r="C131" s="76">
        <f>SUM(C132:C134)</f>
        <v>0</v>
      </c>
      <c r="D131" s="76">
        <f t="shared" ref="D131:K131" si="19">SUM(D132:D134)</f>
        <v>0</v>
      </c>
      <c r="E131" s="332">
        <f t="shared" si="19"/>
        <v>0</v>
      </c>
      <c r="F131" s="79">
        <f t="shared" si="19"/>
        <v>0</v>
      </c>
      <c r="G131" s="76">
        <f t="shared" si="19"/>
        <v>0</v>
      </c>
      <c r="H131" s="333">
        <f t="shared" si="19"/>
        <v>0</v>
      </c>
      <c r="I131" s="79">
        <f t="shared" si="19"/>
        <v>0</v>
      </c>
      <c r="J131" s="76">
        <f t="shared" si="19"/>
        <v>0</v>
      </c>
      <c r="K131" s="333">
        <f t="shared" si="19"/>
        <v>0</v>
      </c>
      <c r="L131" s="25"/>
    </row>
    <row r="132" spans="1:12" s="877" customFormat="1" ht="13.5" x14ac:dyDescent="0.25">
      <c r="A132" s="744" t="s">
        <v>2362</v>
      </c>
      <c r="B132" s="55"/>
      <c r="C132" s="1316"/>
      <c r="D132" s="1316"/>
      <c r="E132" s="1317"/>
      <c r="F132" s="1318"/>
      <c r="G132" s="1316"/>
      <c r="H132" s="1319"/>
      <c r="I132" s="1318"/>
      <c r="J132" s="1316"/>
      <c r="K132" s="1319"/>
      <c r="L132" s="25"/>
    </row>
    <row r="133" spans="1:12" s="877" customFormat="1" ht="13.5" x14ac:dyDescent="0.25">
      <c r="A133" s="744" t="s">
        <v>2363</v>
      </c>
      <c r="B133" s="55"/>
      <c r="C133" s="1316"/>
      <c r="D133" s="1316"/>
      <c r="E133" s="1317"/>
      <c r="F133" s="1318"/>
      <c r="G133" s="1316"/>
      <c r="H133" s="1319"/>
      <c r="I133" s="1318"/>
      <c r="J133" s="1316"/>
      <c r="K133" s="1319"/>
      <c r="L133" s="25"/>
    </row>
    <row r="134" spans="1:12" s="877" customFormat="1" ht="13.5" x14ac:dyDescent="0.25">
      <c r="A134" s="744" t="s">
        <v>2275</v>
      </c>
      <c r="B134" s="55"/>
      <c r="C134" s="1316"/>
      <c r="D134" s="1316"/>
      <c r="E134" s="1317"/>
      <c r="F134" s="1318"/>
      <c r="G134" s="1316"/>
      <c r="H134" s="1319"/>
      <c r="I134" s="1318"/>
      <c r="J134" s="1316"/>
      <c r="K134" s="1319"/>
      <c r="L134" s="25"/>
    </row>
    <row r="135" spans="1:12" ht="4.9000000000000004" customHeight="1" x14ac:dyDescent="0.25">
      <c r="A135" s="525"/>
      <c r="B135" s="55"/>
      <c r="C135" s="76"/>
      <c r="D135" s="76"/>
      <c r="E135" s="75"/>
      <c r="F135" s="78"/>
      <c r="G135" s="76"/>
      <c r="H135" s="77"/>
      <c r="I135" s="78"/>
      <c r="J135" s="76"/>
      <c r="K135" s="77"/>
    </row>
    <row r="136" spans="1:12" ht="13.5" customHeight="1" x14ac:dyDescent="0.25">
      <c r="A136" s="54" t="s">
        <v>2364</v>
      </c>
      <c r="B136" s="55"/>
      <c r="C136" s="76">
        <f t="shared" ref="C136:K136" si="20">SUM(C137:C137)</f>
        <v>0</v>
      </c>
      <c r="D136" s="76">
        <f t="shared" si="20"/>
        <v>0</v>
      </c>
      <c r="E136" s="75">
        <f t="shared" si="20"/>
        <v>0</v>
      </c>
      <c r="F136" s="78">
        <f t="shared" si="20"/>
        <v>0</v>
      </c>
      <c r="G136" s="76">
        <f t="shared" si="20"/>
        <v>0</v>
      </c>
      <c r="H136" s="77">
        <f t="shared" si="20"/>
        <v>0</v>
      </c>
      <c r="I136" s="78">
        <f t="shared" si="20"/>
        <v>0</v>
      </c>
      <c r="J136" s="76">
        <f t="shared" si="20"/>
        <v>0</v>
      </c>
      <c r="K136" s="77">
        <f t="shared" si="20"/>
        <v>0</v>
      </c>
    </row>
    <row r="137" spans="1:12" ht="11.25" customHeight="1" x14ac:dyDescent="0.25">
      <c r="A137" s="63" t="s">
        <v>2364</v>
      </c>
      <c r="B137" s="55"/>
      <c r="C137" s="1316"/>
      <c r="D137" s="1316"/>
      <c r="E137" s="1317"/>
      <c r="F137" s="1318"/>
      <c r="G137" s="1316"/>
      <c r="H137" s="1319"/>
      <c r="I137" s="1318"/>
      <c r="J137" s="1316"/>
      <c r="K137" s="1319"/>
    </row>
    <row r="138" spans="1:12" ht="4.9000000000000004" customHeight="1" x14ac:dyDescent="0.25">
      <c r="A138" s="74"/>
      <c r="B138" s="55"/>
      <c r="C138" s="76"/>
      <c r="D138" s="76"/>
      <c r="E138" s="75"/>
      <c r="F138" s="78"/>
      <c r="G138" s="76"/>
      <c r="H138" s="77"/>
      <c r="I138" s="78"/>
      <c r="J138" s="76"/>
      <c r="K138" s="77"/>
    </row>
    <row r="139" spans="1:12" ht="17.25" customHeight="1" x14ac:dyDescent="0.25">
      <c r="A139" s="54" t="s">
        <v>2367</v>
      </c>
      <c r="B139" s="55"/>
      <c r="C139" s="76">
        <f>+C140+C141</f>
        <v>0</v>
      </c>
      <c r="D139" s="76">
        <f t="shared" ref="D139:K139" si="21">+D140+D141</f>
        <v>0</v>
      </c>
      <c r="E139" s="75">
        <f t="shared" si="21"/>
        <v>0</v>
      </c>
      <c r="F139" s="78">
        <f t="shared" si="21"/>
        <v>0</v>
      </c>
      <c r="G139" s="76">
        <f t="shared" si="21"/>
        <v>0</v>
      </c>
      <c r="H139" s="77">
        <f t="shared" si="21"/>
        <v>0</v>
      </c>
      <c r="I139" s="78">
        <f t="shared" si="21"/>
        <v>0</v>
      </c>
      <c r="J139" s="76">
        <f t="shared" si="21"/>
        <v>0</v>
      </c>
      <c r="K139" s="77">
        <f t="shared" si="21"/>
        <v>0</v>
      </c>
    </row>
    <row r="140" spans="1:12" ht="11.25" customHeight="1" x14ac:dyDescent="0.25">
      <c r="A140" s="63" t="s">
        <v>2365</v>
      </c>
      <c r="B140" s="55"/>
      <c r="C140" s="1316"/>
      <c r="D140" s="1316"/>
      <c r="E140" s="1317"/>
      <c r="F140" s="1318"/>
      <c r="G140" s="1316"/>
      <c r="H140" s="1319"/>
      <c r="I140" s="1318"/>
      <c r="J140" s="1316"/>
      <c r="K140" s="1319"/>
    </row>
    <row r="141" spans="1:12" ht="11.25" customHeight="1" x14ac:dyDescent="0.25">
      <c r="A141" s="63" t="s">
        <v>2366</v>
      </c>
      <c r="B141" s="55"/>
      <c r="C141" s="76">
        <f>SUM(C142:C147)</f>
        <v>0</v>
      </c>
      <c r="D141" s="76">
        <f t="shared" ref="D141:K141" si="22">SUM(D142:D147)</f>
        <v>0</v>
      </c>
      <c r="E141" s="332">
        <f t="shared" si="22"/>
        <v>0</v>
      </c>
      <c r="F141" s="79">
        <f t="shared" si="22"/>
        <v>0</v>
      </c>
      <c r="G141" s="76">
        <f t="shared" si="22"/>
        <v>0</v>
      </c>
      <c r="H141" s="333">
        <f t="shared" si="22"/>
        <v>0</v>
      </c>
      <c r="I141" s="79">
        <f t="shared" si="22"/>
        <v>0</v>
      </c>
      <c r="J141" s="76">
        <f t="shared" si="22"/>
        <v>0</v>
      </c>
      <c r="K141" s="333">
        <f t="shared" si="22"/>
        <v>0</v>
      </c>
    </row>
    <row r="142" spans="1:12" s="877" customFormat="1" ht="13.5" x14ac:dyDescent="0.25">
      <c r="A142" s="744" t="s">
        <v>2368</v>
      </c>
      <c r="B142" s="55"/>
      <c r="C142" s="1316"/>
      <c r="D142" s="1316"/>
      <c r="E142" s="1317"/>
      <c r="F142" s="1318"/>
      <c r="G142" s="1316"/>
      <c r="H142" s="1319"/>
      <c r="I142" s="1318"/>
      <c r="J142" s="1316"/>
      <c r="K142" s="1319"/>
      <c r="L142" s="25"/>
    </row>
    <row r="143" spans="1:12" s="877" customFormat="1" ht="13.5" x14ac:dyDescent="0.25">
      <c r="A143" s="744" t="s">
        <v>2369</v>
      </c>
      <c r="B143" s="55"/>
      <c r="C143" s="1316"/>
      <c r="D143" s="1316"/>
      <c r="E143" s="1317"/>
      <c r="F143" s="1318"/>
      <c r="G143" s="1316"/>
      <c r="H143" s="1319"/>
      <c r="I143" s="1318"/>
      <c r="J143" s="1316"/>
      <c r="K143" s="1319"/>
      <c r="L143" s="25"/>
    </row>
    <row r="144" spans="1:12" s="877" customFormat="1" ht="13.5" x14ac:dyDescent="0.25">
      <c r="A144" s="744" t="s">
        <v>2370</v>
      </c>
      <c r="B144" s="55"/>
      <c r="C144" s="1316"/>
      <c r="D144" s="1316"/>
      <c r="E144" s="1317"/>
      <c r="F144" s="1318"/>
      <c r="G144" s="1316"/>
      <c r="H144" s="1319"/>
      <c r="I144" s="1318"/>
      <c r="J144" s="1316"/>
      <c r="K144" s="1319"/>
      <c r="L144" s="25"/>
    </row>
    <row r="145" spans="1:12" s="877" customFormat="1" ht="13.5" x14ac:dyDescent="0.25">
      <c r="A145" s="744" t="s">
        <v>2371</v>
      </c>
      <c r="B145" s="55"/>
      <c r="C145" s="1316"/>
      <c r="D145" s="1316"/>
      <c r="E145" s="1317"/>
      <c r="F145" s="1318"/>
      <c r="G145" s="1316"/>
      <c r="H145" s="1319"/>
      <c r="I145" s="1318"/>
      <c r="J145" s="1316"/>
      <c r="K145" s="1319"/>
      <c r="L145" s="25"/>
    </row>
    <row r="146" spans="1:12" s="877" customFormat="1" ht="13.5" x14ac:dyDescent="0.25">
      <c r="A146" s="744" t="s">
        <v>2372</v>
      </c>
      <c r="B146" s="55"/>
      <c r="C146" s="1316"/>
      <c r="D146" s="1316"/>
      <c r="E146" s="1317"/>
      <c r="F146" s="1318"/>
      <c r="G146" s="1316"/>
      <c r="H146" s="1319"/>
      <c r="I146" s="1318"/>
      <c r="J146" s="1316"/>
      <c r="K146" s="1319"/>
      <c r="L146" s="25"/>
    </row>
    <row r="147" spans="1:12" s="877" customFormat="1" ht="13.5" x14ac:dyDescent="0.25">
      <c r="A147" s="744" t="s">
        <v>2373</v>
      </c>
      <c r="B147" s="55"/>
      <c r="C147" s="1316"/>
      <c r="D147" s="1316"/>
      <c r="E147" s="1317"/>
      <c r="F147" s="1318"/>
      <c r="G147" s="1316"/>
      <c r="H147" s="1319"/>
      <c r="I147" s="1318"/>
      <c r="J147" s="1316"/>
      <c r="K147" s="1319"/>
      <c r="L147" s="25"/>
    </row>
    <row r="148" spans="1:12" ht="4.9000000000000004" customHeight="1" x14ac:dyDescent="0.25">
      <c r="A148" s="74"/>
      <c r="B148" s="55"/>
      <c r="C148" s="86"/>
      <c r="D148" s="86"/>
      <c r="E148" s="85"/>
      <c r="F148" s="88"/>
      <c r="G148" s="86"/>
      <c r="H148" s="87"/>
      <c r="I148" s="88"/>
      <c r="J148" s="86"/>
      <c r="K148" s="87"/>
    </row>
    <row r="149" spans="1:12" ht="13.5" customHeight="1" x14ac:dyDescent="0.25">
      <c r="A149" s="54" t="s">
        <v>2374</v>
      </c>
      <c r="B149" s="55"/>
      <c r="C149" s="76">
        <f t="shared" ref="C149:K149" si="23">SUM(C150:C150)</f>
        <v>0</v>
      </c>
      <c r="D149" s="76">
        <f t="shared" si="23"/>
        <v>0</v>
      </c>
      <c r="E149" s="75">
        <f t="shared" si="23"/>
        <v>0</v>
      </c>
      <c r="F149" s="78">
        <f t="shared" si="23"/>
        <v>0</v>
      </c>
      <c r="G149" s="76">
        <f t="shared" si="23"/>
        <v>0</v>
      </c>
      <c r="H149" s="77">
        <f t="shared" si="23"/>
        <v>0</v>
      </c>
      <c r="I149" s="78">
        <f t="shared" si="23"/>
        <v>0</v>
      </c>
      <c r="J149" s="76">
        <f t="shared" si="23"/>
        <v>0</v>
      </c>
      <c r="K149" s="77">
        <f t="shared" si="23"/>
        <v>0</v>
      </c>
    </row>
    <row r="150" spans="1:12" ht="11.25" customHeight="1" x14ac:dyDescent="0.25">
      <c r="A150" s="63" t="s">
        <v>2374</v>
      </c>
      <c r="B150" s="55"/>
      <c r="C150" s="1316"/>
      <c r="D150" s="1316"/>
      <c r="E150" s="1317"/>
      <c r="F150" s="1318"/>
      <c r="G150" s="1316"/>
      <c r="H150" s="1319"/>
      <c r="I150" s="1318"/>
      <c r="J150" s="1316"/>
      <c r="K150" s="1319"/>
    </row>
    <row r="151" spans="1:12" ht="4.9000000000000004" customHeight="1" x14ac:dyDescent="0.25">
      <c r="A151" s="74"/>
      <c r="B151" s="55"/>
      <c r="C151" s="76"/>
      <c r="D151" s="76"/>
      <c r="E151" s="75"/>
      <c r="F151" s="78"/>
      <c r="G151" s="76"/>
      <c r="H151" s="77"/>
      <c r="I151" s="78"/>
      <c r="J151" s="76"/>
      <c r="K151" s="77"/>
    </row>
    <row r="152" spans="1:12" ht="13.5" customHeight="1" x14ac:dyDescent="0.25">
      <c r="A152" s="54" t="s">
        <v>2375</v>
      </c>
      <c r="B152" s="55"/>
      <c r="C152" s="76">
        <f t="shared" ref="C152:K152" si="24">SUM(C153:C153)</f>
        <v>0</v>
      </c>
      <c r="D152" s="76">
        <f t="shared" si="24"/>
        <v>0</v>
      </c>
      <c r="E152" s="75">
        <f t="shared" si="24"/>
        <v>0</v>
      </c>
      <c r="F152" s="78">
        <f t="shared" si="24"/>
        <v>0</v>
      </c>
      <c r="G152" s="76">
        <f t="shared" si="24"/>
        <v>0</v>
      </c>
      <c r="H152" s="77">
        <f t="shared" si="24"/>
        <v>0</v>
      </c>
      <c r="I152" s="78">
        <f t="shared" si="24"/>
        <v>0</v>
      </c>
      <c r="J152" s="76">
        <f t="shared" si="24"/>
        <v>0</v>
      </c>
      <c r="K152" s="77">
        <f t="shared" si="24"/>
        <v>0</v>
      </c>
    </row>
    <row r="153" spans="1:12" ht="11.25" customHeight="1" x14ac:dyDescent="0.25">
      <c r="A153" s="63" t="s">
        <v>2375</v>
      </c>
      <c r="B153" s="55"/>
      <c r="C153" s="1316"/>
      <c r="D153" s="1316"/>
      <c r="E153" s="1317"/>
      <c r="F153" s="1318"/>
      <c r="G153" s="1316"/>
      <c r="H153" s="1319"/>
      <c r="I153" s="1318"/>
      <c r="J153" s="1316"/>
      <c r="K153" s="1319"/>
    </row>
    <row r="154" spans="1:12" ht="4.9000000000000004" customHeight="1" x14ac:dyDescent="0.25">
      <c r="A154" s="74"/>
      <c r="B154" s="55"/>
      <c r="C154" s="76"/>
      <c r="D154" s="76"/>
      <c r="E154" s="75"/>
      <c r="F154" s="78"/>
      <c r="G154" s="76"/>
      <c r="H154" s="77"/>
      <c r="I154" s="78"/>
      <c r="J154" s="76"/>
      <c r="K154" s="77"/>
    </row>
    <row r="155" spans="1:12" ht="13.5" customHeight="1" x14ac:dyDescent="0.25">
      <c r="A155" s="54" t="s">
        <v>2376</v>
      </c>
      <c r="B155" s="55"/>
      <c r="C155" s="76">
        <f t="shared" ref="C155:K155" si="25">SUM(C156:C156)</f>
        <v>0</v>
      </c>
      <c r="D155" s="76">
        <f t="shared" si="25"/>
        <v>0</v>
      </c>
      <c r="E155" s="75">
        <f t="shared" si="25"/>
        <v>0</v>
      </c>
      <c r="F155" s="78">
        <f t="shared" si="25"/>
        <v>0</v>
      </c>
      <c r="G155" s="76">
        <f t="shared" si="25"/>
        <v>0</v>
      </c>
      <c r="H155" s="77">
        <f t="shared" si="25"/>
        <v>0</v>
      </c>
      <c r="I155" s="78">
        <f t="shared" si="25"/>
        <v>0</v>
      </c>
      <c r="J155" s="76">
        <f t="shared" si="25"/>
        <v>0</v>
      </c>
      <c r="K155" s="77">
        <f t="shared" si="25"/>
        <v>0</v>
      </c>
    </row>
    <row r="156" spans="1:12" ht="11.25" customHeight="1" x14ac:dyDescent="0.25">
      <c r="A156" s="63" t="s">
        <v>2376</v>
      </c>
      <c r="B156" s="55"/>
      <c r="C156" s="1316"/>
      <c r="D156" s="1316"/>
      <c r="E156" s="1317"/>
      <c r="F156" s="1318"/>
      <c r="G156" s="1316"/>
      <c r="H156" s="1319"/>
      <c r="I156" s="1318"/>
      <c r="J156" s="1316"/>
      <c r="K156" s="1319"/>
    </row>
    <row r="157" spans="1:12" ht="4.9000000000000004" customHeight="1" x14ac:dyDescent="0.25">
      <c r="A157" s="74"/>
      <c r="B157" s="55"/>
      <c r="C157" s="76"/>
      <c r="D157" s="76"/>
      <c r="E157" s="75"/>
      <c r="F157" s="78"/>
      <c r="G157" s="76"/>
      <c r="H157" s="77"/>
      <c r="I157" s="78"/>
      <c r="J157" s="76"/>
      <c r="K157" s="77"/>
    </row>
    <row r="158" spans="1:12" ht="13.5" customHeight="1" x14ac:dyDescent="0.25">
      <c r="A158" s="54" t="s">
        <v>2377</v>
      </c>
      <c r="B158" s="55"/>
      <c r="C158" s="76">
        <f t="shared" ref="C158:K158" si="26">SUM(C159:C159)</f>
        <v>0</v>
      </c>
      <c r="D158" s="76">
        <f t="shared" si="26"/>
        <v>0</v>
      </c>
      <c r="E158" s="75">
        <f t="shared" si="26"/>
        <v>0</v>
      </c>
      <c r="F158" s="78">
        <f t="shared" si="26"/>
        <v>0</v>
      </c>
      <c r="G158" s="76">
        <f t="shared" si="26"/>
        <v>0</v>
      </c>
      <c r="H158" s="77">
        <f t="shared" si="26"/>
        <v>0</v>
      </c>
      <c r="I158" s="78">
        <f t="shared" si="26"/>
        <v>0</v>
      </c>
      <c r="J158" s="76">
        <f t="shared" si="26"/>
        <v>0</v>
      </c>
      <c r="K158" s="77">
        <f t="shared" si="26"/>
        <v>0</v>
      </c>
    </row>
    <row r="159" spans="1:12" ht="11.25" customHeight="1" x14ac:dyDescent="0.25">
      <c r="A159" s="63" t="s">
        <v>2377</v>
      </c>
      <c r="B159" s="55"/>
      <c r="C159" s="1316"/>
      <c r="D159" s="1316"/>
      <c r="E159" s="1317"/>
      <c r="F159" s="1318"/>
      <c r="G159" s="1316"/>
      <c r="H159" s="1319"/>
      <c r="I159" s="1318"/>
      <c r="J159" s="1316"/>
      <c r="K159" s="1319"/>
    </row>
    <row r="160" spans="1:12" ht="4.9000000000000004" customHeight="1" x14ac:dyDescent="0.25">
      <c r="A160" s="74"/>
      <c r="B160" s="55"/>
      <c r="C160" s="76"/>
      <c r="D160" s="76"/>
      <c r="E160" s="75"/>
      <c r="F160" s="78"/>
      <c r="G160" s="76"/>
      <c r="H160" s="77"/>
      <c r="I160" s="78"/>
      <c r="J160" s="76"/>
      <c r="K160" s="77"/>
    </row>
    <row r="161" spans="1:12" ht="13.5" customHeight="1" x14ac:dyDescent="0.25">
      <c r="A161" s="54" t="s">
        <v>2514</v>
      </c>
      <c r="B161" s="55"/>
      <c r="C161" s="76">
        <f t="shared" ref="C161:K161" si="27">SUM(C162:C162)</f>
        <v>0</v>
      </c>
      <c r="D161" s="76">
        <f t="shared" si="27"/>
        <v>0</v>
      </c>
      <c r="E161" s="75">
        <f t="shared" si="27"/>
        <v>0</v>
      </c>
      <c r="F161" s="78">
        <f t="shared" si="27"/>
        <v>0</v>
      </c>
      <c r="G161" s="76">
        <f t="shared" si="27"/>
        <v>0</v>
      </c>
      <c r="H161" s="77">
        <f t="shared" si="27"/>
        <v>0</v>
      </c>
      <c r="I161" s="78">
        <f t="shared" si="27"/>
        <v>0</v>
      </c>
      <c r="J161" s="76">
        <f t="shared" si="27"/>
        <v>0</v>
      </c>
      <c r="K161" s="77">
        <f t="shared" si="27"/>
        <v>0</v>
      </c>
    </row>
    <row r="162" spans="1:12" ht="11.25" customHeight="1" x14ac:dyDescent="0.25">
      <c r="A162" s="63" t="s">
        <v>2514</v>
      </c>
      <c r="B162" s="55"/>
      <c r="C162" s="1316"/>
      <c r="D162" s="1316"/>
      <c r="E162" s="1317"/>
      <c r="F162" s="1318"/>
      <c r="G162" s="1316"/>
      <c r="H162" s="1319"/>
      <c r="I162" s="1318"/>
      <c r="J162" s="1316"/>
      <c r="K162" s="1319"/>
    </row>
    <row r="163" spans="1:12" ht="4.9000000000000004" customHeight="1" x14ac:dyDescent="0.25">
      <c r="A163" s="74"/>
      <c r="B163" s="55"/>
      <c r="C163" s="76"/>
      <c r="D163" s="76"/>
      <c r="E163" s="75"/>
      <c r="F163" s="78"/>
      <c r="G163" s="76"/>
      <c r="H163" s="77"/>
      <c r="I163" s="78"/>
      <c r="J163" s="76"/>
      <c r="K163" s="77"/>
    </row>
    <row r="164" spans="1:12" ht="13.5" customHeight="1" x14ac:dyDescent="0.25">
      <c r="A164" s="54" t="s">
        <v>2378</v>
      </c>
      <c r="B164" s="55"/>
      <c r="C164" s="76">
        <f t="shared" ref="C164:K164" si="28">SUM(C165:C165)</f>
        <v>0</v>
      </c>
      <c r="D164" s="76">
        <f t="shared" si="28"/>
        <v>0</v>
      </c>
      <c r="E164" s="75">
        <f t="shared" si="28"/>
        <v>0</v>
      </c>
      <c r="F164" s="78">
        <f t="shared" si="28"/>
        <v>0</v>
      </c>
      <c r="G164" s="76">
        <f t="shared" si="28"/>
        <v>0</v>
      </c>
      <c r="H164" s="77">
        <f t="shared" si="28"/>
        <v>0</v>
      </c>
      <c r="I164" s="78">
        <f t="shared" si="28"/>
        <v>0</v>
      </c>
      <c r="J164" s="76">
        <f t="shared" si="28"/>
        <v>0</v>
      </c>
      <c r="K164" s="77">
        <f t="shared" si="28"/>
        <v>0</v>
      </c>
    </row>
    <row r="165" spans="1:12" ht="11.25" customHeight="1" x14ac:dyDescent="0.25">
      <c r="A165" s="63" t="s">
        <v>2378</v>
      </c>
      <c r="B165" s="55"/>
      <c r="C165" s="1316"/>
      <c r="D165" s="1316"/>
      <c r="E165" s="1317"/>
      <c r="F165" s="1318"/>
      <c r="G165" s="1316"/>
      <c r="H165" s="1319"/>
      <c r="I165" s="1318"/>
      <c r="J165" s="1316"/>
      <c r="K165" s="1319"/>
    </row>
    <row r="166" spans="1:12" ht="4.9000000000000004" customHeight="1" x14ac:dyDescent="0.25">
      <c r="A166" s="74"/>
      <c r="B166" s="55"/>
      <c r="C166" s="76"/>
      <c r="D166" s="76"/>
      <c r="E166" s="75"/>
      <c r="F166" s="78"/>
      <c r="G166" s="76"/>
      <c r="H166" s="77"/>
      <c r="I166" s="78"/>
      <c r="J166" s="76"/>
      <c r="K166" s="77"/>
    </row>
    <row r="167" spans="1:12" x14ac:dyDescent="0.25">
      <c r="A167" s="92" t="s">
        <v>1085</v>
      </c>
      <c r="B167" s="93">
        <v>1</v>
      </c>
      <c r="C167" s="95">
        <f>C6+C74+C103+C110+C118+C136+C139+C149+C152+C155+C158+C161+C164</f>
        <v>0</v>
      </c>
      <c r="D167" s="95">
        <f t="shared" ref="D167:K167" si="29">D6+D74+D103+D110+D118+D136+D139+D149+D152+D155+D158+D161+D164</f>
        <v>0</v>
      </c>
      <c r="E167" s="94">
        <f t="shared" si="29"/>
        <v>0</v>
      </c>
      <c r="F167" s="97">
        <f t="shared" si="29"/>
        <v>4243623</v>
      </c>
      <c r="G167" s="95">
        <f t="shared" si="29"/>
        <v>486976</v>
      </c>
      <c r="H167" s="96">
        <f t="shared" si="29"/>
        <v>486976</v>
      </c>
      <c r="I167" s="97">
        <f t="shared" si="29"/>
        <v>0</v>
      </c>
      <c r="J167" s="95">
        <f t="shared" si="29"/>
        <v>0</v>
      </c>
      <c r="K167" s="96">
        <f t="shared" si="29"/>
        <v>0</v>
      </c>
    </row>
    <row r="168" spans="1:12" ht="3.75" customHeight="1" x14ac:dyDescent="0.25">
      <c r="A168" s="63"/>
      <c r="C168" s="770"/>
      <c r="D168" s="770"/>
      <c r="E168" s="770"/>
      <c r="F168" s="769"/>
      <c r="G168" s="770"/>
      <c r="H168" s="768"/>
      <c r="I168" s="769"/>
      <c r="J168" s="770"/>
      <c r="K168" s="768"/>
    </row>
    <row r="169" spans="1:12" s="464" customFormat="1" x14ac:dyDescent="0.25">
      <c r="A169" s="1196" t="s">
        <v>1731</v>
      </c>
      <c r="B169" s="598"/>
      <c r="C169" s="1197">
        <f>IF(ISERROR(C167/'A9-Asset'!C69),0,(C167/'A9-Asset'!C69))</f>
        <v>0</v>
      </c>
      <c r="D169" s="1197">
        <f>IF(ISERROR(D167/'A9-Asset'!D132),0,(D167/'A9-Asset'!D132))</f>
        <v>0</v>
      </c>
      <c r="E169" s="1200">
        <f>IF(ISERROR(E167/'A9-Asset'!E132),0,(E167/'A9-Asset'!E132))</f>
        <v>0</v>
      </c>
      <c r="F169" s="1199">
        <f>IF(ISERROR(F167/'A9-Asset'!F132),0,(F167/'A9-Asset'!F132))</f>
        <v>9.4547295671470202E-2</v>
      </c>
      <c r="G169" s="1197">
        <f>IF(ISERROR(G167/'A9-Asset'!G132),0,(G167/'A9-Asset'!G132))</f>
        <v>8.0250632935965453E-3</v>
      </c>
      <c r="H169" s="1198">
        <f>IF(ISERROR(H167/'A9-Asset'!H132),0,(H167/'A9-Asset'!H132))</f>
        <v>8.0250632935965453E-3</v>
      </c>
      <c r="I169" s="1201">
        <f>IF(ISERROR(I167/'A9-Asset'!I132),0,(I167/'A9-Asset'!I132))</f>
        <v>0</v>
      </c>
      <c r="J169" s="1197">
        <f>IF(ISERROR(J167/'A9-Asset'!J132),0,(J167/'A9-Asset'!J132))</f>
        <v>0</v>
      </c>
      <c r="K169" s="1198">
        <f>IF(ISERROR(K167/'A9-Asset'!K132),0,(K167/'A9-Asset'!K132))</f>
        <v>0</v>
      </c>
      <c r="L169" s="770"/>
    </row>
    <row r="170" spans="1:12" s="464" customFormat="1" ht="11.25" customHeight="1" x14ac:dyDescent="0.25">
      <c r="A170" s="1189" t="s">
        <v>1274</v>
      </c>
      <c r="B170" s="1190"/>
      <c r="C170" s="1191">
        <f>IF(ISERROR(C167/'A9-Asset'!C168),0,(C167/'A9-Asset'!C168))</f>
        <v>0</v>
      </c>
      <c r="D170" s="1191">
        <f>IF(ISERROR(D167/'A9-Asset'!D168),0,(D167/'A9-Asset'!D168))</f>
        <v>0</v>
      </c>
      <c r="E170" s="1194">
        <f>IF(ISERROR(E167/'A9-Asset'!E168),0,(E167/'A9-Asset'!E168))</f>
        <v>0</v>
      </c>
      <c r="F170" s="1193">
        <f>IF(ISERROR(F167/'A9-Asset'!F168),0,(F167/'A9-Asset'!F168))</f>
        <v>0.11969801984064722</v>
      </c>
      <c r="G170" s="1191">
        <f>IF(ISERROR(G167/'A9-Asset'!G168),0,(G167/'A9-Asset'!G168))</f>
        <v>7.3953930852543861E-3</v>
      </c>
      <c r="H170" s="1192">
        <f>IF(ISERROR(H167/'A9-Asset'!H168),0,(H167/'A9-Asset'!H168))</f>
        <v>7.3953930852543861E-3</v>
      </c>
      <c r="I170" s="1195">
        <f>IF(ISERROR(I167/'A9-Asset'!I168),0,(I167/'A9-Asset'!I168))</f>
        <v>0</v>
      </c>
      <c r="J170" s="1191">
        <f>IF(ISERROR(J167/'A9-Asset'!J168),0,(J167/'A9-Asset'!J168))</f>
        <v>0</v>
      </c>
      <c r="K170" s="1192">
        <f>IF(ISERROR(K167/'A9-Asset'!K168),0,(K167/'A9-Asset'!K168))</f>
        <v>0</v>
      </c>
    </row>
    <row r="171" spans="1:12" s="464" customFormat="1" ht="11.25" customHeight="1" x14ac:dyDescent="0.25">
      <c r="A171" s="101" t="str">
        <f>head27a</f>
        <v>References</v>
      </c>
      <c r="B171" s="645"/>
      <c r="C171" s="647"/>
      <c r="D171" s="647"/>
      <c r="E171" s="647"/>
      <c r="F171" s="647"/>
      <c r="G171" s="647"/>
      <c r="H171" s="647"/>
      <c r="I171" s="647"/>
      <c r="J171" s="647"/>
      <c r="K171" s="647"/>
    </row>
    <row r="172" spans="1:12" s="464" customFormat="1" ht="11.25" customHeight="1" x14ac:dyDescent="0.25">
      <c r="A172" s="132" t="s">
        <v>2396</v>
      </c>
      <c r="B172" s="645"/>
      <c r="C172" s="648"/>
      <c r="D172" s="648"/>
      <c r="E172" s="647"/>
      <c r="F172" s="647"/>
      <c r="G172" s="647"/>
      <c r="H172" s="647"/>
      <c r="I172" s="647"/>
      <c r="J172" s="647"/>
      <c r="K172" s="647"/>
    </row>
    <row r="173" spans="1:12" ht="11.25" customHeight="1" x14ac:dyDescent="0.25">
      <c r="A173" s="646"/>
      <c r="B173" s="645"/>
      <c r="C173" s="648"/>
      <c r="D173" s="648"/>
      <c r="E173" s="647"/>
      <c r="F173" s="647"/>
      <c r="G173" s="647"/>
      <c r="H173" s="647"/>
      <c r="I173" s="647"/>
      <c r="J173" s="647"/>
      <c r="K173" s="647"/>
    </row>
    <row r="174" spans="1:12" ht="11.25" customHeight="1" x14ac:dyDescent="0.25">
      <c r="C174" s="103"/>
      <c r="D174" s="103"/>
      <c r="E174" s="104"/>
      <c r="F174" s="104"/>
      <c r="G174" s="104"/>
      <c r="H174" s="104"/>
      <c r="I174" s="104"/>
      <c r="J174" s="104"/>
      <c r="K174" s="104"/>
    </row>
    <row r="175" spans="1:12" ht="11.25" customHeight="1" x14ac:dyDescent="0.25">
      <c r="A175" s="133" t="s">
        <v>249</v>
      </c>
      <c r="B175" s="107"/>
      <c r="C175" s="109">
        <f>SUM(C167+SA34a!C167++SA34e!C167)-'A5-Capex'!C40</f>
        <v>0</v>
      </c>
      <c r="D175" s="109">
        <f>SUM(D167+SA34a!D167++SA34e!D167)-'A5-Capex'!D40</f>
        <v>0.28999999910593033</v>
      </c>
      <c r="E175" s="109">
        <f>SUM(E167+SA34a!E167++SA34e!E167)-'A5-Capex'!E40</f>
        <v>0</v>
      </c>
      <c r="F175" s="109">
        <f>SUM(F167+SA34a!F167++SA34e!F167)-'A5-Capex'!F40</f>
        <v>0</v>
      </c>
      <c r="G175" s="109">
        <f>SUM(G167+SA34a!G167++SA34e!G167)-'A5-Capex'!G40</f>
        <v>0</v>
      </c>
      <c r="H175" s="109">
        <f>SUM(H167+SA34a!H167++SA34e!H167)-'A5-Capex'!H40</f>
        <v>0</v>
      </c>
      <c r="I175" s="109">
        <f>SUM(I167+SA34a!I167++SA34e!I167)-'A5-Capex'!I40</f>
        <v>-28234450.899999999</v>
      </c>
      <c r="J175" s="109">
        <f>SUM(J167+SA34a!J167++SA34e!J167)-'A5-Capex'!J40</f>
        <v>17525061.899999999</v>
      </c>
      <c r="K175" s="109">
        <f>SUM(K167+SA34a!K167++SA34e!K167)-'A5-Capex'!K40</f>
        <v>-49972500</v>
      </c>
    </row>
    <row r="176" spans="1:12"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sheetData>
  <mergeCells count="2">
    <mergeCell ref="F2:H2"/>
    <mergeCell ref="I2:K2"/>
  </mergeCells>
  <phoneticPr fontId="3" type="noConversion"/>
  <pageMargins left="0.74803149606299213" right="0.74803149606299213" top="0.98425196850393704" bottom="0.98425196850393704" header="0.51181102362204722" footer="0.51181102362204722"/>
  <pageSetup paperSize="9" scale="66" fitToHeight="2" orientation="portrait"/>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L175"/>
  <sheetViews>
    <sheetView showGridLines="0" zoomScaleNormal="100" workbookViewId="0">
      <pane xSplit="2" ySplit="3" topLeftCell="C154" activePane="bottomRight" state="frozen"/>
      <selection pane="topRight"/>
      <selection pane="bottomLeft"/>
      <selection pane="bottomRight" activeCell="E175" sqref="E175"/>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2" ht="13.5" customHeight="1" x14ac:dyDescent="0.25">
      <c r="A1" s="23" t="str">
        <f>muni&amp;" - "&amp;TableA34c</f>
        <v>EC101 Dr Beyers Naude - Supporting Table SA34c Repairs and maintenance expenditure by asset class</v>
      </c>
      <c r="B1" s="23"/>
      <c r="C1" s="23"/>
      <c r="D1" s="23"/>
      <c r="E1" s="23"/>
      <c r="F1" s="23"/>
      <c r="G1" s="23"/>
      <c r="H1" s="23"/>
      <c r="I1" s="23"/>
      <c r="J1" s="23"/>
      <c r="K1" s="23"/>
    </row>
    <row r="2" spans="1:12" ht="28.5" customHeight="1" x14ac:dyDescent="0.25">
      <c r="A2" s="614" t="str">
        <f>desc</f>
        <v>Description</v>
      </c>
      <c r="B2" s="220" t="str">
        <f>head27</f>
        <v>Ref</v>
      </c>
      <c r="C2" s="26" t="str">
        <f>head1b</f>
        <v>2015/16</v>
      </c>
      <c r="D2" s="475" t="str">
        <f>head1A</f>
        <v>2016/17</v>
      </c>
      <c r="E2" s="21" t="str">
        <f>Head1</f>
        <v>2017/18</v>
      </c>
      <c r="F2" s="1907" t="str">
        <f>Head2</f>
        <v>Current Year 2018/19</v>
      </c>
      <c r="G2" s="1908"/>
      <c r="H2" s="1912"/>
      <c r="I2" s="1904" t="str">
        <f>Head3</f>
        <v>2019/20 Medium Term Revenue &amp; Expenditure Framework</v>
      </c>
      <c r="J2" s="1905"/>
      <c r="K2" s="1906"/>
    </row>
    <row r="3" spans="1:12" ht="25.5" x14ac:dyDescent="0.25">
      <c r="A3" s="53" t="s">
        <v>573</v>
      </c>
      <c r="B3" s="615">
        <v>1</v>
      </c>
      <c r="C3" s="203" t="str">
        <f>Head5</f>
        <v>Audited Outcome</v>
      </c>
      <c r="D3" s="627" t="str">
        <f>Head5</f>
        <v>Audited Outcome</v>
      </c>
      <c r="E3" s="202"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2" ht="11.25" customHeight="1" x14ac:dyDescent="0.25">
      <c r="A4" s="539" t="s">
        <v>1081</v>
      </c>
      <c r="B4" s="136"/>
      <c r="C4" s="149"/>
      <c r="D4" s="149"/>
      <c r="E4" s="150"/>
      <c r="F4" s="151"/>
      <c r="G4" s="149"/>
      <c r="H4" s="152"/>
      <c r="I4" s="151"/>
      <c r="J4" s="149"/>
      <c r="K4" s="152"/>
    </row>
    <row r="5" spans="1:12" ht="4.9000000000000004" customHeight="1" x14ac:dyDescent="0.25">
      <c r="A5" s="54"/>
      <c r="B5" s="55"/>
      <c r="C5" s="153"/>
      <c r="D5" s="153"/>
      <c r="E5" s="154"/>
      <c r="F5" s="155"/>
      <c r="G5" s="153"/>
      <c r="H5" s="156"/>
      <c r="I5" s="155"/>
      <c r="J5" s="153"/>
      <c r="K5" s="156"/>
    </row>
    <row r="6" spans="1:12" ht="13.15" customHeight="1" x14ac:dyDescent="0.25">
      <c r="A6" s="54" t="s">
        <v>853</v>
      </c>
      <c r="B6" s="55"/>
      <c r="C6" s="86">
        <f>C7+C12+C16+C26+C37+C44+C52+C62+C68</f>
        <v>0</v>
      </c>
      <c r="D6" s="86">
        <f t="shared" ref="D6:K6" si="0">D7+D12+D16+D26+D37+D44+D52+D62+D68</f>
        <v>1277546</v>
      </c>
      <c r="E6" s="85">
        <f t="shared" si="0"/>
        <v>4133883</v>
      </c>
      <c r="F6" s="88">
        <f t="shared" si="0"/>
        <v>9573417</v>
      </c>
      <c r="G6" s="86">
        <f t="shared" si="0"/>
        <v>9573417</v>
      </c>
      <c r="H6" s="87">
        <f t="shared" si="0"/>
        <v>9573417</v>
      </c>
      <c r="I6" s="88">
        <f t="shared" si="0"/>
        <v>7276455.8706</v>
      </c>
      <c r="J6" s="86">
        <f t="shared" si="0"/>
        <v>7713043.2228359999</v>
      </c>
      <c r="K6" s="87">
        <f t="shared" si="0"/>
        <v>8175825.81620616</v>
      </c>
    </row>
    <row r="7" spans="1:12" s="877" customFormat="1" ht="13.15" customHeight="1" x14ac:dyDescent="0.25">
      <c r="A7" s="63" t="s">
        <v>2272</v>
      </c>
      <c r="B7" s="55"/>
      <c r="C7" s="185">
        <f t="shared" ref="C7:K7" si="1">SUM(C8:C11)</f>
        <v>0</v>
      </c>
      <c r="D7" s="185">
        <f t="shared" si="1"/>
        <v>0</v>
      </c>
      <c r="E7" s="759">
        <f t="shared" si="1"/>
        <v>1999704</v>
      </c>
      <c r="F7" s="217">
        <f t="shared" si="1"/>
        <v>1754768</v>
      </c>
      <c r="G7" s="185">
        <f t="shared" si="1"/>
        <v>1754768</v>
      </c>
      <c r="H7" s="699">
        <f t="shared" si="1"/>
        <v>1754768</v>
      </c>
      <c r="I7" s="217">
        <f t="shared" si="1"/>
        <v>1028147.1346</v>
      </c>
      <c r="J7" s="185">
        <f t="shared" si="1"/>
        <v>1089835.9626759999</v>
      </c>
      <c r="K7" s="699">
        <f t="shared" si="1"/>
        <v>1155226.1204365599</v>
      </c>
      <c r="L7" s="25"/>
    </row>
    <row r="8" spans="1:12" s="877" customFormat="1" ht="13.15" customHeight="1" x14ac:dyDescent="0.25">
      <c r="A8" s="744" t="s">
        <v>638</v>
      </c>
      <c r="B8" s="55"/>
      <c r="C8" s="1316"/>
      <c r="D8" s="1316"/>
      <c r="E8" s="1317">
        <v>1999704</v>
      </c>
      <c r="F8" s="1318">
        <v>1000000</v>
      </c>
      <c r="G8" s="1316">
        <v>1000000</v>
      </c>
      <c r="H8" s="1319">
        <v>1000000</v>
      </c>
      <c r="I8" s="1318">
        <v>141427.13459999999</v>
      </c>
      <c r="J8" s="1316">
        <f>I8*1.06</f>
        <v>149912.76267599998</v>
      </c>
      <c r="K8" s="1319">
        <f>J8*1.06</f>
        <v>158907.52843655998</v>
      </c>
      <c r="L8" s="25"/>
    </row>
    <row r="9" spans="1:12" s="877" customFormat="1" ht="13.15" customHeight="1" x14ac:dyDescent="0.25">
      <c r="A9" s="744" t="s">
        <v>2273</v>
      </c>
      <c r="B9" s="55"/>
      <c r="C9" s="1316"/>
      <c r="D9" s="1316"/>
      <c r="E9" s="1317"/>
      <c r="F9" s="1318"/>
      <c r="G9" s="1316">
        <v>0</v>
      </c>
      <c r="H9" s="1319">
        <v>0</v>
      </c>
      <c r="I9" s="1318"/>
      <c r="J9" s="1316"/>
      <c r="K9" s="1319"/>
      <c r="L9" s="888"/>
    </row>
    <row r="10" spans="1:12" s="877" customFormat="1" ht="13.15" customHeight="1" x14ac:dyDescent="0.25">
      <c r="A10" s="744" t="s">
        <v>2274</v>
      </c>
      <c r="B10" s="55"/>
      <c r="C10" s="1316"/>
      <c r="D10" s="1316"/>
      <c r="E10" s="1317"/>
      <c r="F10" s="1318">
        <v>268400</v>
      </c>
      <c r="G10" s="1316">
        <v>268400</v>
      </c>
      <c r="H10" s="1319">
        <v>268400</v>
      </c>
      <c r="I10" s="1318">
        <v>118720</v>
      </c>
      <c r="J10" s="1316">
        <f t="shared" ref="J10:K10" si="2">I10*1.06</f>
        <v>125843.20000000001</v>
      </c>
      <c r="K10" s="1319">
        <f t="shared" si="2"/>
        <v>133393.79200000002</v>
      </c>
      <c r="L10" s="888"/>
    </row>
    <row r="11" spans="1:12" s="877" customFormat="1" ht="13.15" customHeight="1" x14ac:dyDescent="0.25">
      <c r="A11" s="744" t="s">
        <v>2275</v>
      </c>
      <c r="B11" s="55"/>
      <c r="C11" s="1316"/>
      <c r="D11" s="1316"/>
      <c r="E11" s="1317"/>
      <c r="F11" s="1318">
        <v>486368</v>
      </c>
      <c r="G11" s="1316">
        <v>486368</v>
      </c>
      <c r="H11" s="1319">
        <v>486368</v>
      </c>
      <c r="I11" s="1318">
        <v>768000</v>
      </c>
      <c r="J11" s="1316">
        <f t="shared" ref="J11:K11" si="3">I11*1.06</f>
        <v>814080</v>
      </c>
      <c r="K11" s="1319">
        <f t="shared" si="3"/>
        <v>862924.80000000005</v>
      </c>
      <c r="L11" s="888"/>
    </row>
    <row r="12" spans="1:12" s="877" customFormat="1" ht="13.15" customHeight="1" x14ac:dyDescent="0.25">
      <c r="A12" s="63" t="s">
        <v>2276</v>
      </c>
      <c r="B12" s="55"/>
      <c r="C12" s="76">
        <f>SUM(C13:C15)</f>
        <v>0</v>
      </c>
      <c r="D12" s="76">
        <f t="shared" ref="D12:K12" si="4">SUM(D13:D15)</f>
        <v>0</v>
      </c>
      <c r="E12" s="332">
        <f t="shared" si="4"/>
        <v>0</v>
      </c>
      <c r="F12" s="79">
        <f t="shared" si="4"/>
        <v>246782</v>
      </c>
      <c r="G12" s="76">
        <f t="shared" si="4"/>
        <v>246782</v>
      </c>
      <c r="H12" s="333">
        <f t="shared" si="4"/>
        <v>246782</v>
      </c>
      <c r="I12" s="79">
        <f t="shared" si="4"/>
        <v>109425.60000000001</v>
      </c>
      <c r="J12" s="76">
        <f t="shared" si="4"/>
        <v>115991.13600000001</v>
      </c>
      <c r="K12" s="333">
        <f t="shared" si="4"/>
        <v>122950.60416000002</v>
      </c>
      <c r="L12" s="888"/>
    </row>
    <row r="13" spans="1:12" s="877" customFormat="1" ht="13.15" customHeight="1" x14ac:dyDescent="0.25">
      <c r="A13" s="744" t="s">
        <v>2277</v>
      </c>
      <c r="B13" s="55"/>
      <c r="C13" s="1316"/>
      <c r="D13" s="1316"/>
      <c r="E13" s="1317"/>
      <c r="F13" s="1318"/>
      <c r="G13" s="1316"/>
      <c r="H13" s="1319"/>
      <c r="I13" s="1318"/>
      <c r="J13" s="1316"/>
      <c r="K13" s="1319"/>
      <c r="L13" s="888"/>
    </row>
    <row r="14" spans="1:12" s="877" customFormat="1" ht="13.15" customHeight="1" x14ac:dyDescent="0.25">
      <c r="A14" s="744" t="s">
        <v>2278</v>
      </c>
      <c r="B14" s="55"/>
      <c r="C14" s="1316"/>
      <c r="D14" s="1316"/>
      <c r="E14" s="1317"/>
      <c r="F14" s="1318">
        <v>246782</v>
      </c>
      <c r="G14" s="1316">
        <v>246782</v>
      </c>
      <c r="H14" s="1319">
        <v>246782</v>
      </c>
      <c r="I14" s="1318">
        <v>109425.60000000001</v>
      </c>
      <c r="J14" s="1316">
        <f>I14*1.06</f>
        <v>115991.13600000001</v>
      </c>
      <c r="K14" s="1319">
        <f>J14*1.06</f>
        <v>122950.60416000002</v>
      </c>
      <c r="L14" s="888"/>
    </row>
    <row r="15" spans="1:12" s="877" customFormat="1" ht="13.15" customHeight="1" x14ac:dyDescent="0.25">
      <c r="A15" s="744" t="s">
        <v>2279</v>
      </c>
      <c r="B15" s="55"/>
      <c r="C15" s="1316"/>
      <c r="D15" s="1316"/>
      <c r="E15" s="1317"/>
      <c r="F15" s="1318"/>
      <c r="G15" s="1316"/>
      <c r="H15" s="1319"/>
      <c r="I15" s="1318"/>
      <c r="J15" s="1316"/>
      <c r="K15" s="1319"/>
      <c r="L15" s="888"/>
    </row>
    <row r="16" spans="1:12" s="877" customFormat="1" ht="13.15" customHeight="1" x14ac:dyDescent="0.25">
      <c r="A16" s="63" t="s">
        <v>2321</v>
      </c>
      <c r="B16" s="55"/>
      <c r="C16" s="76">
        <f t="shared" ref="C16:K16" si="5">SUM(C17:C25)</f>
        <v>0</v>
      </c>
      <c r="D16" s="76">
        <f t="shared" si="5"/>
        <v>1277546</v>
      </c>
      <c r="E16" s="332">
        <f t="shared" si="5"/>
        <v>456468</v>
      </c>
      <c r="F16" s="79">
        <f t="shared" si="5"/>
        <v>2942589</v>
      </c>
      <c r="G16" s="76">
        <f t="shared" si="5"/>
        <v>2942589</v>
      </c>
      <c r="H16" s="333">
        <f t="shared" si="5"/>
        <v>2942589</v>
      </c>
      <c r="I16" s="79">
        <f t="shared" si="5"/>
        <v>1702799</v>
      </c>
      <c r="J16" s="76">
        <f t="shared" si="5"/>
        <v>1804966.94</v>
      </c>
      <c r="K16" s="333">
        <f t="shared" si="5"/>
        <v>1913264.9564</v>
      </c>
      <c r="L16" s="888"/>
    </row>
    <row r="17" spans="1:12" s="877" customFormat="1" ht="13.15" customHeight="1" x14ac:dyDescent="0.25">
      <c r="A17" s="744" t="s">
        <v>2280</v>
      </c>
      <c r="B17" s="55"/>
      <c r="C17" s="1316"/>
      <c r="D17" s="1316"/>
      <c r="E17" s="1317"/>
      <c r="F17" s="1318"/>
      <c r="G17" s="1316"/>
      <c r="H17" s="1319"/>
      <c r="I17" s="1318"/>
      <c r="J17" s="1316"/>
      <c r="K17" s="1319"/>
      <c r="L17" s="888"/>
    </row>
    <row r="18" spans="1:12" s="877" customFormat="1" ht="13.15" customHeight="1" x14ac:dyDescent="0.25">
      <c r="A18" s="744" t="s">
        <v>2281</v>
      </c>
      <c r="B18" s="55"/>
      <c r="C18" s="1316"/>
      <c r="D18" s="1316"/>
      <c r="E18" s="1317"/>
      <c r="F18" s="1318">
        <v>94690</v>
      </c>
      <c r="G18" s="1316">
        <v>94690</v>
      </c>
      <c r="H18" s="1319">
        <v>94690</v>
      </c>
      <c r="I18" s="1318"/>
      <c r="J18" s="1316"/>
      <c r="K18" s="1319"/>
      <c r="L18" s="888"/>
    </row>
    <row r="19" spans="1:12" s="877" customFormat="1" ht="13.15" customHeight="1" x14ac:dyDescent="0.25">
      <c r="A19" s="744" t="s">
        <v>2282</v>
      </c>
      <c r="B19" s="55"/>
      <c r="C19" s="1316"/>
      <c r="D19" s="1316"/>
      <c r="E19" s="1317"/>
      <c r="F19" s="1318"/>
      <c r="G19" s="1316"/>
      <c r="H19" s="1319"/>
      <c r="I19" s="1318"/>
      <c r="J19" s="1316"/>
      <c r="K19" s="1319"/>
      <c r="L19" s="888"/>
    </row>
    <row r="20" spans="1:12" s="877" customFormat="1" ht="13.15" customHeight="1" x14ac:dyDescent="0.25">
      <c r="A20" s="744" t="s">
        <v>2283</v>
      </c>
      <c r="B20" s="55"/>
      <c r="C20" s="1316"/>
      <c r="D20" s="1316"/>
      <c r="E20" s="1317"/>
      <c r="F20" s="1318"/>
      <c r="G20" s="1316"/>
      <c r="H20" s="1319"/>
      <c r="I20" s="1318"/>
      <c r="J20" s="1316"/>
      <c r="K20" s="1319"/>
      <c r="L20" s="888"/>
    </row>
    <row r="21" spans="1:12" s="877" customFormat="1" ht="13.15" customHeight="1" x14ac:dyDescent="0.25">
      <c r="A21" s="744" t="s">
        <v>2284</v>
      </c>
      <c r="B21" s="55"/>
      <c r="C21" s="1316"/>
      <c r="D21" s="1316"/>
      <c r="E21" s="1317"/>
      <c r="F21" s="1318"/>
      <c r="G21" s="1316"/>
      <c r="H21" s="1319"/>
      <c r="I21" s="1318"/>
      <c r="J21" s="1316"/>
      <c r="K21" s="1319"/>
      <c r="L21" s="888"/>
    </row>
    <row r="22" spans="1:12" s="877" customFormat="1" ht="13.15" customHeight="1" x14ac:dyDescent="0.25">
      <c r="A22" s="744" t="s">
        <v>2285</v>
      </c>
      <c r="B22" s="55"/>
      <c r="C22" s="1316"/>
      <c r="D22" s="1316"/>
      <c r="E22" s="1317"/>
      <c r="F22" s="1318"/>
      <c r="G22" s="1316"/>
      <c r="H22" s="1319"/>
      <c r="I22" s="1318"/>
      <c r="J22" s="1316"/>
      <c r="K22" s="1319"/>
      <c r="L22" s="25"/>
    </row>
    <row r="23" spans="1:12" s="877" customFormat="1" ht="13.15" customHeight="1" x14ac:dyDescent="0.25">
      <c r="A23" s="744" t="s">
        <v>2286</v>
      </c>
      <c r="B23" s="55"/>
      <c r="C23" s="1316"/>
      <c r="D23" s="1316"/>
      <c r="E23" s="1317"/>
      <c r="F23" s="1318">
        <v>552945</v>
      </c>
      <c r="G23" s="1316">
        <v>552945</v>
      </c>
      <c r="H23" s="1319">
        <v>552945</v>
      </c>
      <c r="I23" s="1318">
        <v>544000</v>
      </c>
      <c r="J23" s="1316">
        <f t="shared" ref="J23:K23" si="6">I23*1.06</f>
        <v>576640</v>
      </c>
      <c r="K23" s="1319">
        <f t="shared" si="6"/>
        <v>611238.40000000002</v>
      </c>
      <c r="L23" s="888"/>
    </row>
    <row r="24" spans="1:12" s="877" customFormat="1" ht="13.15" customHeight="1" x14ac:dyDescent="0.25">
      <c r="A24" s="744" t="s">
        <v>2287</v>
      </c>
      <c r="B24" s="55"/>
      <c r="C24" s="1316"/>
      <c r="D24" s="1316">
        <v>1277546</v>
      </c>
      <c r="E24" s="1317">
        <v>456468</v>
      </c>
      <c r="F24" s="1318">
        <v>1198600</v>
      </c>
      <c r="G24" s="1316">
        <v>1198600</v>
      </c>
      <c r="H24" s="1319">
        <v>1198600</v>
      </c>
      <c r="I24" s="1318">
        <f>334880+184000</f>
        <v>518880</v>
      </c>
      <c r="J24" s="1316">
        <f t="shared" ref="J24:K24" si="7">I24*1.06</f>
        <v>550012.80000000005</v>
      </c>
      <c r="K24" s="1319">
        <f t="shared" si="7"/>
        <v>583013.56800000009</v>
      </c>
      <c r="L24" s="888"/>
    </row>
    <row r="25" spans="1:12" s="877" customFormat="1" ht="13.15" customHeight="1" x14ac:dyDescent="0.25">
      <c r="A25" s="744" t="s">
        <v>2275</v>
      </c>
      <c r="B25" s="55"/>
      <c r="C25" s="1316"/>
      <c r="D25" s="1316"/>
      <c r="E25" s="1317"/>
      <c r="F25" s="1318">
        <v>1096354</v>
      </c>
      <c r="G25" s="1316">
        <v>1096354</v>
      </c>
      <c r="H25" s="1319">
        <v>1096354</v>
      </c>
      <c r="I25" s="1318">
        <f>54400+144000+129519+300000+12000</f>
        <v>639919</v>
      </c>
      <c r="J25" s="1316">
        <f t="shared" ref="J25:K25" si="8">I25*1.06</f>
        <v>678314.14</v>
      </c>
      <c r="K25" s="1319">
        <f t="shared" si="8"/>
        <v>719012.98840000003</v>
      </c>
      <c r="L25" s="888"/>
    </row>
    <row r="26" spans="1:12" ht="13.15" customHeight="1" x14ac:dyDescent="0.25">
      <c r="A26" s="63" t="s">
        <v>2322</v>
      </c>
      <c r="B26" s="55"/>
      <c r="C26" s="76">
        <f>SUM(C27:C36)</f>
        <v>0</v>
      </c>
      <c r="D26" s="76">
        <f t="shared" ref="D26:K26" si="9">SUM(D27:D36)</f>
        <v>0</v>
      </c>
      <c r="E26" s="332">
        <f t="shared" si="9"/>
        <v>747025</v>
      </c>
      <c r="F26" s="79">
        <f t="shared" si="9"/>
        <v>2699155</v>
      </c>
      <c r="G26" s="76">
        <f t="shared" si="9"/>
        <v>2699155</v>
      </c>
      <c r="H26" s="333">
        <f t="shared" si="9"/>
        <v>2699155</v>
      </c>
      <c r="I26" s="79">
        <f t="shared" si="9"/>
        <v>1690293.1359999999</v>
      </c>
      <c r="J26" s="76">
        <f t="shared" si="9"/>
        <v>1791710.72416</v>
      </c>
      <c r="K26" s="333">
        <f t="shared" si="9"/>
        <v>1899213.3676096001</v>
      </c>
    </row>
    <row r="27" spans="1:12" ht="13.15" customHeight="1" x14ac:dyDescent="0.25">
      <c r="A27" s="744" t="s">
        <v>2288</v>
      </c>
      <c r="B27" s="55"/>
      <c r="C27" s="1316"/>
      <c r="D27" s="1316"/>
      <c r="E27" s="1317"/>
      <c r="F27" s="1318"/>
      <c r="G27" s="1316"/>
      <c r="H27" s="1319"/>
      <c r="I27" s="1318"/>
      <c r="J27" s="1316"/>
      <c r="K27" s="1319"/>
    </row>
    <row r="28" spans="1:12" ht="13.15" customHeight="1" x14ac:dyDescent="0.25">
      <c r="A28" s="744" t="s">
        <v>2289</v>
      </c>
      <c r="B28" s="55"/>
      <c r="C28" s="1316"/>
      <c r="D28" s="1316"/>
      <c r="E28" s="1317"/>
      <c r="F28" s="1318"/>
      <c r="G28" s="1316"/>
      <c r="H28" s="1319"/>
      <c r="I28" s="1318"/>
      <c r="J28" s="1316"/>
      <c r="K28" s="1319"/>
      <c r="L28" s="888"/>
    </row>
    <row r="29" spans="1:12" ht="13.15" customHeight="1" x14ac:dyDescent="0.25">
      <c r="A29" s="744" t="s">
        <v>2290</v>
      </c>
      <c r="B29" s="55"/>
      <c r="C29" s="1316"/>
      <c r="D29" s="1316"/>
      <c r="E29" s="1317">
        <v>747025</v>
      </c>
      <c r="F29" s="1318">
        <v>169600</v>
      </c>
      <c r="G29" s="1316">
        <v>169600</v>
      </c>
      <c r="H29" s="1319">
        <v>169600</v>
      </c>
      <c r="I29" s="1318">
        <v>135680</v>
      </c>
      <c r="J29" s="1316">
        <f>I29*1.06</f>
        <v>143820.80000000002</v>
      </c>
      <c r="K29" s="1319">
        <f>J29*1.06</f>
        <v>152450.04800000004</v>
      </c>
      <c r="L29" s="888"/>
    </row>
    <row r="30" spans="1:12" ht="13.15" customHeight="1" x14ac:dyDescent="0.25">
      <c r="A30" s="744" t="s">
        <v>2291</v>
      </c>
      <c r="B30" s="55"/>
      <c r="C30" s="1316"/>
      <c r="D30" s="1316"/>
      <c r="E30" s="1317"/>
      <c r="F30" s="1318"/>
      <c r="G30" s="1316"/>
      <c r="H30" s="1319"/>
      <c r="I30" s="1318"/>
      <c r="J30" s="1316"/>
      <c r="K30" s="1319"/>
      <c r="L30" s="888"/>
    </row>
    <row r="31" spans="1:12" ht="13.15" customHeight="1" x14ac:dyDescent="0.25">
      <c r="A31" s="744" t="s">
        <v>2292</v>
      </c>
      <c r="B31" s="55"/>
      <c r="C31" s="1316"/>
      <c r="D31" s="1316"/>
      <c r="E31" s="1317"/>
      <c r="F31" s="1318">
        <v>2529555</v>
      </c>
      <c r="G31" s="1316">
        <v>2529555</v>
      </c>
      <c r="H31" s="1319">
        <v>2529555</v>
      </c>
      <c r="I31" s="1318">
        <f>748195.136+160000+461785</f>
        <v>1369980.1359999999</v>
      </c>
      <c r="J31" s="1316">
        <f>I31*1.06</f>
        <v>1452178.94416</v>
      </c>
      <c r="K31" s="1319">
        <f>J31*1.06</f>
        <v>1539309.6808096</v>
      </c>
      <c r="L31" s="888"/>
    </row>
    <row r="32" spans="1:12" ht="13.15" customHeight="1" x14ac:dyDescent="0.25">
      <c r="A32" s="744" t="s">
        <v>2293</v>
      </c>
      <c r="B32" s="55"/>
      <c r="C32" s="1316"/>
      <c r="D32" s="1316"/>
      <c r="E32" s="1317"/>
      <c r="F32" s="1318"/>
      <c r="G32" s="1316"/>
      <c r="H32" s="1319"/>
      <c r="I32" s="1318"/>
      <c r="J32" s="1316"/>
      <c r="K32" s="1319"/>
      <c r="L32" s="888"/>
    </row>
    <row r="33" spans="1:12" ht="13.15" customHeight="1" x14ac:dyDescent="0.25">
      <c r="A33" s="744" t="s">
        <v>2294</v>
      </c>
      <c r="B33" s="55"/>
      <c r="C33" s="1316"/>
      <c r="D33" s="1316"/>
      <c r="E33" s="1317"/>
      <c r="F33" s="1318"/>
      <c r="G33" s="1316"/>
      <c r="H33" s="1319"/>
      <c r="I33" s="1318"/>
      <c r="J33" s="1316"/>
      <c r="K33" s="1319"/>
      <c r="L33" s="888"/>
    </row>
    <row r="34" spans="1:12" ht="13.15" customHeight="1" x14ac:dyDescent="0.25">
      <c r="A34" s="744" t="s">
        <v>2295</v>
      </c>
      <c r="B34" s="55"/>
      <c r="C34" s="1316"/>
      <c r="D34" s="1316"/>
      <c r="E34" s="1317"/>
      <c r="F34" s="1318"/>
      <c r="G34" s="1316"/>
      <c r="H34" s="1319"/>
      <c r="I34" s="1318"/>
      <c r="J34" s="1316"/>
      <c r="K34" s="1319"/>
      <c r="L34" s="888"/>
    </row>
    <row r="35" spans="1:12" ht="13.15" customHeight="1" x14ac:dyDescent="0.25">
      <c r="A35" s="744" t="s">
        <v>2296</v>
      </c>
      <c r="B35" s="55"/>
      <c r="C35" s="1316"/>
      <c r="D35" s="1316"/>
      <c r="E35" s="1317"/>
      <c r="F35" s="1318"/>
      <c r="G35" s="1316"/>
      <c r="H35" s="1319"/>
      <c r="I35" s="1318"/>
      <c r="J35" s="1316"/>
      <c r="K35" s="1319"/>
      <c r="L35" s="888"/>
    </row>
    <row r="36" spans="1:12" ht="13.15" customHeight="1" x14ac:dyDescent="0.25">
      <c r="A36" s="744" t="s">
        <v>2275</v>
      </c>
      <c r="B36" s="55"/>
      <c r="C36" s="1316"/>
      <c r="D36" s="1316"/>
      <c r="E36" s="1317"/>
      <c r="F36" s="1318"/>
      <c r="G36" s="1316"/>
      <c r="H36" s="1319"/>
      <c r="I36" s="1318">
        <v>184633</v>
      </c>
      <c r="J36" s="1316">
        <f>I36*1.06</f>
        <v>195710.98</v>
      </c>
      <c r="K36" s="1319">
        <f>J36*1.06</f>
        <v>207453.63880000002</v>
      </c>
      <c r="L36" s="888"/>
    </row>
    <row r="37" spans="1:12" ht="13.15" customHeight="1" x14ac:dyDescent="0.25">
      <c r="A37" s="63" t="s">
        <v>2323</v>
      </c>
      <c r="B37" s="55"/>
      <c r="C37" s="76">
        <f>SUM(C38:C43)</f>
        <v>0</v>
      </c>
      <c r="D37" s="76">
        <f t="shared" ref="D37:K37" si="10">SUM(D38:D43)</f>
        <v>0</v>
      </c>
      <c r="E37" s="332">
        <f t="shared" si="10"/>
        <v>221503</v>
      </c>
      <c r="F37" s="79">
        <f t="shared" si="10"/>
        <v>1330123</v>
      </c>
      <c r="G37" s="76">
        <f t="shared" si="10"/>
        <v>1330123</v>
      </c>
      <c r="H37" s="333">
        <f t="shared" si="10"/>
        <v>1330123</v>
      </c>
      <c r="I37" s="79">
        <f t="shared" si="10"/>
        <v>1945791</v>
      </c>
      <c r="J37" s="76">
        <f t="shared" si="10"/>
        <v>2062538.46</v>
      </c>
      <c r="K37" s="333">
        <f t="shared" si="10"/>
        <v>2186290.7675999999</v>
      </c>
      <c r="L37" s="888"/>
    </row>
    <row r="38" spans="1:12" ht="13.15" customHeight="1" x14ac:dyDescent="0.25">
      <c r="A38" s="744" t="s">
        <v>2297</v>
      </c>
      <c r="B38" s="55"/>
      <c r="C38" s="1316"/>
      <c r="D38" s="1316"/>
      <c r="E38" s="1317"/>
      <c r="F38" s="1318"/>
      <c r="G38" s="1316"/>
      <c r="H38" s="1319"/>
      <c r="I38" s="1318"/>
      <c r="J38" s="1316"/>
      <c r="K38" s="1319"/>
      <c r="L38" s="888"/>
    </row>
    <row r="39" spans="1:12" ht="13.15" customHeight="1" x14ac:dyDescent="0.25">
      <c r="A39" s="744" t="s">
        <v>25</v>
      </c>
      <c r="B39" s="55"/>
      <c r="C39" s="1316"/>
      <c r="D39" s="1316"/>
      <c r="E39" s="1317"/>
      <c r="F39" s="1318">
        <v>733180</v>
      </c>
      <c r="G39" s="1316">
        <v>733180</v>
      </c>
      <c r="H39" s="1319">
        <v>733180</v>
      </c>
      <c r="I39" s="1318">
        <v>1173088</v>
      </c>
      <c r="J39" s="1316">
        <f t="shared" ref="J39:K39" si="11">I39*1.06</f>
        <v>1243473.28</v>
      </c>
      <c r="K39" s="1319">
        <f t="shared" si="11"/>
        <v>1318081.6768</v>
      </c>
      <c r="L39" s="888"/>
    </row>
    <row r="40" spans="1:12" ht="13.15" customHeight="1" x14ac:dyDescent="0.25">
      <c r="A40" s="744" t="s">
        <v>2298</v>
      </c>
      <c r="B40" s="55"/>
      <c r="C40" s="1316"/>
      <c r="D40" s="1316"/>
      <c r="E40" s="1317">
        <v>221503</v>
      </c>
      <c r="F40" s="1318">
        <v>596943</v>
      </c>
      <c r="G40" s="1316">
        <v>596943</v>
      </c>
      <c r="H40" s="1319">
        <v>596943</v>
      </c>
      <c r="I40" s="1318">
        <v>587200</v>
      </c>
      <c r="J40" s="1316">
        <f t="shared" ref="J40:K40" si="12">I40*1.06</f>
        <v>622432</v>
      </c>
      <c r="K40" s="1319">
        <f t="shared" si="12"/>
        <v>659777.92000000004</v>
      </c>
    </row>
    <row r="41" spans="1:12" ht="13.15" customHeight="1" x14ac:dyDescent="0.25">
      <c r="A41" s="744" t="s">
        <v>2299</v>
      </c>
      <c r="B41" s="55"/>
      <c r="C41" s="1316"/>
      <c r="D41" s="1316"/>
      <c r="E41" s="1317"/>
      <c r="F41" s="1318"/>
      <c r="G41" s="1316"/>
      <c r="H41" s="1319"/>
      <c r="I41" s="1318"/>
      <c r="J41" s="1316"/>
      <c r="K41" s="1319"/>
      <c r="L41" s="888"/>
    </row>
    <row r="42" spans="1:12" ht="13.15" customHeight="1" x14ac:dyDescent="0.25">
      <c r="A42" s="744" t="s">
        <v>2300</v>
      </c>
      <c r="B42" s="55"/>
      <c r="C42" s="1316"/>
      <c r="D42" s="1316"/>
      <c r="E42" s="1317"/>
      <c r="F42" s="1318"/>
      <c r="G42" s="1316"/>
      <c r="H42" s="1319"/>
      <c r="I42" s="1318"/>
      <c r="J42" s="1316"/>
      <c r="K42" s="1319"/>
    </row>
    <row r="43" spans="1:12" ht="13.15" customHeight="1" x14ac:dyDescent="0.25">
      <c r="A43" s="744" t="s">
        <v>2275</v>
      </c>
      <c r="B43" s="55"/>
      <c r="C43" s="1316"/>
      <c r="D43" s="1316"/>
      <c r="E43" s="1317"/>
      <c r="F43" s="1318"/>
      <c r="G43" s="1316"/>
      <c r="H43" s="1319"/>
      <c r="I43" s="1318">
        <v>185503</v>
      </c>
      <c r="J43" s="1316">
        <f>I43*1.06</f>
        <v>196633.18000000002</v>
      </c>
      <c r="K43" s="1319">
        <f>J43*1.06</f>
        <v>208431.17080000002</v>
      </c>
    </row>
    <row r="44" spans="1:12" ht="13.15" customHeight="1" x14ac:dyDescent="0.25">
      <c r="A44" s="63" t="s">
        <v>2301</v>
      </c>
      <c r="B44" s="55"/>
      <c r="C44" s="76">
        <f>SUM(C45:C51)</f>
        <v>0</v>
      </c>
      <c r="D44" s="76">
        <f t="shared" ref="D44:K44" si="13">SUM(D45:D51)</f>
        <v>0</v>
      </c>
      <c r="E44" s="332">
        <f t="shared" si="13"/>
        <v>709183</v>
      </c>
      <c r="F44" s="79">
        <f t="shared" si="13"/>
        <v>600000</v>
      </c>
      <c r="G44" s="76">
        <f t="shared" si="13"/>
        <v>600000</v>
      </c>
      <c r="H44" s="333">
        <f t="shared" si="13"/>
        <v>600000</v>
      </c>
      <c r="I44" s="79">
        <f t="shared" si="13"/>
        <v>800000</v>
      </c>
      <c r="J44" s="76">
        <f t="shared" si="13"/>
        <v>848000</v>
      </c>
      <c r="K44" s="333">
        <f t="shared" si="13"/>
        <v>898880</v>
      </c>
    </row>
    <row r="45" spans="1:12" ht="13.15" customHeight="1" x14ac:dyDescent="0.25">
      <c r="A45" s="744" t="s">
        <v>2302</v>
      </c>
      <c r="B45" s="55"/>
      <c r="C45" s="1316"/>
      <c r="D45" s="1316"/>
      <c r="E45" s="1317"/>
      <c r="F45" s="1318"/>
      <c r="G45" s="1316"/>
      <c r="H45" s="1319"/>
      <c r="I45" s="1318"/>
      <c r="J45" s="1316"/>
      <c r="K45" s="1319"/>
    </row>
    <row r="46" spans="1:12" ht="13.15" customHeight="1" x14ac:dyDescent="0.25">
      <c r="A46" s="744" t="s">
        <v>2303</v>
      </c>
      <c r="B46" s="55"/>
      <c r="C46" s="1316"/>
      <c r="D46" s="1316"/>
      <c r="E46" s="1317">
        <v>709183</v>
      </c>
      <c r="F46" s="1318">
        <v>600000</v>
      </c>
      <c r="G46" s="1316">
        <v>600000</v>
      </c>
      <c r="H46" s="1319">
        <v>600000</v>
      </c>
      <c r="I46" s="1318">
        <v>800000</v>
      </c>
      <c r="J46" s="1316">
        <f>I46*1.06</f>
        <v>848000</v>
      </c>
      <c r="K46" s="1319">
        <f>J46*1.06</f>
        <v>898880</v>
      </c>
    </row>
    <row r="47" spans="1:12" ht="13.15" customHeight="1" x14ac:dyDescent="0.25">
      <c r="A47" s="744" t="s">
        <v>2304</v>
      </c>
      <c r="B47" s="55"/>
      <c r="C47" s="1316"/>
      <c r="D47" s="1316"/>
      <c r="E47" s="1317"/>
      <c r="F47" s="1318"/>
      <c r="G47" s="1316"/>
      <c r="H47" s="1319"/>
      <c r="I47" s="1318"/>
      <c r="J47" s="1316"/>
      <c r="K47" s="1319"/>
    </row>
    <row r="48" spans="1:12" ht="13.15" customHeight="1" x14ac:dyDescent="0.25">
      <c r="A48" s="744" t="s">
        <v>2305</v>
      </c>
      <c r="B48" s="55"/>
      <c r="C48" s="1316"/>
      <c r="D48" s="1316"/>
      <c r="E48" s="1317"/>
      <c r="F48" s="1318"/>
      <c r="G48" s="1316"/>
      <c r="H48" s="1319"/>
      <c r="I48" s="1318"/>
      <c r="J48" s="1316"/>
      <c r="K48" s="1319"/>
      <c r="L48" s="888"/>
    </row>
    <row r="49" spans="1:12" ht="13.15" customHeight="1" x14ac:dyDescent="0.25">
      <c r="A49" s="744" t="s">
        <v>2306</v>
      </c>
      <c r="B49" s="55"/>
      <c r="C49" s="1316"/>
      <c r="D49" s="1316"/>
      <c r="E49" s="1317"/>
      <c r="F49" s="1318"/>
      <c r="G49" s="1316"/>
      <c r="H49" s="1319"/>
      <c r="I49" s="1318"/>
      <c r="J49" s="1316"/>
      <c r="K49" s="1319"/>
    </row>
    <row r="50" spans="1:12" ht="13.15" customHeight="1" x14ac:dyDescent="0.25">
      <c r="A50" s="744" t="s">
        <v>2307</v>
      </c>
      <c r="B50" s="55"/>
      <c r="C50" s="1316"/>
      <c r="D50" s="1316"/>
      <c r="E50" s="1317"/>
      <c r="F50" s="1318"/>
      <c r="G50" s="1316"/>
      <c r="H50" s="1319"/>
      <c r="I50" s="1318"/>
      <c r="J50" s="1316"/>
      <c r="K50" s="1319"/>
    </row>
    <row r="51" spans="1:12" ht="13.15" customHeight="1" x14ac:dyDescent="0.25">
      <c r="A51" s="744" t="s">
        <v>2275</v>
      </c>
      <c r="B51" s="55"/>
      <c r="C51" s="1316"/>
      <c r="D51" s="1316"/>
      <c r="E51" s="1317"/>
      <c r="F51" s="1318"/>
      <c r="G51" s="1316"/>
      <c r="H51" s="1319"/>
      <c r="I51" s="1318"/>
      <c r="J51" s="1316"/>
      <c r="K51" s="1319"/>
    </row>
    <row r="52" spans="1:12" ht="13.15" customHeight="1" x14ac:dyDescent="0.25">
      <c r="A52" s="63" t="s">
        <v>2317</v>
      </c>
      <c r="B52" s="55"/>
      <c r="C52" s="76">
        <f t="shared" ref="C52:K52" si="14">SUM(C53:C61)</f>
        <v>0</v>
      </c>
      <c r="D52" s="76">
        <f t="shared" si="14"/>
        <v>0</v>
      </c>
      <c r="E52" s="332">
        <f t="shared" si="14"/>
        <v>0</v>
      </c>
      <c r="F52" s="79">
        <f t="shared" si="14"/>
        <v>0</v>
      </c>
      <c r="G52" s="76">
        <f t="shared" si="14"/>
        <v>0</v>
      </c>
      <c r="H52" s="333">
        <f t="shared" si="14"/>
        <v>0</v>
      </c>
      <c r="I52" s="79">
        <f t="shared" si="14"/>
        <v>0</v>
      </c>
      <c r="J52" s="76">
        <f t="shared" si="14"/>
        <v>0</v>
      </c>
      <c r="K52" s="333">
        <f t="shared" si="14"/>
        <v>0</v>
      </c>
      <c r="L52" s="888"/>
    </row>
    <row r="53" spans="1:12" ht="13.15" customHeight="1" x14ac:dyDescent="0.25">
      <c r="A53" s="744" t="s">
        <v>2318</v>
      </c>
      <c r="B53" s="55"/>
      <c r="C53" s="1316"/>
      <c r="D53" s="1316"/>
      <c r="E53" s="1317"/>
      <c r="F53" s="1318"/>
      <c r="G53" s="1316"/>
      <c r="H53" s="1319"/>
      <c r="I53" s="1318"/>
      <c r="J53" s="1316"/>
      <c r="K53" s="1319"/>
    </row>
    <row r="54" spans="1:12" ht="13.15" customHeight="1" x14ac:dyDescent="0.25">
      <c r="A54" s="744" t="s">
        <v>2319</v>
      </c>
      <c r="B54" s="55"/>
      <c r="C54" s="1316"/>
      <c r="D54" s="1316"/>
      <c r="E54" s="1317"/>
      <c r="F54" s="1318"/>
      <c r="G54" s="1316"/>
      <c r="H54" s="1319"/>
      <c r="I54" s="1318"/>
      <c r="J54" s="1316"/>
      <c r="K54" s="1319"/>
      <c r="L54" s="888"/>
    </row>
    <row r="55" spans="1:12" ht="13.15" customHeight="1" x14ac:dyDescent="0.25">
      <c r="A55" s="744" t="s">
        <v>2320</v>
      </c>
      <c r="B55" s="55"/>
      <c r="C55" s="1316"/>
      <c r="D55" s="1316"/>
      <c r="E55" s="1317"/>
      <c r="F55" s="1318"/>
      <c r="G55" s="1316"/>
      <c r="H55" s="1319"/>
      <c r="I55" s="1318"/>
      <c r="J55" s="1316"/>
      <c r="K55" s="1319"/>
      <c r="L55" s="888"/>
    </row>
    <row r="56" spans="1:12" ht="13.15" customHeight="1" x14ac:dyDescent="0.25">
      <c r="A56" s="744" t="s">
        <v>2277</v>
      </c>
      <c r="B56" s="55"/>
      <c r="C56" s="1316"/>
      <c r="D56" s="1316"/>
      <c r="E56" s="1317"/>
      <c r="F56" s="1318"/>
      <c r="G56" s="1316"/>
      <c r="H56" s="1319"/>
      <c r="I56" s="1318"/>
      <c r="J56" s="1316"/>
      <c r="K56" s="1319"/>
      <c r="L56" s="888"/>
    </row>
    <row r="57" spans="1:12" ht="13.15" customHeight="1" x14ac:dyDescent="0.25">
      <c r="A57" s="744" t="s">
        <v>2278</v>
      </c>
      <c r="B57" s="55"/>
      <c r="C57" s="1316"/>
      <c r="D57" s="1316"/>
      <c r="E57" s="1317"/>
      <c r="F57" s="1318"/>
      <c r="G57" s="1316"/>
      <c r="H57" s="1319"/>
      <c r="I57" s="1318"/>
      <c r="J57" s="1316"/>
      <c r="K57" s="1319"/>
      <c r="L57" s="888"/>
    </row>
    <row r="58" spans="1:12" ht="13.15" customHeight="1" x14ac:dyDescent="0.25">
      <c r="A58" s="744" t="s">
        <v>2279</v>
      </c>
      <c r="B58" s="55"/>
      <c r="C58" s="1316"/>
      <c r="D58" s="1316"/>
      <c r="E58" s="1317"/>
      <c r="F58" s="1318"/>
      <c r="G58" s="1316"/>
      <c r="H58" s="1319"/>
      <c r="I58" s="1318"/>
      <c r="J58" s="1316"/>
      <c r="K58" s="1319"/>
    </row>
    <row r="59" spans="1:12" ht="13.15" customHeight="1" x14ac:dyDescent="0.25">
      <c r="A59" s="744" t="s">
        <v>2284</v>
      </c>
      <c r="B59" s="55"/>
      <c r="C59" s="1316"/>
      <c r="D59" s="1316"/>
      <c r="E59" s="1317"/>
      <c r="F59" s="1318"/>
      <c r="G59" s="1316"/>
      <c r="H59" s="1319"/>
      <c r="I59" s="1318"/>
      <c r="J59" s="1316"/>
      <c r="K59" s="1319"/>
      <c r="L59" s="888"/>
    </row>
    <row r="60" spans="1:12" ht="13.15" customHeight="1" x14ac:dyDescent="0.25">
      <c r="A60" s="744" t="s">
        <v>2287</v>
      </c>
      <c r="B60" s="55"/>
      <c r="C60" s="1316"/>
      <c r="D60" s="1316"/>
      <c r="E60" s="1317"/>
      <c r="F60" s="1318"/>
      <c r="G60" s="1316"/>
      <c r="H60" s="1319"/>
      <c r="I60" s="1318"/>
      <c r="J60" s="1316"/>
      <c r="K60" s="1319"/>
      <c r="L60" s="888"/>
    </row>
    <row r="61" spans="1:12" ht="13.15" customHeight="1" x14ac:dyDescent="0.25">
      <c r="A61" s="744" t="s">
        <v>2275</v>
      </c>
      <c r="B61" s="55"/>
      <c r="C61" s="1316"/>
      <c r="D61" s="1316"/>
      <c r="E61" s="1317"/>
      <c r="F61" s="1318"/>
      <c r="G61" s="1316"/>
      <c r="H61" s="1319"/>
      <c r="I61" s="1318"/>
      <c r="J61" s="1316"/>
      <c r="K61" s="1319"/>
      <c r="L61" s="888"/>
    </row>
    <row r="62" spans="1:12" ht="13.15" customHeight="1" x14ac:dyDescent="0.25">
      <c r="A62" s="63" t="s">
        <v>2312</v>
      </c>
      <c r="B62" s="55"/>
      <c r="C62" s="76">
        <f>SUM(C63:C67)</f>
        <v>0</v>
      </c>
      <c r="D62" s="76">
        <f t="shared" ref="D62:K62" si="15">SUM(D63:D67)</f>
        <v>0</v>
      </c>
      <c r="E62" s="332">
        <f t="shared" si="15"/>
        <v>0</v>
      </c>
      <c r="F62" s="79">
        <f t="shared" si="15"/>
        <v>0</v>
      </c>
      <c r="G62" s="76">
        <f t="shared" si="15"/>
        <v>0</v>
      </c>
      <c r="H62" s="333">
        <f t="shared" si="15"/>
        <v>0</v>
      </c>
      <c r="I62" s="79">
        <f t="shared" si="15"/>
        <v>0</v>
      </c>
      <c r="J62" s="76">
        <f t="shared" si="15"/>
        <v>0</v>
      </c>
      <c r="K62" s="333">
        <f t="shared" si="15"/>
        <v>0</v>
      </c>
      <c r="L62" s="888"/>
    </row>
    <row r="63" spans="1:12" ht="13.15" customHeight="1" x14ac:dyDescent="0.25">
      <c r="A63" s="744" t="s">
        <v>2313</v>
      </c>
      <c r="B63" s="55"/>
      <c r="C63" s="1316"/>
      <c r="D63" s="1316"/>
      <c r="E63" s="1317"/>
      <c r="F63" s="1318"/>
      <c r="G63" s="1316"/>
      <c r="H63" s="1319"/>
      <c r="I63" s="1318"/>
      <c r="J63" s="1316"/>
      <c r="K63" s="1319"/>
      <c r="L63" s="888"/>
    </row>
    <row r="64" spans="1:12" ht="13.15" customHeight="1" x14ac:dyDescent="0.25">
      <c r="A64" s="744" t="s">
        <v>2314</v>
      </c>
      <c r="B64" s="55"/>
      <c r="C64" s="1316"/>
      <c r="D64" s="1316"/>
      <c r="E64" s="1317"/>
      <c r="F64" s="1318"/>
      <c r="G64" s="1316"/>
      <c r="H64" s="1319"/>
      <c r="I64" s="1318"/>
      <c r="J64" s="1316"/>
      <c r="K64" s="1319"/>
    </row>
    <row r="65" spans="1:11" ht="13.15" customHeight="1" x14ac:dyDescent="0.25">
      <c r="A65" s="744" t="s">
        <v>2315</v>
      </c>
      <c r="B65" s="55"/>
      <c r="C65" s="1316"/>
      <c r="D65" s="1316"/>
      <c r="E65" s="1317"/>
      <c r="F65" s="1318"/>
      <c r="G65" s="1316"/>
      <c r="H65" s="1319"/>
      <c r="I65" s="1318"/>
      <c r="J65" s="1316"/>
      <c r="K65" s="1319"/>
    </row>
    <row r="66" spans="1:11" ht="13.15" customHeight="1" x14ac:dyDescent="0.25">
      <c r="A66" s="744" t="s">
        <v>2316</v>
      </c>
      <c r="B66" s="55"/>
      <c r="C66" s="1316"/>
      <c r="D66" s="1316"/>
      <c r="E66" s="1317"/>
      <c r="F66" s="1318"/>
      <c r="G66" s="1316"/>
      <c r="H66" s="1319"/>
      <c r="I66" s="1318"/>
      <c r="J66" s="1316"/>
      <c r="K66" s="1319"/>
    </row>
    <row r="67" spans="1:11" ht="13.15" customHeight="1" x14ac:dyDescent="0.25">
      <c r="A67" s="744" t="s">
        <v>2275</v>
      </c>
      <c r="B67" s="55"/>
      <c r="C67" s="1316"/>
      <c r="D67" s="1316"/>
      <c r="E67" s="1317"/>
      <c r="F67" s="1318"/>
      <c r="G67" s="1316"/>
      <c r="H67" s="1319"/>
      <c r="I67" s="1318"/>
      <c r="J67" s="1316"/>
      <c r="K67" s="1319"/>
    </row>
    <row r="68" spans="1:11" ht="13.15" customHeight="1" x14ac:dyDescent="0.25">
      <c r="A68" s="63" t="s">
        <v>2308</v>
      </c>
      <c r="B68" s="55"/>
      <c r="C68" s="76">
        <f>SUM(C69:C72)</f>
        <v>0</v>
      </c>
      <c r="D68" s="76">
        <f t="shared" ref="D68:K68" si="16">SUM(D69:D72)</f>
        <v>0</v>
      </c>
      <c r="E68" s="332">
        <f t="shared" si="16"/>
        <v>0</v>
      </c>
      <c r="F68" s="79">
        <f t="shared" si="16"/>
        <v>0</v>
      </c>
      <c r="G68" s="76">
        <f t="shared" si="16"/>
        <v>0</v>
      </c>
      <c r="H68" s="333">
        <f t="shared" si="16"/>
        <v>0</v>
      </c>
      <c r="I68" s="79">
        <f t="shared" si="16"/>
        <v>0</v>
      </c>
      <c r="J68" s="76">
        <f t="shared" si="16"/>
        <v>0</v>
      </c>
      <c r="K68" s="333">
        <f t="shared" si="16"/>
        <v>0</v>
      </c>
    </row>
    <row r="69" spans="1:11" ht="13.15" customHeight="1" x14ac:dyDescent="0.25">
      <c r="A69" s="744" t="s">
        <v>2309</v>
      </c>
      <c r="B69" s="55"/>
      <c r="C69" s="1316"/>
      <c r="D69" s="1316"/>
      <c r="E69" s="1317"/>
      <c r="F69" s="1318"/>
      <c r="G69" s="1316"/>
      <c r="H69" s="1319"/>
      <c r="I69" s="1318"/>
      <c r="J69" s="1316"/>
      <c r="K69" s="1319"/>
    </row>
    <row r="70" spans="1:11" ht="13.15" customHeight="1" x14ac:dyDescent="0.25">
      <c r="A70" s="744" t="s">
        <v>2310</v>
      </c>
      <c r="B70" s="55"/>
      <c r="C70" s="1316"/>
      <c r="D70" s="1316"/>
      <c r="E70" s="1317"/>
      <c r="F70" s="1318"/>
      <c r="G70" s="1316"/>
      <c r="H70" s="1319"/>
      <c r="I70" s="1318"/>
      <c r="J70" s="1316"/>
      <c r="K70" s="1319"/>
    </row>
    <row r="71" spans="1:11" ht="13.15" customHeight="1" x14ac:dyDescent="0.25">
      <c r="A71" s="744" t="s">
        <v>2311</v>
      </c>
      <c r="B71" s="55"/>
      <c r="C71" s="1316"/>
      <c r="D71" s="1316"/>
      <c r="E71" s="1317"/>
      <c r="F71" s="1318"/>
      <c r="G71" s="1316"/>
      <c r="H71" s="1319"/>
      <c r="I71" s="1318"/>
      <c r="J71" s="1316"/>
      <c r="K71" s="1319"/>
    </row>
    <row r="72" spans="1:11" ht="13.15" customHeight="1" x14ac:dyDescent="0.25">
      <c r="A72" s="744" t="s">
        <v>2275</v>
      </c>
      <c r="B72" s="55"/>
      <c r="C72" s="1316"/>
      <c r="D72" s="1316"/>
      <c r="E72" s="1317"/>
      <c r="F72" s="1318"/>
      <c r="G72" s="1316"/>
      <c r="H72" s="1319"/>
      <c r="I72" s="1318"/>
      <c r="J72" s="1316"/>
      <c r="K72" s="1319"/>
    </row>
    <row r="73" spans="1:11" ht="4.9000000000000004" customHeight="1" x14ac:dyDescent="0.25">
      <c r="A73" s="74"/>
      <c r="B73" s="55"/>
      <c r="C73" s="76"/>
      <c r="D73" s="76"/>
      <c r="E73" s="75"/>
      <c r="F73" s="78"/>
      <c r="G73" s="76"/>
      <c r="H73" s="77"/>
      <c r="I73" s="78"/>
      <c r="J73" s="76"/>
      <c r="K73" s="77"/>
    </row>
    <row r="74" spans="1:11" ht="13.15" customHeight="1" x14ac:dyDescent="0.25">
      <c r="A74" s="54" t="s">
        <v>2324</v>
      </c>
      <c r="B74" s="55"/>
      <c r="C74" s="86">
        <f>C75+C98</f>
        <v>0</v>
      </c>
      <c r="D74" s="86">
        <f t="shared" ref="D74:K74" si="17">D75+D98</f>
        <v>195620</v>
      </c>
      <c r="E74" s="85">
        <f t="shared" si="17"/>
        <v>865313</v>
      </c>
      <c r="F74" s="88">
        <f t="shared" si="17"/>
        <v>909580</v>
      </c>
      <c r="G74" s="86">
        <f t="shared" si="17"/>
        <v>-3917469.9960000003</v>
      </c>
      <c r="H74" s="87">
        <f t="shared" si="17"/>
        <v>-3917469.9960000003</v>
      </c>
      <c r="I74" s="88">
        <f t="shared" si="17"/>
        <v>449600</v>
      </c>
      <c r="J74" s="86">
        <f t="shared" si="17"/>
        <v>476576</v>
      </c>
      <c r="K74" s="87">
        <f t="shared" si="17"/>
        <v>505170.56</v>
      </c>
    </row>
    <row r="75" spans="1:11" ht="13.15" customHeight="1" x14ac:dyDescent="0.25">
      <c r="A75" s="63" t="s">
        <v>2325</v>
      </c>
      <c r="B75" s="55"/>
      <c r="C75" s="185">
        <f>SUM(C76:C97)</f>
        <v>0</v>
      </c>
      <c r="D75" s="185">
        <f t="shared" ref="D75:K75" si="18">SUM(D76:D97)</f>
        <v>195620</v>
      </c>
      <c r="E75" s="759">
        <f t="shared" si="18"/>
        <v>865313</v>
      </c>
      <c r="F75" s="217">
        <f t="shared" si="18"/>
        <v>459580</v>
      </c>
      <c r="G75" s="185">
        <f t="shared" si="18"/>
        <v>-4367469.9960000003</v>
      </c>
      <c r="H75" s="699">
        <f t="shared" si="18"/>
        <v>-4367469.9960000003</v>
      </c>
      <c r="I75" s="217">
        <f t="shared" si="18"/>
        <v>409600</v>
      </c>
      <c r="J75" s="185">
        <f t="shared" si="18"/>
        <v>434176</v>
      </c>
      <c r="K75" s="699">
        <f t="shared" si="18"/>
        <v>460226.56</v>
      </c>
    </row>
    <row r="76" spans="1:11" ht="13.15" customHeight="1" x14ac:dyDescent="0.25">
      <c r="A76" s="744" t="s">
        <v>2326</v>
      </c>
      <c r="B76" s="55"/>
      <c r="C76" s="1316"/>
      <c r="D76" s="1316"/>
      <c r="E76" s="1317"/>
      <c r="F76" s="1318">
        <v>130000</v>
      </c>
      <c r="G76" s="1316">
        <v>130000</v>
      </c>
      <c r="H76" s="1319">
        <v>130000</v>
      </c>
      <c r="I76" s="1318"/>
      <c r="J76" s="1316"/>
      <c r="K76" s="1319"/>
    </row>
    <row r="77" spans="1:11" ht="13.15" customHeight="1" x14ac:dyDescent="0.25">
      <c r="A77" s="744" t="s">
        <v>2327</v>
      </c>
      <c r="B77" s="55"/>
      <c r="C77" s="1316"/>
      <c r="D77" s="1316">
        <v>195620</v>
      </c>
      <c r="E77" s="1317">
        <v>865313</v>
      </c>
      <c r="F77" s="1318"/>
      <c r="G77" s="1319">
        <f>-4827049.996</f>
        <v>-4827049.9960000003</v>
      </c>
      <c r="H77" s="1319">
        <f>-4827049.996</f>
        <v>-4827049.9960000003</v>
      </c>
      <c r="I77" s="1318"/>
      <c r="J77" s="1316"/>
      <c r="K77" s="1319"/>
    </row>
    <row r="78" spans="1:11" ht="13.15" customHeight="1" x14ac:dyDescent="0.25">
      <c r="A78" s="744" t="s">
        <v>2328</v>
      </c>
      <c r="B78" s="55"/>
      <c r="C78" s="1316"/>
      <c r="D78" s="1316"/>
      <c r="E78" s="1317"/>
      <c r="F78" s="1318"/>
      <c r="G78" s="1316"/>
      <c r="H78" s="1319"/>
      <c r="I78" s="1318"/>
      <c r="J78" s="1316"/>
      <c r="K78" s="1319"/>
    </row>
    <row r="79" spans="1:11" ht="13.15" customHeight="1" x14ac:dyDescent="0.25">
      <c r="A79" s="744" t="s">
        <v>2329</v>
      </c>
      <c r="B79" s="55"/>
      <c r="C79" s="1316"/>
      <c r="D79" s="1316"/>
      <c r="E79" s="1317"/>
      <c r="F79" s="1318"/>
      <c r="G79" s="1316"/>
      <c r="H79" s="1319"/>
      <c r="I79" s="1318"/>
      <c r="J79" s="1316"/>
      <c r="K79" s="1319"/>
    </row>
    <row r="80" spans="1:11" ht="13.15" customHeight="1" x14ac:dyDescent="0.25">
      <c r="A80" s="744" t="s">
        <v>2330</v>
      </c>
      <c r="B80" s="55"/>
      <c r="C80" s="1316"/>
      <c r="D80" s="1316"/>
      <c r="E80" s="1317"/>
      <c r="F80" s="1318">
        <v>45500</v>
      </c>
      <c r="G80" s="1316">
        <v>45500</v>
      </c>
      <c r="H80" s="1319">
        <v>45500</v>
      </c>
      <c r="I80" s="1318"/>
      <c r="J80" s="1316"/>
      <c r="K80" s="1319"/>
    </row>
    <row r="81" spans="1:11" ht="13.15" customHeight="1" x14ac:dyDescent="0.25">
      <c r="A81" s="744" t="s">
        <v>2331</v>
      </c>
      <c r="B81" s="55"/>
      <c r="C81" s="1316"/>
      <c r="D81" s="1316"/>
      <c r="E81" s="1317"/>
      <c r="F81" s="1318">
        <v>110000</v>
      </c>
      <c r="G81" s="1316">
        <v>110000</v>
      </c>
      <c r="H81" s="1319">
        <v>110000</v>
      </c>
      <c r="I81" s="1318"/>
      <c r="J81" s="1316"/>
      <c r="K81" s="1319"/>
    </row>
    <row r="82" spans="1:11" ht="13.15" customHeight="1" x14ac:dyDescent="0.25">
      <c r="A82" s="744" t="s">
        <v>2332</v>
      </c>
      <c r="B82" s="55"/>
      <c r="C82" s="1316"/>
      <c r="D82" s="1316"/>
      <c r="E82" s="1317"/>
      <c r="F82" s="1318"/>
      <c r="G82" s="1316"/>
      <c r="H82" s="1319"/>
      <c r="I82" s="1318"/>
      <c r="J82" s="1316"/>
      <c r="K82" s="1319"/>
    </row>
    <row r="83" spans="1:11" ht="13.15" customHeight="1" x14ac:dyDescent="0.25">
      <c r="A83" s="744" t="s">
        <v>2333</v>
      </c>
      <c r="B83" s="55"/>
      <c r="C83" s="1316"/>
      <c r="D83" s="1316"/>
      <c r="E83" s="1317"/>
      <c r="F83" s="1318"/>
      <c r="G83" s="1316"/>
      <c r="H83" s="1319"/>
      <c r="I83" s="1318"/>
      <c r="J83" s="1316"/>
      <c r="K83" s="1319"/>
    </row>
    <row r="84" spans="1:11" ht="13.15" customHeight="1" x14ac:dyDescent="0.25">
      <c r="A84" s="744" t="s">
        <v>2334</v>
      </c>
      <c r="B84" s="55"/>
      <c r="C84" s="1316"/>
      <c r="D84" s="1316"/>
      <c r="E84" s="1317"/>
      <c r="F84" s="1318"/>
      <c r="G84" s="1316"/>
      <c r="H84" s="1319"/>
      <c r="I84" s="1318"/>
      <c r="J84" s="1316"/>
      <c r="K84" s="1319"/>
    </row>
    <row r="85" spans="1:11" ht="13.15" customHeight="1" x14ac:dyDescent="0.25">
      <c r="A85" s="744" t="s">
        <v>289</v>
      </c>
      <c r="B85" s="55"/>
      <c r="C85" s="1316"/>
      <c r="D85" s="1316"/>
      <c r="E85" s="1317"/>
      <c r="F85" s="1318">
        <v>42080</v>
      </c>
      <c r="G85" s="1316">
        <v>42080</v>
      </c>
      <c r="H85" s="1319">
        <v>42080</v>
      </c>
      <c r="I85" s="1318"/>
      <c r="J85" s="1316"/>
      <c r="K85" s="1319"/>
    </row>
    <row r="86" spans="1:11" ht="13.15" customHeight="1" x14ac:dyDescent="0.25">
      <c r="A86" s="744" t="s">
        <v>2335</v>
      </c>
      <c r="B86" s="55"/>
      <c r="C86" s="1316"/>
      <c r="D86" s="1316"/>
      <c r="E86" s="1317"/>
      <c r="F86" s="1318">
        <v>5000</v>
      </c>
      <c r="G86" s="1316">
        <v>5000</v>
      </c>
      <c r="H86" s="1319">
        <v>5000</v>
      </c>
      <c r="I86" s="1318"/>
      <c r="J86" s="1316"/>
      <c r="K86" s="1319"/>
    </row>
    <row r="87" spans="1:11" ht="13.15" customHeight="1" x14ac:dyDescent="0.25">
      <c r="A87" s="744" t="s">
        <v>1470</v>
      </c>
      <c r="B87" s="55"/>
      <c r="C87" s="1316"/>
      <c r="D87" s="1316"/>
      <c r="E87" s="1317"/>
      <c r="F87" s="1318"/>
      <c r="G87" s="1316"/>
      <c r="H87" s="1319"/>
      <c r="I87" s="1318"/>
      <c r="J87" s="1316"/>
      <c r="K87" s="1319"/>
    </row>
    <row r="88" spans="1:11" ht="13.15" customHeight="1" x14ac:dyDescent="0.25">
      <c r="A88" s="744" t="s">
        <v>2512</v>
      </c>
      <c r="B88" s="55"/>
      <c r="C88" s="1316"/>
      <c r="D88" s="1316"/>
      <c r="E88" s="1317"/>
      <c r="F88" s="1318"/>
      <c r="G88" s="1316"/>
      <c r="H88" s="1319"/>
      <c r="I88" s="1318">
        <v>400000</v>
      </c>
      <c r="J88" s="1316">
        <f>I88*1.06</f>
        <v>424000</v>
      </c>
      <c r="K88" s="1319">
        <f>J88*1.06</f>
        <v>449440</v>
      </c>
    </row>
    <row r="89" spans="1:11" s="464" customFormat="1" ht="13.15" customHeight="1" x14ac:dyDescent="0.25">
      <c r="A89" s="744" t="s">
        <v>2337</v>
      </c>
      <c r="B89" s="55"/>
      <c r="C89" s="1316"/>
      <c r="D89" s="1316"/>
      <c r="E89" s="1317"/>
      <c r="F89" s="1318"/>
      <c r="G89" s="1316"/>
      <c r="H89" s="1319"/>
      <c r="I89" s="1318"/>
      <c r="J89" s="1316"/>
      <c r="K89" s="1319"/>
    </row>
    <row r="90" spans="1:11" ht="13.15" customHeight="1" x14ac:dyDescent="0.25">
      <c r="A90" s="744" t="s">
        <v>2338</v>
      </c>
      <c r="B90" s="55"/>
      <c r="C90" s="1316"/>
      <c r="D90" s="1316"/>
      <c r="E90" s="1317"/>
      <c r="F90" s="1318"/>
      <c r="G90" s="1316"/>
      <c r="H90" s="1319"/>
      <c r="I90" s="1318"/>
      <c r="J90" s="1316"/>
      <c r="K90" s="1319"/>
    </row>
    <row r="91" spans="1:11" ht="13.15" customHeight="1" x14ac:dyDescent="0.25">
      <c r="A91" s="744" t="s">
        <v>2339</v>
      </c>
      <c r="B91" s="55"/>
      <c r="C91" s="1316"/>
      <c r="D91" s="1316"/>
      <c r="E91" s="1317"/>
      <c r="F91" s="1318">
        <v>100000</v>
      </c>
      <c r="G91" s="1316">
        <v>100000</v>
      </c>
      <c r="H91" s="1319">
        <v>100000</v>
      </c>
      <c r="I91" s="1318"/>
      <c r="J91" s="1316"/>
      <c r="K91" s="1319"/>
    </row>
    <row r="92" spans="1:11" ht="13.15" customHeight="1" x14ac:dyDescent="0.25">
      <c r="A92" s="744" t="s">
        <v>1097</v>
      </c>
      <c r="B92" s="55"/>
      <c r="C92" s="1316"/>
      <c r="D92" s="1316"/>
      <c r="E92" s="1317"/>
      <c r="F92" s="1318"/>
      <c r="G92" s="1316"/>
      <c r="H92" s="1319"/>
      <c r="I92" s="1318"/>
      <c r="J92" s="1316"/>
      <c r="K92" s="1319"/>
    </row>
    <row r="93" spans="1:11" ht="13.15" customHeight="1" x14ac:dyDescent="0.25">
      <c r="A93" s="744" t="s">
        <v>2340</v>
      </c>
      <c r="B93" s="55"/>
      <c r="C93" s="1316"/>
      <c r="D93" s="1316"/>
      <c r="E93" s="1317"/>
      <c r="F93" s="1318"/>
      <c r="G93" s="1316"/>
      <c r="H93" s="1319"/>
      <c r="I93" s="1318"/>
      <c r="J93" s="1316"/>
      <c r="K93" s="1319"/>
    </row>
    <row r="94" spans="1:11" ht="13.15" customHeight="1" x14ac:dyDescent="0.25">
      <c r="A94" s="744" t="s">
        <v>1096</v>
      </c>
      <c r="B94" s="55"/>
      <c r="C94" s="1316"/>
      <c r="D94" s="1316"/>
      <c r="E94" s="1317"/>
      <c r="F94" s="1318"/>
      <c r="G94" s="1316"/>
      <c r="H94" s="1319"/>
      <c r="I94" s="1318"/>
      <c r="J94" s="1316"/>
      <c r="K94" s="1319"/>
    </row>
    <row r="95" spans="1:11" ht="13.15" customHeight="1" x14ac:dyDescent="0.25">
      <c r="A95" s="744" t="s">
        <v>2341</v>
      </c>
      <c r="B95" s="55"/>
      <c r="C95" s="1316"/>
      <c r="D95" s="1316"/>
      <c r="E95" s="1317"/>
      <c r="F95" s="1318">
        <v>27000</v>
      </c>
      <c r="G95" s="1316">
        <v>27000</v>
      </c>
      <c r="H95" s="1319">
        <v>27000</v>
      </c>
      <c r="I95" s="1318">
        <v>9600</v>
      </c>
      <c r="J95" s="1316">
        <f>I95*1.06</f>
        <v>10176</v>
      </c>
      <c r="K95" s="1319">
        <f>J95*1.06</f>
        <v>10786.560000000001</v>
      </c>
    </row>
    <row r="96" spans="1:11" ht="13.15" customHeight="1" x14ac:dyDescent="0.25">
      <c r="A96" s="744" t="s">
        <v>2342</v>
      </c>
      <c r="B96" s="55"/>
      <c r="C96" s="1316"/>
      <c r="D96" s="1316"/>
      <c r="E96" s="1317"/>
      <c r="F96" s="1318"/>
      <c r="G96" s="1316"/>
      <c r="H96" s="1319"/>
      <c r="I96" s="1318"/>
      <c r="J96" s="1316"/>
      <c r="K96" s="1319"/>
    </row>
    <row r="97" spans="1:11" ht="13.15" customHeight="1" x14ac:dyDescent="0.25">
      <c r="A97" s="744" t="s">
        <v>2275</v>
      </c>
      <c r="B97" s="55"/>
      <c r="C97" s="1316"/>
      <c r="D97" s="1316"/>
      <c r="E97" s="1317"/>
      <c r="F97" s="1318"/>
      <c r="G97" s="1316"/>
      <c r="H97" s="1319"/>
      <c r="I97" s="1318"/>
      <c r="J97" s="1316"/>
      <c r="K97" s="1319"/>
    </row>
    <row r="98" spans="1:11" ht="13.15" customHeight="1" x14ac:dyDescent="0.25">
      <c r="A98" s="63" t="s">
        <v>2343</v>
      </c>
      <c r="B98" s="55"/>
      <c r="C98" s="76">
        <f>SUM(C99:C101)</f>
        <v>0</v>
      </c>
      <c r="D98" s="76">
        <f t="shared" ref="D98:K98" si="19">SUM(D99:D101)</f>
        <v>0</v>
      </c>
      <c r="E98" s="332">
        <f t="shared" si="19"/>
        <v>0</v>
      </c>
      <c r="F98" s="79">
        <f t="shared" si="19"/>
        <v>450000</v>
      </c>
      <c r="G98" s="76">
        <f t="shared" si="19"/>
        <v>450000</v>
      </c>
      <c r="H98" s="333">
        <f t="shared" si="19"/>
        <v>450000</v>
      </c>
      <c r="I98" s="79">
        <f t="shared" si="19"/>
        <v>40000</v>
      </c>
      <c r="J98" s="76">
        <f t="shared" si="19"/>
        <v>42400</v>
      </c>
      <c r="K98" s="333">
        <f t="shared" si="19"/>
        <v>44944</v>
      </c>
    </row>
    <row r="99" spans="1:11" ht="13.15" customHeight="1" x14ac:dyDescent="0.25">
      <c r="A99" s="744" t="s">
        <v>2344</v>
      </c>
      <c r="B99" s="55"/>
      <c r="C99" s="1316"/>
      <c r="D99" s="1316"/>
      <c r="E99" s="1317"/>
      <c r="F99" s="1318"/>
      <c r="G99" s="1316"/>
      <c r="H99" s="1319"/>
      <c r="I99" s="1318"/>
      <c r="J99" s="1316"/>
      <c r="K99" s="1319"/>
    </row>
    <row r="100" spans="1:11" ht="13.15" customHeight="1" x14ac:dyDescent="0.25">
      <c r="A100" s="744" t="s">
        <v>2345</v>
      </c>
      <c r="B100" s="55"/>
      <c r="C100" s="1316"/>
      <c r="D100" s="1316"/>
      <c r="E100" s="1317"/>
      <c r="F100" s="1318">
        <v>450000</v>
      </c>
      <c r="G100" s="1316">
        <v>450000</v>
      </c>
      <c r="H100" s="1319">
        <v>450000</v>
      </c>
      <c r="I100" s="1318">
        <v>40000</v>
      </c>
      <c r="J100" s="1316">
        <f>I100*1.06</f>
        <v>42400</v>
      </c>
      <c r="K100" s="1319">
        <f>J100*1.06</f>
        <v>44944</v>
      </c>
    </row>
    <row r="101" spans="1:11" ht="13.15" customHeight="1" x14ac:dyDescent="0.25">
      <c r="A101" s="744" t="s">
        <v>2275</v>
      </c>
      <c r="B101" s="55"/>
      <c r="C101" s="1316"/>
      <c r="D101" s="1316"/>
      <c r="E101" s="1317"/>
      <c r="F101" s="1318"/>
      <c r="G101" s="1316"/>
      <c r="H101" s="1319"/>
      <c r="I101" s="1318"/>
      <c r="J101" s="1316"/>
      <c r="K101" s="1319"/>
    </row>
    <row r="102" spans="1:11" ht="4.9000000000000004" customHeight="1" x14ac:dyDescent="0.25">
      <c r="A102" s="74"/>
      <c r="B102" s="55"/>
      <c r="C102" s="1316">
        <v>1000</v>
      </c>
      <c r="D102" s="1316">
        <v>1000</v>
      </c>
      <c r="E102" s="1317">
        <v>1000</v>
      </c>
      <c r="F102" s="1318">
        <v>1000</v>
      </c>
      <c r="G102" s="1316">
        <v>1000</v>
      </c>
      <c r="H102" s="1319">
        <v>1000</v>
      </c>
      <c r="I102" s="1318">
        <v>1000</v>
      </c>
      <c r="J102" s="1316">
        <v>1000</v>
      </c>
      <c r="K102" s="1319">
        <v>1000</v>
      </c>
    </row>
    <row r="103" spans="1:11" ht="13.15" customHeight="1" x14ac:dyDescent="0.25">
      <c r="A103" s="54" t="s">
        <v>843</v>
      </c>
      <c r="B103" s="55"/>
      <c r="C103" s="76">
        <f>SUM(C104:C108)</f>
        <v>0</v>
      </c>
      <c r="D103" s="76">
        <f t="shared" ref="D103:K103" si="20">SUM(D104:D108)</f>
        <v>0</v>
      </c>
      <c r="E103" s="75">
        <f t="shared" si="20"/>
        <v>0</v>
      </c>
      <c r="F103" s="78">
        <f t="shared" si="20"/>
        <v>0</v>
      </c>
      <c r="G103" s="76">
        <f t="shared" si="20"/>
        <v>0</v>
      </c>
      <c r="H103" s="77">
        <f t="shared" si="20"/>
        <v>0</v>
      </c>
      <c r="I103" s="78">
        <f t="shared" si="20"/>
        <v>0</v>
      </c>
      <c r="J103" s="76">
        <f t="shared" si="20"/>
        <v>0</v>
      </c>
      <c r="K103" s="77">
        <f t="shared" si="20"/>
        <v>0</v>
      </c>
    </row>
    <row r="104" spans="1:11" ht="13.15" customHeight="1" x14ac:dyDescent="0.25">
      <c r="A104" s="63" t="s">
        <v>2346</v>
      </c>
      <c r="B104" s="55"/>
      <c r="C104" s="1316"/>
      <c r="D104" s="1316"/>
      <c r="E104" s="1317"/>
      <c r="F104" s="1318"/>
      <c r="G104" s="1316"/>
      <c r="H104" s="1319"/>
      <c r="I104" s="1318"/>
      <c r="J104" s="1316"/>
      <c r="K104" s="1319"/>
    </row>
    <row r="105" spans="1:11" ht="13.15" customHeight="1" x14ac:dyDescent="0.25">
      <c r="A105" s="63" t="s">
        <v>2347</v>
      </c>
      <c r="B105" s="55"/>
      <c r="C105" s="1316"/>
      <c r="D105" s="1316"/>
      <c r="E105" s="1317"/>
      <c r="F105" s="1318"/>
      <c r="G105" s="1316"/>
      <c r="H105" s="1319"/>
      <c r="I105" s="1318"/>
      <c r="J105" s="1316"/>
      <c r="K105" s="1319"/>
    </row>
    <row r="106" spans="1:11" ht="13.15" customHeight="1" x14ac:dyDescent="0.25">
      <c r="A106" s="63" t="s">
        <v>2348</v>
      </c>
      <c r="B106" s="55"/>
      <c r="C106" s="1316"/>
      <c r="D106" s="1316"/>
      <c r="E106" s="1317"/>
      <c r="F106" s="1318"/>
      <c r="G106" s="1316"/>
      <c r="H106" s="1319"/>
      <c r="I106" s="1318"/>
      <c r="J106" s="1316"/>
      <c r="K106" s="1319"/>
    </row>
    <row r="107" spans="1:11" ht="13.15" customHeight="1" x14ac:dyDescent="0.25">
      <c r="A107" s="63" t="s">
        <v>2349</v>
      </c>
      <c r="B107" s="55"/>
      <c r="C107" s="1316"/>
      <c r="D107" s="1316"/>
      <c r="E107" s="1317"/>
      <c r="F107" s="1318"/>
      <c r="G107" s="1316"/>
      <c r="H107" s="1319"/>
      <c r="I107" s="1318"/>
      <c r="J107" s="1316"/>
      <c r="K107" s="1319"/>
    </row>
    <row r="108" spans="1:11" ht="13.15" customHeight="1" x14ac:dyDescent="0.25">
      <c r="A108" s="63" t="s">
        <v>2350</v>
      </c>
      <c r="B108" s="55"/>
      <c r="C108" s="1316"/>
      <c r="D108" s="1316"/>
      <c r="E108" s="1317"/>
      <c r="F108" s="1318"/>
      <c r="G108" s="1316"/>
      <c r="H108" s="1319"/>
      <c r="I108" s="1318"/>
      <c r="J108" s="1316"/>
      <c r="K108" s="1319"/>
    </row>
    <row r="109" spans="1:11" ht="4.9000000000000004" customHeight="1" x14ac:dyDescent="0.25">
      <c r="A109" s="74"/>
      <c r="B109" s="55"/>
      <c r="C109" s="76"/>
      <c r="D109" s="76"/>
      <c r="E109" s="75"/>
      <c r="F109" s="78"/>
      <c r="G109" s="76"/>
      <c r="H109" s="77"/>
      <c r="I109" s="78"/>
      <c r="J109" s="76"/>
      <c r="K109" s="77"/>
    </row>
    <row r="110" spans="1:11" ht="13.15" customHeight="1" x14ac:dyDescent="0.25">
      <c r="A110" s="54" t="s">
        <v>844</v>
      </c>
      <c r="B110" s="55"/>
      <c r="C110" s="86">
        <f>+C111+C114</f>
        <v>0</v>
      </c>
      <c r="D110" s="86">
        <f t="shared" ref="D110:K110" si="21">+D111+D114</f>
        <v>0</v>
      </c>
      <c r="E110" s="85">
        <f t="shared" si="21"/>
        <v>0</v>
      </c>
      <c r="F110" s="88">
        <f t="shared" si="21"/>
        <v>0</v>
      </c>
      <c r="G110" s="86">
        <f t="shared" si="21"/>
        <v>0</v>
      </c>
      <c r="H110" s="87">
        <f t="shared" si="21"/>
        <v>0</v>
      </c>
      <c r="I110" s="88">
        <f t="shared" si="21"/>
        <v>0</v>
      </c>
      <c r="J110" s="86">
        <f t="shared" si="21"/>
        <v>0</v>
      </c>
      <c r="K110" s="87">
        <f t="shared" si="21"/>
        <v>0</v>
      </c>
    </row>
    <row r="111" spans="1:11" ht="13.15" customHeight="1" x14ac:dyDescent="0.25">
      <c r="A111" s="63" t="s">
        <v>2380</v>
      </c>
      <c r="B111" s="55"/>
      <c r="C111" s="185">
        <f t="shared" ref="C111:K111" si="22">SUM(C112:C113)</f>
        <v>0</v>
      </c>
      <c r="D111" s="185">
        <f t="shared" si="22"/>
        <v>0</v>
      </c>
      <c r="E111" s="759">
        <f t="shared" si="22"/>
        <v>0</v>
      </c>
      <c r="F111" s="217">
        <f t="shared" si="22"/>
        <v>0</v>
      </c>
      <c r="G111" s="185">
        <f t="shared" si="22"/>
        <v>0</v>
      </c>
      <c r="H111" s="699">
        <f t="shared" si="22"/>
        <v>0</v>
      </c>
      <c r="I111" s="217">
        <f t="shared" si="22"/>
        <v>0</v>
      </c>
      <c r="J111" s="185">
        <f t="shared" si="22"/>
        <v>0</v>
      </c>
      <c r="K111" s="699">
        <f t="shared" si="22"/>
        <v>0</v>
      </c>
    </row>
    <row r="112" spans="1:11" ht="13.15" customHeight="1" x14ac:dyDescent="0.25">
      <c r="A112" s="744" t="s">
        <v>2381</v>
      </c>
      <c r="B112" s="55"/>
      <c r="C112" s="1316"/>
      <c r="D112" s="1316"/>
      <c r="E112" s="1317"/>
      <c r="F112" s="1318"/>
      <c r="G112" s="1316"/>
      <c r="H112" s="1319"/>
      <c r="I112" s="1318"/>
      <c r="J112" s="1316"/>
      <c r="K112" s="1319"/>
    </row>
    <row r="113" spans="1:11" ht="13.15" customHeight="1" x14ac:dyDescent="0.25">
      <c r="A113" s="744" t="s">
        <v>2382</v>
      </c>
      <c r="B113" s="55"/>
      <c r="C113" s="1316"/>
      <c r="D113" s="1316"/>
      <c r="E113" s="1317"/>
      <c r="F113" s="1318"/>
      <c r="G113" s="1316"/>
      <c r="H113" s="1319"/>
      <c r="I113" s="1318"/>
      <c r="J113" s="1316"/>
      <c r="K113" s="1319"/>
    </row>
    <row r="114" spans="1:11" ht="13.15" customHeight="1" x14ac:dyDescent="0.25">
      <c r="A114" s="63" t="s">
        <v>2383</v>
      </c>
      <c r="B114" s="55"/>
      <c r="C114" s="76">
        <f>SUM(C115:C116)</f>
        <v>0</v>
      </c>
      <c r="D114" s="76">
        <f t="shared" ref="D114:K114" si="23">SUM(D115:D116)</f>
        <v>0</v>
      </c>
      <c r="E114" s="332">
        <f t="shared" si="23"/>
        <v>0</v>
      </c>
      <c r="F114" s="79">
        <f t="shared" si="23"/>
        <v>0</v>
      </c>
      <c r="G114" s="76">
        <f t="shared" si="23"/>
        <v>0</v>
      </c>
      <c r="H114" s="333">
        <f t="shared" si="23"/>
        <v>0</v>
      </c>
      <c r="I114" s="79">
        <f t="shared" si="23"/>
        <v>0</v>
      </c>
      <c r="J114" s="76">
        <f t="shared" si="23"/>
        <v>0</v>
      </c>
      <c r="K114" s="333">
        <f t="shared" si="23"/>
        <v>0</v>
      </c>
    </row>
    <row r="115" spans="1:11" ht="13.15" customHeight="1" x14ac:dyDescent="0.25">
      <c r="A115" s="744" t="s">
        <v>2381</v>
      </c>
      <c r="B115" s="55"/>
      <c r="C115" s="1316"/>
      <c r="D115" s="1316"/>
      <c r="E115" s="1317"/>
      <c r="F115" s="1318"/>
      <c r="G115" s="1316"/>
      <c r="H115" s="1319"/>
      <c r="I115" s="1318"/>
      <c r="J115" s="1316"/>
      <c r="K115" s="1319"/>
    </row>
    <row r="116" spans="1:11" ht="13.15" customHeight="1" x14ac:dyDescent="0.25">
      <c r="A116" s="744" t="s">
        <v>2382</v>
      </c>
      <c r="B116" s="55"/>
      <c r="C116" s="1316"/>
      <c r="D116" s="1316"/>
      <c r="E116" s="1317"/>
      <c r="F116" s="1318"/>
      <c r="G116" s="1316"/>
      <c r="H116" s="1319"/>
      <c r="I116" s="1318"/>
      <c r="J116" s="1316"/>
      <c r="K116" s="1319"/>
    </row>
    <row r="117" spans="1:11" ht="4.9000000000000004" customHeight="1" x14ac:dyDescent="0.25">
      <c r="A117" s="74"/>
      <c r="B117" s="55"/>
      <c r="C117" s="76"/>
      <c r="D117" s="76"/>
      <c r="E117" s="75"/>
      <c r="F117" s="78"/>
      <c r="G117" s="76"/>
      <c r="H117" s="77"/>
      <c r="I117" s="78"/>
      <c r="J117" s="76"/>
      <c r="K117" s="77"/>
    </row>
    <row r="118" spans="1:11" ht="13.15" customHeight="1" x14ac:dyDescent="0.25">
      <c r="A118" s="54" t="s">
        <v>845</v>
      </c>
      <c r="B118" s="55"/>
      <c r="C118" s="86">
        <f>+C119+C131</f>
        <v>0</v>
      </c>
      <c r="D118" s="86">
        <f t="shared" ref="D118:K118" si="24">+D119+D131</f>
        <v>4309943</v>
      </c>
      <c r="E118" s="85">
        <f t="shared" si="24"/>
        <v>2402467</v>
      </c>
      <c r="F118" s="88">
        <f t="shared" si="24"/>
        <v>570009.41200000001</v>
      </c>
      <c r="G118" s="86">
        <f t="shared" si="24"/>
        <v>570009.41200000001</v>
      </c>
      <c r="H118" s="87">
        <f t="shared" si="24"/>
        <v>570009.41200000001</v>
      </c>
      <c r="I118" s="88">
        <f t="shared" si="24"/>
        <v>867159</v>
      </c>
      <c r="J118" s="86">
        <f t="shared" si="24"/>
        <v>919188.54</v>
      </c>
      <c r="K118" s="87">
        <f t="shared" si="24"/>
        <v>974339.85239999997</v>
      </c>
    </row>
    <row r="119" spans="1:11" ht="13.15" customHeight="1" x14ac:dyDescent="0.25">
      <c r="A119" s="63" t="s">
        <v>2351</v>
      </c>
      <c r="B119" s="55"/>
      <c r="C119" s="185">
        <f>SUM(C120:C130)</f>
        <v>0</v>
      </c>
      <c r="D119" s="185">
        <f t="shared" ref="D119:K119" si="25">SUM(D120:D130)</f>
        <v>4309943</v>
      </c>
      <c r="E119" s="759">
        <f t="shared" si="25"/>
        <v>2402467</v>
      </c>
      <c r="F119" s="217">
        <f t="shared" si="25"/>
        <v>570009.41200000001</v>
      </c>
      <c r="G119" s="185">
        <f t="shared" si="25"/>
        <v>570009.41200000001</v>
      </c>
      <c r="H119" s="699">
        <f t="shared" si="25"/>
        <v>570009.41200000001</v>
      </c>
      <c r="I119" s="217">
        <f t="shared" si="25"/>
        <v>867159</v>
      </c>
      <c r="J119" s="185">
        <f t="shared" si="25"/>
        <v>919188.54</v>
      </c>
      <c r="K119" s="699">
        <f t="shared" si="25"/>
        <v>974339.85239999997</v>
      </c>
    </row>
    <row r="120" spans="1:11" ht="13.15" customHeight="1" x14ac:dyDescent="0.25">
      <c r="A120" s="744" t="s">
        <v>2352</v>
      </c>
      <c r="B120" s="55"/>
      <c r="C120" s="1316"/>
      <c r="D120" s="1316">
        <v>4309943</v>
      </c>
      <c r="E120" s="1317">
        <v>2402467</v>
      </c>
      <c r="F120" s="1318">
        <v>525346.41200000001</v>
      </c>
      <c r="G120" s="1316">
        <v>525346.41200000001</v>
      </c>
      <c r="H120" s="1319">
        <v>525346.41200000001</v>
      </c>
      <c r="I120" s="1318">
        <v>768029</v>
      </c>
      <c r="J120" s="1316">
        <f>I120*1.06</f>
        <v>814110.74</v>
      </c>
      <c r="K120" s="1319">
        <f>J120*1.06</f>
        <v>862957.38439999998</v>
      </c>
    </row>
    <row r="121" spans="1:11" ht="13.15" customHeight="1" x14ac:dyDescent="0.25">
      <c r="A121" s="744" t="s">
        <v>2353</v>
      </c>
      <c r="B121" s="55"/>
      <c r="C121" s="1316"/>
      <c r="D121" s="1316"/>
      <c r="E121" s="1317"/>
      <c r="F121" s="1318"/>
      <c r="G121" s="1316"/>
      <c r="H121" s="1319"/>
      <c r="I121" s="1318"/>
      <c r="J121" s="1316"/>
      <c r="K121" s="1319"/>
    </row>
    <row r="122" spans="1:11" ht="13.15" customHeight="1" x14ac:dyDescent="0.25">
      <c r="A122" s="744" t="s">
        <v>2354</v>
      </c>
      <c r="B122" s="55"/>
      <c r="C122" s="1316"/>
      <c r="D122" s="1316"/>
      <c r="E122" s="1317"/>
      <c r="F122" s="1318"/>
      <c r="G122" s="1316"/>
      <c r="H122" s="1319"/>
      <c r="I122" s="1318"/>
      <c r="J122" s="1316"/>
      <c r="K122" s="1319"/>
    </row>
    <row r="123" spans="1:11" ht="13.15" customHeight="1" x14ac:dyDescent="0.25">
      <c r="A123" s="744" t="s">
        <v>2355</v>
      </c>
      <c r="B123" s="55"/>
      <c r="C123" s="1316"/>
      <c r="D123" s="1316"/>
      <c r="E123" s="1317"/>
      <c r="F123" s="1318">
        <v>44663</v>
      </c>
      <c r="G123" s="1316">
        <v>44663</v>
      </c>
      <c r="H123" s="1319">
        <v>44663</v>
      </c>
      <c r="I123" s="1318">
        <v>99130</v>
      </c>
      <c r="J123" s="1316">
        <f>I123*1.06</f>
        <v>105077.8</v>
      </c>
      <c r="K123" s="1319">
        <f>J123*1.06</f>
        <v>111382.46800000001</v>
      </c>
    </row>
    <row r="124" spans="1:11" ht="13.15" customHeight="1" x14ac:dyDescent="0.25">
      <c r="A124" s="744" t="s">
        <v>2356</v>
      </c>
      <c r="B124" s="55"/>
      <c r="C124" s="1316"/>
      <c r="D124" s="1316"/>
      <c r="E124" s="1317"/>
      <c r="F124" s="1318"/>
      <c r="G124" s="1316"/>
      <c r="H124" s="1319"/>
      <c r="I124" s="1318"/>
      <c r="J124" s="1316"/>
      <c r="K124" s="1319"/>
    </row>
    <row r="125" spans="1:11" ht="13.15" customHeight="1" x14ac:dyDescent="0.25">
      <c r="A125" s="744" t="s">
        <v>2357</v>
      </c>
      <c r="B125" s="55"/>
      <c r="C125" s="1316"/>
      <c r="D125" s="1316"/>
      <c r="E125" s="1317"/>
      <c r="F125" s="1318"/>
      <c r="G125" s="1316"/>
      <c r="H125" s="1319"/>
      <c r="I125" s="1318"/>
      <c r="J125" s="1316"/>
      <c r="K125" s="1319"/>
    </row>
    <row r="126" spans="1:11" ht="13.15" customHeight="1" x14ac:dyDescent="0.25">
      <c r="A126" s="744" t="s">
        <v>2358</v>
      </c>
      <c r="B126" s="55"/>
      <c r="C126" s="1316"/>
      <c r="D126" s="1316"/>
      <c r="E126" s="1317"/>
      <c r="F126" s="1318"/>
      <c r="G126" s="1316"/>
      <c r="H126" s="1319"/>
      <c r="I126" s="1318"/>
      <c r="J126" s="1316"/>
      <c r="K126" s="1319"/>
    </row>
    <row r="127" spans="1:11" ht="13.15" customHeight="1" x14ac:dyDescent="0.25">
      <c r="A127" s="744" t="s">
        <v>2359</v>
      </c>
      <c r="B127" s="55"/>
      <c r="C127" s="1316"/>
      <c r="D127" s="1316"/>
      <c r="E127" s="1317"/>
      <c r="F127" s="1318"/>
      <c r="G127" s="1316"/>
      <c r="H127" s="1319"/>
      <c r="I127" s="1318"/>
      <c r="J127" s="1316"/>
      <c r="K127" s="1319"/>
    </row>
    <row r="128" spans="1:11" ht="13.15" customHeight="1" x14ac:dyDescent="0.25">
      <c r="A128" s="744" t="s">
        <v>2360</v>
      </c>
      <c r="B128" s="55"/>
      <c r="C128" s="1316"/>
      <c r="D128" s="1316"/>
      <c r="E128" s="1317"/>
      <c r="F128" s="1318"/>
      <c r="G128" s="1316"/>
      <c r="H128" s="1319"/>
      <c r="I128" s="1318"/>
      <c r="J128" s="1316"/>
      <c r="K128" s="1319"/>
    </row>
    <row r="129" spans="1:11" ht="13.15" customHeight="1" x14ac:dyDescent="0.25">
      <c r="A129" s="744" t="s">
        <v>2361</v>
      </c>
      <c r="B129" s="55"/>
      <c r="C129" s="1316"/>
      <c r="D129" s="1316"/>
      <c r="E129" s="1317"/>
      <c r="F129" s="1318"/>
      <c r="G129" s="1316"/>
      <c r="H129" s="1319"/>
      <c r="I129" s="1318"/>
      <c r="J129" s="1316"/>
      <c r="K129" s="1319"/>
    </row>
    <row r="130" spans="1:11" ht="13.15" customHeight="1" x14ac:dyDescent="0.25">
      <c r="A130" s="744" t="s">
        <v>2275</v>
      </c>
      <c r="B130" s="55"/>
      <c r="C130" s="1316"/>
      <c r="D130" s="1316"/>
      <c r="E130" s="1317"/>
      <c r="F130" s="1318"/>
      <c r="G130" s="1316"/>
      <c r="H130" s="1319"/>
      <c r="I130" s="1318"/>
      <c r="J130" s="1316"/>
      <c r="K130" s="1319"/>
    </row>
    <row r="131" spans="1:11" ht="13.15" customHeight="1" x14ac:dyDescent="0.25">
      <c r="A131" s="63" t="s">
        <v>1513</v>
      </c>
      <c r="B131" s="55"/>
      <c r="C131" s="76">
        <f>SUM(C132:C134)</f>
        <v>0</v>
      </c>
      <c r="D131" s="76">
        <f t="shared" ref="D131:K131" si="26">SUM(D132:D134)</f>
        <v>0</v>
      </c>
      <c r="E131" s="332">
        <f t="shared" si="26"/>
        <v>0</v>
      </c>
      <c r="F131" s="79">
        <f t="shared" si="26"/>
        <v>0</v>
      </c>
      <c r="G131" s="76">
        <f t="shared" si="26"/>
        <v>0</v>
      </c>
      <c r="H131" s="333">
        <f t="shared" si="26"/>
        <v>0</v>
      </c>
      <c r="I131" s="79">
        <f t="shared" si="26"/>
        <v>0</v>
      </c>
      <c r="J131" s="76">
        <f t="shared" si="26"/>
        <v>0</v>
      </c>
      <c r="K131" s="333">
        <f t="shared" si="26"/>
        <v>0</v>
      </c>
    </row>
    <row r="132" spans="1:11" ht="13.15" customHeight="1" x14ac:dyDescent="0.25">
      <c r="A132" s="744" t="s">
        <v>2362</v>
      </c>
      <c r="B132" s="55"/>
      <c r="C132" s="1316"/>
      <c r="D132" s="1316"/>
      <c r="E132" s="1317"/>
      <c r="F132" s="1318"/>
      <c r="G132" s="1316"/>
      <c r="H132" s="1319"/>
      <c r="I132" s="1318"/>
      <c r="J132" s="1316"/>
      <c r="K132" s="1319"/>
    </row>
    <row r="133" spans="1:11" ht="13.15" customHeight="1" x14ac:dyDescent="0.25">
      <c r="A133" s="744" t="s">
        <v>2363</v>
      </c>
      <c r="B133" s="55"/>
      <c r="C133" s="1316"/>
      <c r="D133" s="1316"/>
      <c r="E133" s="1317"/>
      <c r="F133" s="1318"/>
      <c r="G133" s="1316"/>
      <c r="H133" s="1319"/>
      <c r="I133" s="1318"/>
      <c r="J133" s="1316"/>
      <c r="K133" s="1319"/>
    </row>
    <row r="134" spans="1:11" ht="13.15" customHeight="1" x14ac:dyDescent="0.25">
      <c r="A134" s="744" t="s">
        <v>2275</v>
      </c>
      <c r="B134" s="55"/>
      <c r="C134" s="1316"/>
      <c r="D134" s="1316"/>
      <c r="E134" s="1317"/>
      <c r="F134" s="1318"/>
      <c r="G134" s="1316"/>
      <c r="H134" s="1319"/>
      <c r="I134" s="1318"/>
      <c r="J134" s="1316"/>
      <c r="K134" s="1319"/>
    </row>
    <row r="135" spans="1:11" ht="4.9000000000000004" customHeight="1" x14ac:dyDescent="0.25">
      <c r="A135" s="525"/>
      <c r="B135" s="55"/>
      <c r="C135" s="76"/>
      <c r="D135" s="76"/>
      <c r="E135" s="75"/>
      <c r="F135" s="78"/>
      <c r="G135" s="76"/>
      <c r="H135" s="77"/>
      <c r="I135" s="78"/>
      <c r="J135" s="76"/>
      <c r="K135" s="77"/>
    </row>
    <row r="136" spans="1:11" ht="13.15" customHeight="1" x14ac:dyDescent="0.25">
      <c r="A136" s="54" t="s">
        <v>2364</v>
      </c>
      <c r="B136" s="55"/>
      <c r="C136" s="76">
        <f t="shared" ref="C136:K136" si="27">SUM(C137:C137)</f>
        <v>0</v>
      </c>
      <c r="D136" s="76">
        <f t="shared" si="27"/>
        <v>0</v>
      </c>
      <c r="E136" s="75">
        <f t="shared" si="27"/>
        <v>0</v>
      </c>
      <c r="F136" s="78">
        <f t="shared" si="27"/>
        <v>0</v>
      </c>
      <c r="G136" s="76">
        <f t="shared" si="27"/>
        <v>0</v>
      </c>
      <c r="H136" s="77">
        <f t="shared" si="27"/>
        <v>0</v>
      </c>
      <c r="I136" s="78">
        <f t="shared" si="27"/>
        <v>0</v>
      </c>
      <c r="J136" s="76">
        <f t="shared" si="27"/>
        <v>0</v>
      </c>
      <c r="K136" s="77">
        <f t="shared" si="27"/>
        <v>0</v>
      </c>
    </row>
    <row r="137" spans="1:11" ht="13.15" customHeight="1" x14ac:dyDescent="0.25">
      <c r="A137" s="63" t="s">
        <v>2364</v>
      </c>
      <c r="B137" s="55"/>
      <c r="C137" s="1316"/>
      <c r="D137" s="1316"/>
      <c r="E137" s="1317"/>
      <c r="F137" s="1318"/>
      <c r="G137" s="1316"/>
      <c r="H137" s="1319"/>
      <c r="I137" s="1318"/>
      <c r="J137" s="1316"/>
      <c r="K137" s="1319"/>
    </row>
    <row r="138" spans="1:11" ht="4.9000000000000004" customHeight="1" x14ac:dyDescent="0.25">
      <c r="A138" s="74"/>
      <c r="B138" s="55"/>
      <c r="C138" s="76"/>
      <c r="D138" s="76"/>
      <c r="E138" s="75"/>
      <c r="F138" s="78"/>
      <c r="G138" s="76"/>
      <c r="H138" s="77"/>
      <c r="I138" s="78"/>
      <c r="J138" s="76"/>
      <c r="K138" s="77"/>
    </row>
    <row r="139" spans="1:11" ht="13.15" customHeight="1" x14ac:dyDescent="0.25">
      <c r="A139" s="54" t="s">
        <v>2367</v>
      </c>
      <c r="B139" s="55"/>
      <c r="C139" s="76">
        <f>+C140+C141</f>
        <v>0</v>
      </c>
      <c r="D139" s="76">
        <f t="shared" ref="D139:K139" si="28">+D140+D141</f>
        <v>0</v>
      </c>
      <c r="E139" s="75">
        <f t="shared" si="28"/>
        <v>0</v>
      </c>
      <c r="F139" s="78">
        <f t="shared" si="28"/>
        <v>0</v>
      </c>
      <c r="G139" s="76">
        <f t="shared" si="28"/>
        <v>0</v>
      </c>
      <c r="H139" s="77">
        <f t="shared" si="28"/>
        <v>0</v>
      </c>
      <c r="I139" s="78">
        <f t="shared" si="28"/>
        <v>0</v>
      </c>
      <c r="J139" s="76">
        <f t="shared" si="28"/>
        <v>0</v>
      </c>
      <c r="K139" s="77">
        <f t="shared" si="28"/>
        <v>0</v>
      </c>
    </row>
    <row r="140" spans="1:11" ht="13.15" customHeight="1" x14ac:dyDescent="0.25">
      <c r="A140" s="63" t="s">
        <v>2365</v>
      </c>
      <c r="B140" s="55"/>
      <c r="C140" s="1316"/>
      <c r="D140" s="1316"/>
      <c r="E140" s="1317"/>
      <c r="F140" s="1318"/>
      <c r="G140" s="1316"/>
      <c r="H140" s="1319"/>
      <c r="I140" s="1318"/>
      <c r="J140" s="1316"/>
      <c r="K140" s="1319"/>
    </row>
    <row r="141" spans="1:11" ht="13.15" customHeight="1" x14ac:dyDescent="0.25">
      <c r="A141" s="63" t="s">
        <v>2366</v>
      </c>
      <c r="B141" s="55"/>
      <c r="C141" s="76">
        <f>SUM(C142:C147)</f>
        <v>0</v>
      </c>
      <c r="D141" s="76">
        <f t="shared" ref="D141:K141" si="29">SUM(D142:D147)</f>
        <v>0</v>
      </c>
      <c r="E141" s="332">
        <f t="shared" si="29"/>
        <v>0</v>
      </c>
      <c r="F141" s="79">
        <f t="shared" si="29"/>
        <v>0</v>
      </c>
      <c r="G141" s="76">
        <f t="shared" si="29"/>
        <v>0</v>
      </c>
      <c r="H141" s="333">
        <f t="shared" si="29"/>
        <v>0</v>
      </c>
      <c r="I141" s="79">
        <f t="shared" si="29"/>
        <v>0</v>
      </c>
      <c r="J141" s="76">
        <f t="shared" si="29"/>
        <v>0</v>
      </c>
      <c r="K141" s="333">
        <f t="shared" si="29"/>
        <v>0</v>
      </c>
    </row>
    <row r="142" spans="1:11" ht="13.15" customHeight="1" x14ac:dyDescent="0.25">
      <c r="A142" s="744" t="s">
        <v>2368</v>
      </c>
      <c r="B142" s="55"/>
      <c r="C142" s="1316"/>
      <c r="D142" s="1316"/>
      <c r="E142" s="1317"/>
      <c r="F142" s="1318"/>
      <c r="G142" s="1316"/>
      <c r="H142" s="1319"/>
      <c r="I142" s="1318"/>
      <c r="J142" s="1316"/>
      <c r="K142" s="1319"/>
    </row>
    <row r="143" spans="1:11" ht="13.15" customHeight="1" x14ac:dyDescent="0.25">
      <c r="A143" s="744" t="s">
        <v>2369</v>
      </c>
      <c r="B143" s="55"/>
      <c r="C143" s="1316"/>
      <c r="D143" s="1316"/>
      <c r="E143" s="1317"/>
      <c r="F143" s="1318"/>
      <c r="G143" s="1316"/>
      <c r="H143" s="1319"/>
      <c r="I143" s="1318"/>
      <c r="J143" s="1316"/>
      <c r="K143" s="1319"/>
    </row>
    <row r="144" spans="1:11" ht="13.15" customHeight="1" x14ac:dyDescent="0.25">
      <c r="A144" s="744" t="s">
        <v>2370</v>
      </c>
      <c r="B144" s="55"/>
      <c r="C144" s="1316"/>
      <c r="D144" s="1316"/>
      <c r="E144" s="1317"/>
      <c r="F144" s="1318"/>
      <c r="G144" s="1316"/>
      <c r="H144" s="1319"/>
      <c r="I144" s="1318"/>
      <c r="J144" s="1316"/>
      <c r="K144" s="1319"/>
    </row>
    <row r="145" spans="1:11" ht="13.15" customHeight="1" x14ac:dyDescent="0.25">
      <c r="A145" s="744" t="s">
        <v>2371</v>
      </c>
      <c r="B145" s="55"/>
      <c r="C145" s="1316"/>
      <c r="D145" s="1316"/>
      <c r="E145" s="1317"/>
      <c r="F145" s="1318"/>
      <c r="G145" s="1316"/>
      <c r="H145" s="1319"/>
      <c r="I145" s="1318"/>
      <c r="J145" s="1316"/>
      <c r="K145" s="1319"/>
    </row>
    <row r="146" spans="1:11" ht="13.15" customHeight="1" x14ac:dyDescent="0.25">
      <c r="A146" s="744" t="s">
        <v>2372</v>
      </c>
      <c r="B146" s="55"/>
      <c r="C146" s="1316"/>
      <c r="D146" s="1316"/>
      <c r="E146" s="1317"/>
      <c r="F146" s="1318"/>
      <c r="G146" s="1316"/>
      <c r="H146" s="1319"/>
      <c r="I146" s="1318"/>
      <c r="J146" s="1316"/>
      <c r="K146" s="1319"/>
    </row>
    <row r="147" spans="1:11" ht="13.15" customHeight="1" x14ac:dyDescent="0.25">
      <c r="A147" s="744" t="s">
        <v>2373</v>
      </c>
      <c r="B147" s="55"/>
      <c r="C147" s="1316"/>
      <c r="D147" s="1316"/>
      <c r="E147" s="1317"/>
      <c r="F147" s="1318"/>
      <c r="G147" s="1316"/>
      <c r="H147" s="1319"/>
      <c r="I147" s="1318"/>
      <c r="J147" s="1316"/>
      <c r="K147" s="1319"/>
    </row>
    <row r="148" spans="1:11" ht="4.9000000000000004" customHeight="1" x14ac:dyDescent="0.25">
      <c r="A148" s="74"/>
      <c r="B148" s="55"/>
      <c r="C148" s="86"/>
      <c r="D148" s="86"/>
      <c r="E148" s="85"/>
      <c r="F148" s="88"/>
      <c r="G148" s="86"/>
      <c r="H148" s="87"/>
      <c r="I148" s="88"/>
      <c r="J148" s="86"/>
      <c r="K148" s="87"/>
    </row>
    <row r="149" spans="1:11" ht="13.15" customHeight="1" x14ac:dyDescent="0.25">
      <c r="A149" s="54" t="s">
        <v>2374</v>
      </c>
      <c r="B149" s="55"/>
      <c r="C149" s="76">
        <f t="shared" ref="C149:K149" si="30">SUM(C150:C150)</f>
        <v>0</v>
      </c>
      <c r="D149" s="76">
        <f t="shared" si="30"/>
        <v>0</v>
      </c>
      <c r="E149" s="75">
        <f t="shared" si="30"/>
        <v>0</v>
      </c>
      <c r="F149" s="78">
        <f t="shared" si="30"/>
        <v>239312.42499999999</v>
      </c>
      <c r="G149" s="76">
        <f t="shared" si="30"/>
        <v>239312.42499999999</v>
      </c>
      <c r="H149" s="77">
        <f t="shared" si="30"/>
        <v>239312.42499999999</v>
      </c>
      <c r="I149" s="78">
        <f t="shared" si="30"/>
        <v>313561.59999999998</v>
      </c>
      <c r="J149" s="76">
        <f t="shared" si="30"/>
        <v>332375.29599999997</v>
      </c>
      <c r="K149" s="77">
        <f t="shared" si="30"/>
        <v>352317.81375999999</v>
      </c>
    </row>
    <row r="150" spans="1:11" ht="13.15" customHeight="1" x14ac:dyDescent="0.25">
      <c r="A150" s="63" t="s">
        <v>2374</v>
      </c>
      <c r="B150" s="55"/>
      <c r="C150" s="1316"/>
      <c r="D150" s="1316"/>
      <c r="E150" s="1317"/>
      <c r="F150" s="1318">
        <v>239312.42499999999</v>
      </c>
      <c r="G150" s="1316">
        <v>239312.42499999999</v>
      </c>
      <c r="H150" s="1319">
        <v>239312.42499999999</v>
      </c>
      <c r="I150" s="1318">
        <v>313561.59999999998</v>
      </c>
      <c r="J150" s="1316">
        <f>I150*1.06</f>
        <v>332375.29599999997</v>
      </c>
      <c r="K150" s="1319">
        <f>J150*1.06</f>
        <v>352317.81375999999</v>
      </c>
    </row>
    <row r="151" spans="1:11" ht="4.9000000000000004" customHeight="1" x14ac:dyDescent="0.25">
      <c r="A151" s="74"/>
      <c r="B151" s="55"/>
      <c r="C151" s="76"/>
      <c r="D151" s="76"/>
      <c r="E151" s="75"/>
      <c r="F151" s="78"/>
      <c r="G151" s="76"/>
      <c r="H151" s="77"/>
      <c r="I151" s="78"/>
      <c r="J151" s="76"/>
      <c r="K151" s="77"/>
    </row>
    <row r="152" spans="1:11" ht="13.15" customHeight="1" x14ac:dyDescent="0.25">
      <c r="A152" s="54" t="s">
        <v>2375</v>
      </c>
      <c r="B152" s="55"/>
      <c r="C152" s="76">
        <f t="shared" ref="C152:K152" si="31">SUM(C153:C153)</f>
        <v>0</v>
      </c>
      <c r="D152" s="76">
        <f t="shared" si="31"/>
        <v>0</v>
      </c>
      <c r="E152" s="75">
        <f t="shared" si="31"/>
        <v>0</v>
      </c>
      <c r="F152" s="78">
        <f t="shared" si="31"/>
        <v>2000</v>
      </c>
      <c r="G152" s="76">
        <f t="shared" si="31"/>
        <v>2000</v>
      </c>
      <c r="H152" s="77">
        <f t="shared" si="31"/>
        <v>2000</v>
      </c>
      <c r="I152" s="78">
        <f t="shared" si="31"/>
        <v>21313</v>
      </c>
      <c r="J152" s="76">
        <f t="shared" si="31"/>
        <v>22591.780000000002</v>
      </c>
      <c r="K152" s="77">
        <f t="shared" si="31"/>
        <v>23947.286800000005</v>
      </c>
    </row>
    <row r="153" spans="1:11" ht="13.15" customHeight="1" x14ac:dyDescent="0.25">
      <c r="A153" s="63" t="s">
        <v>2375</v>
      </c>
      <c r="B153" s="55"/>
      <c r="C153" s="1316"/>
      <c r="D153" s="1316"/>
      <c r="E153" s="1317"/>
      <c r="F153" s="1318">
        <v>2000</v>
      </c>
      <c r="G153" s="1316">
        <v>2000</v>
      </c>
      <c r="H153" s="1319">
        <v>2000</v>
      </c>
      <c r="I153" s="1318">
        <v>21313</v>
      </c>
      <c r="J153" s="1316">
        <f>I153*1.06</f>
        <v>22591.780000000002</v>
      </c>
      <c r="K153" s="1319">
        <f>J153*1.06</f>
        <v>23947.286800000005</v>
      </c>
    </row>
    <row r="154" spans="1:11" ht="4.9000000000000004" customHeight="1" x14ac:dyDescent="0.25">
      <c r="A154" s="74"/>
      <c r="B154" s="55"/>
      <c r="C154" s="76"/>
      <c r="D154" s="76"/>
      <c r="E154" s="75"/>
      <c r="F154" s="78"/>
      <c r="G154" s="76"/>
      <c r="H154" s="77"/>
      <c r="I154" s="78"/>
      <c r="J154" s="76"/>
      <c r="K154" s="77"/>
    </row>
    <row r="155" spans="1:11" ht="13.15" customHeight="1" x14ac:dyDescent="0.25">
      <c r="A155" s="54" t="s">
        <v>2376</v>
      </c>
      <c r="B155" s="55"/>
      <c r="C155" s="76">
        <f t="shared" ref="C155:K155" si="32">SUM(C156:C156)</f>
        <v>0</v>
      </c>
      <c r="D155" s="76">
        <f t="shared" si="32"/>
        <v>0</v>
      </c>
      <c r="E155" s="75">
        <f t="shared" si="32"/>
        <v>0</v>
      </c>
      <c r="F155" s="78">
        <f t="shared" si="32"/>
        <v>291060.52799999999</v>
      </c>
      <c r="G155" s="76">
        <f t="shared" si="32"/>
        <v>291060.52799999999</v>
      </c>
      <c r="H155" s="77">
        <f t="shared" si="32"/>
        <v>291060.52799999999</v>
      </c>
      <c r="I155" s="78">
        <f t="shared" si="32"/>
        <v>1110653</v>
      </c>
      <c r="J155" s="76">
        <f t="shared" si="32"/>
        <v>1177292.1800000002</v>
      </c>
      <c r="K155" s="77">
        <f t="shared" si="32"/>
        <v>1247929.7108000002</v>
      </c>
    </row>
    <row r="156" spans="1:11" ht="13.15" customHeight="1" x14ac:dyDescent="0.25">
      <c r="A156" s="63" t="s">
        <v>2376</v>
      </c>
      <c r="B156" s="55"/>
      <c r="C156" s="1316"/>
      <c r="D156" s="1316"/>
      <c r="E156" s="1317"/>
      <c r="F156" s="1318">
        <v>291060.52799999999</v>
      </c>
      <c r="G156" s="1316">
        <v>291060.52799999999</v>
      </c>
      <c r="H156" s="1319">
        <v>291060.52799999999</v>
      </c>
      <c r="I156" s="1318">
        <f>40114+1034809+35730</f>
        <v>1110653</v>
      </c>
      <c r="J156" s="1316">
        <f>I156*1.06</f>
        <v>1177292.1800000002</v>
      </c>
      <c r="K156" s="1319">
        <f>J156*1.06</f>
        <v>1247929.7108000002</v>
      </c>
    </row>
    <row r="157" spans="1:11" ht="4.9000000000000004" customHeight="1" x14ac:dyDescent="0.25">
      <c r="A157" s="74"/>
      <c r="B157" s="55"/>
      <c r="C157" s="76"/>
      <c r="D157" s="76"/>
      <c r="E157" s="75"/>
      <c r="F157" s="78"/>
      <c r="G157" s="76"/>
      <c r="H157" s="77"/>
      <c r="I157" s="78"/>
      <c r="J157" s="76"/>
      <c r="K157" s="77"/>
    </row>
    <row r="158" spans="1:11" ht="13.15" customHeight="1" x14ac:dyDescent="0.25">
      <c r="A158" s="54" t="s">
        <v>2377</v>
      </c>
      <c r="B158" s="55"/>
      <c r="C158" s="76">
        <f t="shared" ref="C158:K158" si="33">SUM(C159:C159)</f>
        <v>0</v>
      </c>
      <c r="D158" s="76">
        <f t="shared" si="33"/>
        <v>0</v>
      </c>
      <c r="E158" s="75">
        <f t="shared" si="33"/>
        <v>0</v>
      </c>
      <c r="F158" s="78">
        <f t="shared" si="33"/>
        <v>0</v>
      </c>
      <c r="G158" s="76">
        <f t="shared" si="33"/>
        <v>0</v>
      </c>
      <c r="H158" s="77">
        <f t="shared" si="33"/>
        <v>0</v>
      </c>
      <c r="I158" s="78">
        <f t="shared" si="33"/>
        <v>13600</v>
      </c>
      <c r="J158" s="76">
        <f t="shared" si="33"/>
        <v>14416</v>
      </c>
      <c r="K158" s="77">
        <f t="shared" si="33"/>
        <v>15280.960000000001</v>
      </c>
    </row>
    <row r="159" spans="1:11" ht="13.15" customHeight="1" x14ac:dyDescent="0.25">
      <c r="A159" s="63" t="s">
        <v>2377</v>
      </c>
      <c r="B159" s="55"/>
      <c r="C159" s="1316"/>
      <c r="D159" s="1316"/>
      <c r="E159" s="1317"/>
      <c r="F159" s="1318"/>
      <c r="G159" s="1316"/>
      <c r="H159" s="1319"/>
      <c r="I159" s="1318">
        <v>13600</v>
      </c>
      <c r="J159" s="1316">
        <f>I159*1.06</f>
        <v>14416</v>
      </c>
      <c r="K159" s="1319">
        <f>J159*1.06</f>
        <v>15280.960000000001</v>
      </c>
    </row>
    <row r="160" spans="1:11" ht="4.9000000000000004" customHeight="1" x14ac:dyDescent="0.25">
      <c r="A160" s="74"/>
      <c r="B160" s="55"/>
      <c r="C160" s="76"/>
      <c r="D160" s="76"/>
      <c r="E160" s="75"/>
      <c r="F160" s="78"/>
      <c r="G160" s="76"/>
      <c r="H160" s="77"/>
      <c r="I160" s="78"/>
      <c r="J160" s="76"/>
      <c r="K160" s="77"/>
    </row>
    <row r="161" spans="1:12" ht="13.15" customHeight="1" x14ac:dyDescent="0.25">
      <c r="A161" s="54" t="s">
        <v>2514</v>
      </c>
      <c r="B161" s="55"/>
      <c r="C161" s="76">
        <f t="shared" ref="C161:K161" si="34">SUM(C162:C162)</f>
        <v>0</v>
      </c>
      <c r="D161" s="76">
        <f t="shared" si="34"/>
        <v>0</v>
      </c>
      <c r="E161" s="75">
        <f t="shared" si="34"/>
        <v>0</v>
      </c>
      <c r="F161" s="78">
        <f t="shared" si="34"/>
        <v>0</v>
      </c>
      <c r="G161" s="76">
        <f t="shared" si="34"/>
        <v>0</v>
      </c>
      <c r="H161" s="77">
        <f t="shared" si="34"/>
        <v>0</v>
      </c>
      <c r="I161" s="78">
        <f t="shared" si="34"/>
        <v>0</v>
      </c>
      <c r="J161" s="76">
        <f t="shared" si="34"/>
        <v>0</v>
      </c>
      <c r="K161" s="77">
        <f t="shared" si="34"/>
        <v>0</v>
      </c>
    </row>
    <row r="162" spans="1:12" ht="13.15" customHeight="1" x14ac:dyDescent="0.25">
      <c r="A162" s="63" t="s">
        <v>2514</v>
      </c>
      <c r="B162" s="55"/>
      <c r="C162" s="1316"/>
      <c r="D162" s="1316"/>
      <c r="E162" s="1317"/>
      <c r="F162" s="1318"/>
      <c r="G162" s="1316"/>
      <c r="H162" s="1319"/>
      <c r="I162" s="1318"/>
      <c r="J162" s="1316"/>
      <c r="K162" s="1319"/>
    </row>
    <row r="163" spans="1:12" ht="4.9000000000000004" customHeight="1" x14ac:dyDescent="0.25">
      <c r="A163" s="74"/>
      <c r="B163" s="55"/>
      <c r="C163" s="76"/>
      <c r="D163" s="76"/>
      <c r="E163" s="75"/>
      <c r="F163" s="78"/>
      <c r="G163" s="76"/>
      <c r="H163" s="77"/>
      <c r="I163" s="78"/>
      <c r="J163" s="76"/>
      <c r="K163" s="77"/>
    </row>
    <row r="164" spans="1:12" ht="13.15" customHeight="1" x14ac:dyDescent="0.25">
      <c r="A164" s="54" t="s">
        <v>2378</v>
      </c>
      <c r="B164" s="55"/>
      <c r="C164" s="76">
        <f t="shared" ref="C164:K164" si="35">SUM(C165:C165)</f>
        <v>0</v>
      </c>
      <c r="D164" s="76">
        <f t="shared" si="35"/>
        <v>0</v>
      </c>
      <c r="E164" s="75">
        <f t="shared" si="35"/>
        <v>0</v>
      </c>
      <c r="F164" s="78">
        <f t="shared" si="35"/>
        <v>0</v>
      </c>
      <c r="G164" s="76">
        <f t="shared" si="35"/>
        <v>0</v>
      </c>
      <c r="H164" s="77">
        <f t="shared" si="35"/>
        <v>0</v>
      </c>
      <c r="I164" s="78">
        <f t="shared" si="35"/>
        <v>0</v>
      </c>
      <c r="J164" s="76">
        <f t="shared" si="35"/>
        <v>0</v>
      </c>
      <c r="K164" s="77">
        <f t="shared" si="35"/>
        <v>0</v>
      </c>
    </row>
    <row r="165" spans="1:12" ht="13.15" customHeight="1" x14ac:dyDescent="0.25">
      <c r="A165" s="63" t="s">
        <v>2378</v>
      </c>
      <c r="B165" s="55"/>
      <c r="C165" s="1316"/>
      <c r="D165" s="1316"/>
      <c r="E165" s="1317"/>
      <c r="F165" s="1318"/>
      <c r="G165" s="1316"/>
      <c r="H165" s="1319"/>
      <c r="I165" s="1318"/>
      <c r="J165" s="1316"/>
      <c r="K165" s="1319"/>
    </row>
    <row r="166" spans="1:12" ht="4.9000000000000004" customHeight="1" x14ac:dyDescent="0.25">
      <c r="A166" s="74"/>
      <c r="B166" s="55"/>
      <c r="C166" s="76"/>
      <c r="D166" s="76"/>
      <c r="E166" s="75"/>
      <c r="F166" s="78"/>
      <c r="G166" s="76"/>
      <c r="H166" s="77"/>
      <c r="I166" s="78"/>
      <c r="J166" s="76"/>
      <c r="K166" s="77"/>
    </row>
    <row r="167" spans="1:12" ht="13.15" customHeight="1" x14ac:dyDescent="0.25">
      <c r="A167" s="92" t="s">
        <v>1082</v>
      </c>
      <c r="B167" s="93">
        <v>1</v>
      </c>
      <c r="C167" s="95">
        <f>C6+C74+C103+C110+C118+C136+C139+C149+C152+C155+C158+C161+C164</f>
        <v>0</v>
      </c>
      <c r="D167" s="95">
        <f t="shared" ref="D167:K167" si="36">D6+D74+D103+D110+D118+D136+D139+D149+D152+D155+D158+D161+D164</f>
        <v>5783109</v>
      </c>
      <c r="E167" s="94">
        <f t="shared" si="36"/>
        <v>7401663</v>
      </c>
      <c r="F167" s="97">
        <f t="shared" si="36"/>
        <v>11585379.365000002</v>
      </c>
      <c r="G167" s="95">
        <f t="shared" si="36"/>
        <v>6758329.368999999</v>
      </c>
      <c r="H167" s="96">
        <f t="shared" si="36"/>
        <v>6758329.368999999</v>
      </c>
      <c r="I167" s="97">
        <f t="shared" si="36"/>
        <v>10052342.4706</v>
      </c>
      <c r="J167" s="95">
        <f t="shared" si="36"/>
        <v>10655483.018835999</v>
      </c>
      <c r="K167" s="96">
        <f t="shared" si="36"/>
        <v>11294811.999966159</v>
      </c>
    </row>
    <row r="168" spans="1:12" x14ac:dyDescent="0.25">
      <c r="F168" s="74"/>
      <c r="H168" s="896"/>
      <c r="I168" s="74"/>
      <c r="K168" s="896"/>
    </row>
    <row r="169" spans="1:12" x14ac:dyDescent="0.25">
      <c r="A169" s="1196" t="s">
        <v>808</v>
      </c>
      <c r="B169" s="598"/>
      <c r="C169" s="1197">
        <f>IF(ISERROR(ROUND(C167/'A6-FinPos'!C19,3)),0,(ROUND(C167/'A6-FinPos'!C19,3)))</f>
        <v>0</v>
      </c>
      <c r="D169" s="1197">
        <f>IF(ISERROR(ROUND(D167/'A6-FinPos'!D19,3)),0,(ROUND(D167/'A6-FinPos'!D19,3)))</f>
        <v>5.0000000000000001E-3</v>
      </c>
      <c r="E169" s="1200">
        <f>IF(ISERROR(ROUND(E167/'A6-FinPos'!E19,3)),0,(ROUND(E167/'A6-FinPos'!E19,3)))</f>
        <v>7.0000000000000001E-3</v>
      </c>
      <c r="F169" s="1199">
        <f>IF(ISERROR(ROUND(F167/'A6-FinPos'!F19,3)),0,(ROUND(F167/'A6-FinPos'!F19,3)))</f>
        <v>0.01</v>
      </c>
      <c r="G169" s="1197">
        <f>IF(ISERROR(ROUND(G167/'A6-FinPos'!G19,3)),0,(ROUND(G167/'A6-FinPos'!G19,3)))</f>
        <v>6.0000000000000001E-3</v>
      </c>
      <c r="H169" s="1198">
        <f>IF(ISERROR(ROUND(H167/'A6-FinPos'!H19,3)),0,(ROUND(H167/'A6-FinPos'!H19,3)))</f>
        <v>6.0000000000000001E-3</v>
      </c>
      <c r="I169" s="1201">
        <f>IF(ISERROR(ROUND(I167/'A6-FinPos'!I19,3)),0,(ROUND(I167/'A6-FinPos'!I19,3)))</f>
        <v>8.9999999999999993E-3</v>
      </c>
      <c r="J169" s="1197">
        <f>IF(ISERROR(ROUND(J167/'A6-FinPos'!J19,3)),0,(ROUND(J167/'A6-FinPos'!J19,3)))</f>
        <v>0.01</v>
      </c>
      <c r="K169" s="1198">
        <f>IF(ISERROR(ROUND(K167/'A6-FinPos'!K19,3)),0,(ROUND(K167/'A6-FinPos'!K19,3)))</f>
        <v>1.0999999999999999E-2</v>
      </c>
    </row>
    <row r="170" spans="1:12" x14ac:dyDescent="0.25">
      <c r="A170" s="1189" t="s">
        <v>1840</v>
      </c>
      <c r="B170" s="1190"/>
      <c r="C170" s="1191">
        <f>IF(ISERROR(ROUND(C167/'A1-Sum'!B18,3)),0,(ROUND(C167/'A1-Sum'!B18,3)))</f>
        <v>0</v>
      </c>
      <c r="D170" s="1191">
        <f>IF(ISERROR(ROUND(D167/'A1-Sum'!C18,3)),0,(ROUND(D167/'A1-Sum'!C18,3)))</f>
        <v>1.4999999999999999E-2</v>
      </c>
      <c r="E170" s="1194">
        <f>IF(ISERROR(ROUND(E167/'A1-Sum'!D18,3)),0,(ROUND(E167/'A1-Sum'!D18,3)))</f>
        <v>1.7999999999999999E-2</v>
      </c>
      <c r="F170" s="1193">
        <f>IF(ISERROR(ROUND(F167/'A1-Sum'!E18,3)),0,(ROUND(F167/'A1-Sum'!E18,3)))</f>
        <v>3.2000000000000001E-2</v>
      </c>
      <c r="G170" s="1191">
        <f>IF(ISERROR(ROUND(G167/'A1-Sum'!F18,3)),0,(ROUND(G167/'A1-Sum'!F18,3)))</f>
        <v>1.7999999999999999E-2</v>
      </c>
      <c r="H170" s="1192">
        <f>IF(ISERROR(ROUND(H167/'A1-Sum'!G18,3)),0,(ROUND(H167/'A1-Sum'!G18,3)))</f>
        <v>1.7999999999999999E-2</v>
      </c>
      <c r="I170" s="1195">
        <f>IF(ISERROR(ROUND(I167/'A1-Sum'!H18,3)),0,(ROUND(I167/'A1-Sum'!H18,3)))</f>
        <v>2.5999999999999999E-2</v>
      </c>
      <c r="J170" s="1191">
        <f>IF(ISERROR(ROUND(J167/'A1-Sum'!I18,3)),0,(ROUND(J167/'A1-Sum'!I18,3)))</f>
        <v>2.7E-2</v>
      </c>
      <c r="K170" s="1192">
        <f>IF(ISERROR(ROUND(K167/'A1-Sum'!J18,3)),0,(ROUND(K167/'A1-Sum'!J18,3)))</f>
        <v>2.7E-2</v>
      </c>
    </row>
    <row r="171" spans="1:12" s="464" customFormat="1" x14ac:dyDescent="0.25">
      <c r="A171" s="101" t="str">
        <f>head27a</f>
        <v>References</v>
      </c>
      <c r="B171" s="645"/>
      <c r="C171" s="647"/>
      <c r="D171" s="647"/>
      <c r="E171" s="647"/>
      <c r="F171" s="647"/>
      <c r="G171" s="647"/>
      <c r="H171" s="647"/>
      <c r="I171" s="647"/>
      <c r="J171" s="647"/>
      <c r="K171" s="647"/>
      <c r="L171" s="770"/>
    </row>
    <row r="172" spans="1:12" s="464" customFormat="1" ht="11.25" customHeight="1" x14ac:dyDescent="0.25">
      <c r="A172" s="132" t="s">
        <v>1083</v>
      </c>
      <c r="B172" s="645"/>
      <c r="C172" s="648"/>
      <c r="D172" s="648"/>
      <c r="E172" s="647"/>
      <c r="F172" s="647"/>
      <c r="G172" s="647"/>
      <c r="H172" s="647"/>
      <c r="I172" s="647"/>
      <c r="J172" s="647"/>
      <c r="K172" s="647"/>
    </row>
    <row r="175" spans="1:12" ht="11.25" customHeight="1" x14ac:dyDescent="0.25">
      <c r="A175" s="133" t="s">
        <v>249</v>
      </c>
      <c r="B175" s="107"/>
      <c r="C175" s="113">
        <f>C167-'SA1'!C164</f>
        <v>0</v>
      </c>
      <c r="D175" s="113">
        <f>D167-'SA1'!D164</f>
        <v>0</v>
      </c>
      <c r="E175" s="113">
        <f>E167-'SA1'!E164</f>
        <v>0</v>
      </c>
      <c r="F175" s="113">
        <f>F167-'SA1'!F164</f>
        <v>-3.9999987930059433E-3</v>
      </c>
      <c r="G175" s="113">
        <f>G167-'SA1'!G164</f>
        <v>0</v>
      </c>
      <c r="H175" s="113">
        <f>H167-'SA1'!H164</f>
        <v>0</v>
      </c>
      <c r="I175" s="113">
        <f>I167-'SA1'!J164</f>
        <v>-0.90400000102818012</v>
      </c>
      <c r="J175" s="113">
        <f>J167-'SA1'!K164</f>
        <v>-0.95824000239372253</v>
      </c>
      <c r="K175" s="113">
        <f>K167-'SA1'!L164</f>
        <v>-1.0157344024628401</v>
      </c>
    </row>
  </sheetData>
  <mergeCells count="2">
    <mergeCell ref="F2:H2"/>
    <mergeCell ref="I2:K2"/>
  </mergeCells>
  <phoneticPr fontId="3" type="noConversion"/>
  <pageMargins left="0.75" right="0.75" top="1" bottom="1" header="0.5" footer="0.5"/>
  <pageSetup scale="60" orientation="portrait"/>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3"/>
  <dimension ref="A1:L173"/>
  <sheetViews>
    <sheetView showGridLines="0" zoomScaleNormal="100" workbookViewId="0">
      <pane xSplit="2" ySplit="3" topLeftCell="C4" activePane="bottomRight" state="frozen"/>
      <selection pane="topRight"/>
      <selection pane="bottomLeft"/>
      <selection pane="bottomRight" activeCell="E8" sqref="E8"/>
    </sheetView>
  </sheetViews>
  <sheetFormatPr defaultRowHeight="12.75" x14ac:dyDescent="0.25"/>
  <cols>
    <col min="1" max="1" width="30.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2" ht="13.5" customHeight="1" x14ac:dyDescent="0.25">
      <c r="A1" s="23" t="str">
        <f>muni&amp;" - "&amp;TableA34d</f>
        <v>EC101 Dr Beyers Naude - Supporting Table SA34d Depreciation by asset class</v>
      </c>
      <c r="B1" s="23"/>
      <c r="C1" s="23"/>
      <c r="D1" s="23"/>
      <c r="E1" s="23"/>
      <c r="F1" s="23"/>
      <c r="G1" s="23"/>
      <c r="H1" s="23"/>
      <c r="I1" s="23"/>
      <c r="J1" s="23"/>
      <c r="K1" s="23"/>
    </row>
    <row r="2" spans="1:12" ht="28.5" customHeight="1" x14ac:dyDescent="0.25">
      <c r="A2" s="614" t="str">
        <f>desc</f>
        <v>Description</v>
      </c>
      <c r="B2" s="220" t="str">
        <f>head27</f>
        <v>Ref</v>
      </c>
      <c r="C2" s="26" t="str">
        <f>head1b</f>
        <v>2015/16</v>
      </c>
      <c r="D2" s="475" t="str">
        <f>head1A</f>
        <v>2016/17</v>
      </c>
      <c r="E2" s="21" t="str">
        <f>Head1</f>
        <v>2017/18</v>
      </c>
      <c r="F2" s="1907" t="str">
        <f>Head2</f>
        <v>Current Year 2018/19</v>
      </c>
      <c r="G2" s="1908"/>
      <c r="H2" s="1912"/>
      <c r="I2" s="1904" t="str">
        <f>Head3</f>
        <v>2019/20 Medium Term Revenue &amp; Expenditure Framework</v>
      </c>
      <c r="J2" s="1905"/>
      <c r="K2" s="1906"/>
    </row>
    <row r="3" spans="1:12" ht="25.5" x14ac:dyDescent="0.25">
      <c r="A3" s="53" t="s">
        <v>573</v>
      </c>
      <c r="B3" s="615">
        <v>1</v>
      </c>
      <c r="C3" s="203" t="str">
        <f>Head5</f>
        <v>Audited Outcome</v>
      </c>
      <c r="D3" s="627" t="str">
        <f>Head5</f>
        <v>Audited Outcome</v>
      </c>
      <c r="E3" s="202"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2" ht="11.25" customHeight="1" x14ac:dyDescent="0.25">
      <c r="A4" s="539" t="s">
        <v>1818</v>
      </c>
      <c r="B4" s="136"/>
      <c r="C4" s="149"/>
      <c r="D4" s="149"/>
      <c r="E4" s="150"/>
      <c r="F4" s="151"/>
      <c r="G4" s="149"/>
      <c r="H4" s="152"/>
      <c r="I4" s="151"/>
      <c r="J4" s="149"/>
      <c r="K4" s="152"/>
    </row>
    <row r="5" spans="1:12" ht="4.9000000000000004" customHeight="1" x14ac:dyDescent="0.25">
      <c r="A5" s="54"/>
      <c r="B5" s="55"/>
      <c r="C5" s="153"/>
      <c r="D5" s="153"/>
      <c r="E5" s="154"/>
      <c r="F5" s="155"/>
      <c r="G5" s="153"/>
      <c r="H5" s="156"/>
      <c r="I5" s="155"/>
      <c r="J5" s="153"/>
      <c r="K5" s="156"/>
    </row>
    <row r="6" spans="1:12" ht="13.15" customHeight="1" x14ac:dyDescent="0.25">
      <c r="A6" s="54" t="s">
        <v>853</v>
      </c>
      <c r="B6" s="55"/>
      <c r="C6" s="86">
        <f>C7+C12+C16+C26+C37+C44+C52+C62+C68</f>
        <v>0</v>
      </c>
      <c r="D6" s="86">
        <f t="shared" ref="D6:K6" si="0">D7+D12+D16+D26+D37+D44+D52+D62+D68</f>
        <v>57495749</v>
      </c>
      <c r="E6" s="85">
        <f t="shared" si="0"/>
        <v>62710848</v>
      </c>
      <c r="F6" s="88">
        <f t="shared" si="0"/>
        <v>32190871.359999999</v>
      </c>
      <c r="G6" s="86">
        <f t="shared" si="0"/>
        <v>60697785.359999999</v>
      </c>
      <c r="H6" s="87">
        <f t="shared" si="0"/>
        <v>60697785.359999999</v>
      </c>
      <c r="I6" s="88">
        <f t="shared" si="0"/>
        <v>65848563</v>
      </c>
      <c r="J6" s="86">
        <f t="shared" si="0"/>
        <v>65848563.600000001</v>
      </c>
      <c r="K6" s="87">
        <f t="shared" si="0"/>
        <v>69799477.415999994</v>
      </c>
    </row>
    <row r="7" spans="1:12" s="877" customFormat="1" ht="13.15" customHeight="1" x14ac:dyDescent="0.25">
      <c r="A7" s="63" t="s">
        <v>2272</v>
      </c>
      <c r="B7" s="55"/>
      <c r="C7" s="185">
        <f t="shared" ref="C7:K7" si="1">SUM(C8:C11)</f>
        <v>0</v>
      </c>
      <c r="D7" s="185">
        <f t="shared" si="1"/>
        <v>57495749</v>
      </c>
      <c r="E7" s="759">
        <f t="shared" si="1"/>
        <v>62710848</v>
      </c>
      <c r="F7" s="217">
        <f t="shared" si="1"/>
        <v>4184656</v>
      </c>
      <c r="G7" s="185">
        <f t="shared" si="1"/>
        <v>8786312</v>
      </c>
      <c r="H7" s="699">
        <f t="shared" si="1"/>
        <v>8786312</v>
      </c>
      <c r="I7" s="217">
        <f t="shared" si="1"/>
        <v>65848563</v>
      </c>
      <c r="J7" s="185">
        <f t="shared" si="1"/>
        <v>65848563.600000001</v>
      </c>
      <c r="K7" s="699">
        <f t="shared" si="1"/>
        <v>69799477.415999994</v>
      </c>
      <c r="L7" s="25"/>
    </row>
    <row r="8" spans="1:12" s="877" customFormat="1" ht="13.15" customHeight="1" x14ac:dyDescent="0.25">
      <c r="A8" s="744" t="s">
        <v>638</v>
      </c>
      <c r="B8" s="55"/>
      <c r="C8" s="1316"/>
      <c r="D8" s="1316">
        <v>57495749</v>
      </c>
      <c r="E8" s="1317">
        <v>62710848</v>
      </c>
      <c r="F8" s="1318">
        <v>4184656</v>
      </c>
      <c r="G8" s="1316">
        <v>8786312</v>
      </c>
      <c r="H8" s="1319">
        <v>8786312</v>
      </c>
      <c r="I8" s="1318">
        <v>65848563</v>
      </c>
      <c r="J8" s="1316">
        <v>65848563.600000001</v>
      </c>
      <c r="K8" s="1319">
        <v>69799477.415999994</v>
      </c>
      <c r="L8" s="25"/>
    </row>
    <row r="9" spans="1:12" s="877" customFormat="1" ht="13.15" customHeight="1" x14ac:dyDescent="0.25">
      <c r="A9" s="744" t="s">
        <v>2273</v>
      </c>
      <c r="B9" s="55"/>
      <c r="C9" s="1316"/>
      <c r="D9" s="1316"/>
      <c r="E9" s="1317"/>
      <c r="F9" s="1318"/>
      <c r="G9" s="1316"/>
      <c r="H9" s="1319"/>
      <c r="I9" s="1318"/>
      <c r="J9" s="1316"/>
      <c r="K9" s="1319"/>
      <c r="L9" s="888"/>
    </row>
    <row r="10" spans="1:12" s="877" customFormat="1" ht="13.15" customHeight="1" x14ac:dyDescent="0.25">
      <c r="A10" s="744" t="s">
        <v>2274</v>
      </c>
      <c r="B10" s="55"/>
      <c r="C10" s="1316"/>
      <c r="D10" s="1316"/>
      <c r="E10" s="1317"/>
      <c r="F10" s="1318"/>
      <c r="G10" s="1316"/>
      <c r="H10" s="1319"/>
      <c r="I10" s="1318"/>
      <c r="J10" s="1316"/>
      <c r="K10" s="1319"/>
      <c r="L10" s="888"/>
    </row>
    <row r="11" spans="1:12" s="877" customFormat="1" ht="13.15" customHeight="1" x14ac:dyDescent="0.25">
      <c r="A11" s="744" t="s">
        <v>2275</v>
      </c>
      <c r="B11" s="55"/>
      <c r="C11" s="1316"/>
      <c r="D11" s="1316"/>
      <c r="E11" s="1317"/>
      <c r="F11" s="1318"/>
      <c r="G11" s="1316"/>
      <c r="H11" s="1319"/>
      <c r="I11" s="1318"/>
      <c r="J11" s="1316"/>
      <c r="K11" s="1319"/>
      <c r="L11" s="888"/>
    </row>
    <row r="12" spans="1:12" s="877" customFormat="1" ht="13.15" customHeight="1" x14ac:dyDescent="0.25">
      <c r="A12" s="63" t="s">
        <v>2276</v>
      </c>
      <c r="B12" s="55"/>
      <c r="C12" s="76">
        <f>SUM(C13:C15)</f>
        <v>0</v>
      </c>
      <c r="D12" s="76">
        <f t="shared" ref="D12:K12" si="2">SUM(D13:D15)</f>
        <v>0</v>
      </c>
      <c r="E12" s="332">
        <f t="shared" si="2"/>
        <v>0</v>
      </c>
      <c r="F12" s="79">
        <f t="shared" si="2"/>
        <v>4850000</v>
      </c>
      <c r="G12" s="76">
        <f t="shared" si="2"/>
        <v>9700000</v>
      </c>
      <c r="H12" s="333">
        <f t="shared" si="2"/>
        <v>9700000</v>
      </c>
      <c r="I12" s="79">
        <f t="shared" si="2"/>
        <v>0</v>
      </c>
      <c r="J12" s="76">
        <f t="shared" si="2"/>
        <v>0</v>
      </c>
      <c r="K12" s="333">
        <f t="shared" si="2"/>
        <v>0</v>
      </c>
      <c r="L12" s="888"/>
    </row>
    <row r="13" spans="1:12" s="877" customFormat="1" ht="13.15" customHeight="1" x14ac:dyDescent="0.25">
      <c r="A13" s="744" t="s">
        <v>2277</v>
      </c>
      <c r="B13" s="55"/>
      <c r="C13" s="1316"/>
      <c r="D13" s="1316"/>
      <c r="E13" s="1317"/>
      <c r="F13" s="1318"/>
      <c r="G13" s="1316"/>
      <c r="H13" s="1319"/>
      <c r="I13" s="1318"/>
      <c r="J13" s="1316"/>
      <c r="K13" s="1319"/>
      <c r="L13" s="888"/>
    </row>
    <row r="14" spans="1:12" s="877" customFormat="1" ht="13.15" customHeight="1" x14ac:dyDescent="0.25">
      <c r="A14" s="744" t="s">
        <v>2278</v>
      </c>
      <c r="B14" s="55"/>
      <c r="C14" s="1316"/>
      <c r="D14" s="1316"/>
      <c r="E14" s="1317"/>
      <c r="F14" s="1318">
        <v>4850000</v>
      </c>
      <c r="G14" s="1316">
        <v>9700000</v>
      </c>
      <c r="H14" s="1319">
        <v>9700000</v>
      </c>
      <c r="I14" s="1318"/>
      <c r="J14" s="1316"/>
      <c r="K14" s="1319"/>
      <c r="L14" s="888"/>
    </row>
    <row r="15" spans="1:12" s="877" customFormat="1" ht="13.15" customHeight="1" x14ac:dyDescent="0.25">
      <c r="A15" s="744" t="s">
        <v>2279</v>
      </c>
      <c r="B15" s="55"/>
      <c r="C15" s="1316"/>
      <c r="D15" s="1316"/>
      <c r="E15" s="1317"/>
      <c r="F15" s="1318"/>
      <c r="G15" s="1316"/>
      <c r="H15" s="1319"/>
      <c r="I15" s="1318"/>
      <c r="J15" s="1316"/>
      <c r="K15" s="1319"/>
      <c r="L15" s="888"/>
    </row>
    <row r="16" spans="1:12" s="877" customFormat="1" ht="13.15" customHeight="1" x14ac:dyDescent="0.25">
      <c r="A16" s="63" t="s">
        <v>2321</v>
      </c>
      <c r="B16" s="55"/>
      <c r="C16" s="76">
        <f t="shared" ref="C16:K16" si="3">SUM(C17:C25)</f>
        <v>0</v>
      </c>
      <c r="D16" s="76">
        <f t="shared" si="3"/>
        <v>0</v>
      </c>
      <c r="E16" s="332">
        <f t="shared" si="3"/>
        <v>0</v>
      </c>
      <c r="F16" s="79">
        <f t="shared" si="3"/>
        <v>1710781</v>
      </c>
      <c r="G16" s="76">
        <f t="shared" si="3"/>
        <v>3421562</v>
      </c>
      <c r="H16" s="333">
        <f t="shared" si="3"/>
        <v>3421562</v>
      </c>
      <c r="I16" s="79">
        <f t="shared" si="3"/>
        <v>0</v>
      </c>
      <c r="J16" s="76">
        <f t="shared" si="3"/>
        <v>0</v>
      </c>
      <c r="K16" s="333">
        <f t="shared" si="3"/>
        <v>0</v>
      </c>
      <c r="L16" s="888"/>
    </row>
    <row r="17" spans="1:12" s="877" customFormat="1" ht="13.15" customHeight="1" x14ac:dyDescent="0.25">
      <c r="A17" s="744" t="s">
        <v>2280</v>
      </c>
      <c r="B17" s="55"/>
      <c r="C17" s="1316"/>
      <c r="D17" s="1316"/>
      <c r="E17" s="1317"/>
      <c r="F17" s="1318"/>
      <c r="G17" s="1316"/>
      <c r="H17" s="1319"/>
      <c r="I17" s="1318"/>
      <c r="J17" s="1316"/>
      <c r="K17" s="1319"/>
      <c r="L17" s="888"/>
    </row>
    <row r="18" spans="1:12" s="877" customFormat="1" ht="13.15" customHeight="1" x14ac:dyDescent="0.25">
      <c r="A18" s="744" t="s">
        <v>2281</v>
      </c>
      <c r="B18" s="55"/>
      <c r="C18" s="1316"/>
      <c r="D18" s="1316"/>
      <c r="E18" s="1317"/>
      <c r="F18" s="1318"/>
      <c r="G18" s="1316"/>
      <c r="H18" s="1319"/>
      <c r="I18" s="1318"/>
      <c r="J18" s="1316"/>
      <c r="K18" s="1319"/>
      <c r="L18" s="888"/>
    </row>
    <row r="19" spans="1:12" s="877" customFormat="1" ht="13.15" customHeight="1" x14ac:dyDescent="0.25">
      <c r="A19" s="744" t="s">
        <v>2282</v>
      </c>
      <c r="B19" s="55"/>
      <c r="C19" s="1316"/>
      <c r="D19" s="1316"/>
      <c r="E19" s="1317"/>
      <c r="F19" s="1318"/>
      <c r="G19" s="1316"/>
      <c r="H19" s="1319"/>
      <c r="I19" s="1318"/>
      <c r="J19" s="1316"/>
      <c r="K19" s="1319"/>
      <c r="L19" s="888"/>
    </row>
    <row r="20" spans="1:12" s="877" customFormat="1" ht="13.15" customHeight="1" x14ac:dyDescent="0.25">
      <c r="A20" s="744" t="s">
        <v>2283</v>
      </c>
      <c r="B20" s="55"/>
      <c r="C20" s="1316"/>
      <c r="D20" s="1316"/>
      <c r="E20" s="1317"/>
      <c r="F20" s="1318">
        <v>1710781</v>
      </c>
      <c r="G20" s="1316">
        <v>3421562</v>
      </c>
      <c r="H20" s="1319">
        <v>3421562</v>
      </c>
      <c r="I20" s="1318"/>
      <c r="J20" s="1316"/>
      <c r="K20" s="1319"/>
      <c r="L20" s="888"/>
    </row>
    <row r="21" spans="1:12" s="877" customFormat="1" ht="13.15" customHeight="1" x14ac:dyDescent="0.25">
      <c r="A21" s="744" t="s">
        <v>2284</v>
      </c>
      <c r="B21" s="55"/>
      <c r="C21" s="1316"/>
      <c r="D21" s="1316"/>
      <c r="E21" s="1317"/>
      <c r="F21" s="1318"/>
      <c r="G21" s="1316"/>
      <c r="H21" s="1319"/>
      <c r="I21" s="1318"/>
      <c r="J21" s="1316"/>
      <c r="K21" s="1319"/>
      <c r="L21" s="888"/>
    </row>
    <row r="22" spans="1:12" s="877" customFormat="1" ht="13.15" customHeight="1" x14ac:dyDescent="0.25">
      <c r="A22" s="744" t="s">
        <v>2285</v>
      </c>
      <c r="B22" s="55"/>
      <c r="C22" s="1316"/>
      <c r="D22" s="1316"/>
      <c r="E22" s="1317"/>
      <c r="F22" s="1318"/>
      <c r="G22" s="1316"/>
      <c r="H22" s="1319"/>
      <c r="I22" s="1318"/>
      <c r="J22" s="1316"/>
      <c r="K22" s="1319"/>
      <c r="L22" s="25"/>
    </row>
    <row r="23" spans="1:12" s="877" customFormat="1" ht="13.15" customHeight="1" x14ac:dyDescent="0.25">
      <c r="A23" s="744" t="s">
        <v>2286</v>
      </c>
      <c r="B23" s="55"/>
      <c r="C23" s="1316"/>
      <c r="D23" s="1316"/>
      <c r="E23" s="1317"/>
      <c r="F23" s="1318"/>
      <c r="G23" s="1316"/>
      <c r="H23" s="1319"/>
      <c r="I23" s="1318"/>
      <c r="J23" s="1316"/>
      <c r="K23" s="1319"/>
      <c r="L23" s="888"/>
    </row>
    <row r="24" spans="1:12" s="877" customFormat="1" ht="13.15" customHeight="1" x14ac:dyDescent="0.25">
      <c r="A24" s="744" t="s">
        <v>2287</v>
      </c>
      <c r="B24" s="55"/>
      <c r="C24" s="1316"/>
      <c r="D24" s="1316"/>
      <c r="E24" s="1317"/>
      <c r="F24" s="1318"/>
      <c r="G24" s="1316"/>
      <c r="H24" s="1319"/>
      <c r="I24" s="1318"/>
      <c r="J24" s="1316"/>
      <c r="K24" s="1319"/>
      <c r="L24" s="888"/>
    </row>
    <row r="25" spans="1:12" s="877" customFormat="1" ht="13.15" customHeight="1" x14ac:dyDescent="0.25">
      <c r="A25" s="744" t="s">
        <v>2275</v>
      </c>
      <c r="B25" s="55"/>
      <c r="C25" s="1316"/>
      <c r="D25" s="1316"/>
      <c r="E25" s="1317"/>
      <c r="F25" s="1318"/>
      <c r="G25" s="1316"/>
      <c r="H25" s="1319"/>
      <c r="I25" s="1318"/>
      <c r="J25" s="1316"/>
      <c r="K25" s="1319"/>
      <c r="L25" s="888"/>
    </row>
    <row r="26" spans="1:12" ht="13.15" customHeight="1" x14ac:dyDescent="0.25">
      <c r="A26" s="63" t="s">
        <v>2322</v>
      </c>
      <c r="B26" s="55"/>
      <c r="C26" s="76">
        <f>SUM(C27:C36)</f>
        <v>0</v>
      </c>
      <c r="D26" s="76">
        <f t="shared" ref="D26:K26" si="4">SUM(D27:D36)</f>
        <v>0</v>
      </c>
      <c r="E26" s="332">
        <f t="shared" si="4"/>
        <v>0</v>
      </c>
      <c r="F26" s="79">
        <f t="shared" si="4"/>
        <v>17414401.859999999</v>
      </c>
      <c r="G26" s="76">
        <f t="shared" si="4"/>
        <v>31525922.859999999</v>
      </c>
      <c r="H26" s="333">
        <f t="shared" si="4"/>
        <v>31525922.859999999</v>
      </c>
      <c r="I26" s="79">
        <f t="shared" si="4"/>
        <v>0</v>
      </c>
      <c r="J26" s="76">
        <f t="shared" si="4"/>
        <v>0</v>
      </c>
      <c r="K26" s="333">
        <f t="shared" si="4"/>
        <v>0</v>
      </c>
    </row>
    <row r="27" spans="1:12" ht="13.15" customHeight="1" x14ac:dyDescent="0.25">
      <c r="A27" s="744" t="s">
        <v>2288</v>
      </c>
      <c r="B27" s="55"/>
      <c r="C27" s="1316"/>
      <c r="D27" s="1316"/>
      <c r="E27" s="1317"/>
      <c r="F27" s="1318"/>
      <c r="G27" s="1316"/>
      <c r="H27" s="1319"/>
      <c r="I27" s="1318"/>
      <c r="J27" s="1316"/>
      <c r="K27" s="1319"/>
    </row>
    <row r="28" spans="1:12" ht="13.15" customHeight="1" x14ac:dyDescent="0.25">
      <c r="A28" s="744" t="s">
        <v>2289</v>
      </c>
      <c r="B28" s="55"/>
      <c r="C28" s="1316"/>
      <c r="D28" s="1316"/>
      <c r="E28" s="1317"/>
      <c r="F28" s="1318"/>
      <c r="G28" s="1316"/>
      <c r="H28" s="1319"/>
      <c r="I28" s="1318"/>
      <c r="J28" s="1316"/>
      <c r="K28" s="1319"/>
      <c r="L28" s="888"/>
    </row>
    <row r="29" spans="1:12" ht="13.15" customHeight="1" x14ac:dyDescent="0.25">
      <c r="A29" s="744" t="s">
        <v>2290</v>
      </c>
      <c r="B29" s="55"/>
      <c r="C29" s="1316"/>
      <c r="D29" s="1316"/>
      <c r="E29" s="1317"/>
      <c r="F29" s="1318"/>
      <c r="G29" s="1316"/>
      <c r="H29" s="1319"/>
      <c r="I29" s="1318"/>
      <c r="J29" s="1316"/>
      <c r="K29" s="1319"/>
      <c r="L29" s="888"/>
    </row>
    <row r="30" spans="1:12" ht="13.15" customHeight="1" x14ac:dyDescent="0.25">
      <c r="A30" s="744" t="s">
        <v>2291</v>
      </c>
      <c r="B30" s="55"/>
      <c r="C30" s="1316"/>
      <c r="D30" s="1316"/>
      <c r="E30" s="1317"/>
      <c r="F30" s="1318"/>
      <c r="G30" s="1316"/>
      <c r="H30" s="1319"/>
      <c r="I30" s="1318"/>
      <c r="J30" s="1316"/>
      <c r="K30" s="1319"/>
      <c r="L30" s="888"/>
    </row>
    <row r="31" spans="1:12" ht="13.15" customHeight="1" x14ac:dyDescent="0.25">
      <c r="A31" s="744" t="s">
        <v>2292</v>
      </c>
      <c r="B31" s="55"/>
      <c r="C31" s="1316"/>
      <c r="D31" s="1316"/>
      <c r="E31" s="1317"/>
      <c r="F31" s="1318">
        <v>17414401.859999999</v>
      </c>
      <c r="G31" s="1316">
        <v>31525922.859999999</v>
      </c>
      <c r="H31" s="1319">
        <v>31525922.859999999</v>
      </c>
      <c r="I31" s="1318"/>
      <c r="J31" s="1316"/>
      <c r="K31" s="1319"/>
      <c r="L31" s="888"/>
    </row>
    <row r="32" spans="1:12" ht="13.15" customHeight="1" x14ac:dyDescent="0.25">
      <c r="A32" s="744" t="s">
        <v>2293</v>
      </c>
      <c r="B32" s="55"/>
      <c r="C32" s="1316"/>
      <c r="D32" s="1316"/>
      <c r="E32" s="1317"/>
      <c r="F32" s="1318"/>
      <c r="G32" s="1316"/>
      <c r="H32" s="1319"/>
      <c r="I32" s="1318"/>
      <c r="J32" s="1316"/>
      <c r="K32" s="1319"/>
      <c r="L32" s="888"/>
    </row>
    <row r="33" spans="1:12" ht="13.15" customHeight="1" x14ac:dyDescent="0.25">
      <c r="A33" s="744" t="s">
        <v>2294</v>
      </c>
      <c r="B33" s="55"/>
      <c r="C33" s="1316"/>
      <c r="D33" s="1316"/>
      <c r="E33" s="1317"/>
      <c r="F33" s="1318"/>
      <c r="G33" s="1316"/>
      <c r="H33" s="1319"/>
      <c r="I33" s="1318"/>
      <c r="J33" s="1316"/>
      <c r="K33" s="1319"/>
      <c r="L33" s="888"/>
    </row>
    <row r="34" spans="1:12" ht="13.15" customHeight="1" x14ac:dyDescent="0.25">
      <c r="A34" s="744" t="s">
        <v>2295</v>
      </c>
      <c r="B34" s="55"/>
      <c r="C34" s="1316"/>
      <c r="D34" s="1316"/>
      <c r="E34" s="1317"/>
      <c r="F34" s="1318"/>
      <c r="G34" s="1316"/>
      <c r="H34" s="1319"/>
      <c r="I34" s="1318"/>
      <c r="J34" s="1316"/>
      <c r="K34" s="1319"/>
      <c r="L34" s="888"/>
    </row>
    <row r="35" spans="1:12" ht="13.15" customHeight="1" x14ac:dyDescent="0.25">
      <c r="A35" s="744" t="s">
        <v>2296</v>
      </c>
      <c r="B35" s="55"/>
      <c r="C35" s="1316"/>
      <c r="D35" s="1316"/>
      <c r="E35" s="1317"/>
      <c r="F35" s="1318"/>
      <c r="G35" s="1316"/>
      <c r="H35" s="1319"/>
      <c r="I35" s="1318"/>
      <c r="J35" s="1316"/>
      <c r="K35" s="1319"/>
      <c r="L35" s="888"/>
    </row>
    <row r="36" spans="1:12" ht="13.15" customHeight="1" x14ac:dyDescent="0.25">
      <c r="A36" s="744" t="s">
        <v>2275</v>
      </c>
      <c r="B36" s="55"/>
      <c r="C36" s="1316"/>
      <c r="D36" s="1316"/>
      <c r="E36" s="1317"/>
      <c r="F36" s="1318"/>
      <c r="G36" s="1316"/>
      <c r="H36" s="1319"/>
      <c r="I36" s="1318"/>
      <c r="J36" s="1316"/>
      <c r="K36" s="1319"/>
      <c r="L36" s="888"/>
    </row>
    <row r="37" spans="1:12" ht="13.15" customHeight="1" x14ac:dyDescent="0.25">
      <c r="A37" s="63" t="s">
        <v>2323</v>
      </c>
      <c r="B37" s="55"/>
      <c r="C37" s="76">
        <f>SUM(C38:C43)</f>
        <v>0</v>
      </c>
      <c r="D37" s="76">
        <f t="shared" ref="D37:K37" si="5">SUM(D38:D43)</f>
        <v>0</v>
      </c>
      <c r="E37" s="332">
        <f t="shared" si="5"/>
        <v>0</v>
      </c>
      <c r="F37" s="79">
        <f t="shared" si="5"/>
        <v>2636582</v>
      </c>
      <c r="G37" s="76">
        <f t="shared" si="5"/>
        <v>5690665</v>
      </c>
      <c r="H37" s="333">
        <f t="shared" si="5"/>
        <v>5690665</v>
      </c>
      <c r="I37" s="79">
        <f t="shared" si="5"/>
        <v>0</v>
      </c>
      <c r="J37" s="76">
        <f t="shared" si="5"/>
        <v>0</v>
      </c>
      <c r="K37" s="333">
        <f t="shared" si="5"/>
        <v>0</v>
      </c>
      <c r="L37" s="888"/>
    </row>
    <row r="38" spans="1:12" ht="13.15" customHeight="1" x14ac:dyDescent="0.25">
      <c r="A38" s="744" t="s">
        <v>2297</v>
      </c>
      <c r="B38" s="55"/>
      <c r="C38" s="1316"/>
      <c r="D38" s="1316"/>
      <c r="E38" s="1317"/>
      <c r="F38" s="1318"/>
      <c r="G38" s="1316"/>
      <c r="H38" s="1319"/>
      <c r="I38" s="1318"/>
      <c r="J38" s="1316"/>
      <c r="K38" s="1319"/>
      <c r="L38" s="888"/>
    </row>
    <row r="39" spans="1:12" ht="13.15" customHeight="1" x14ac:dyDescent="0.25">
      <c r="A39" s="744" t="s">
        <v>25</v>
      </c>
      <c r="B39" s="55"/>
      <c r="C39" s="1316"/>
      <c r="D39" s="1316"/>
      <c r="E39" s="1317"/>
      <c r="F39" s="1318"/>
      <c r="G39" s="1316"/>
      <c r="H39" s="1319"/>
      <c r="I39" s="1318"/>
      <c r="J39" s="1316"/>
      <c r="K39" s="1319"/>
      <c r="L39" s="888"/>
    </row>
    <row r="40" spans="1:12" ht="13.15" customHeight="1" x14ac:dyDescent="0.25">
      <c r="A40" s="744" t="s">
        <v>2298</v>
      </c>
      <c r="B40" s="55"/>
      <c r="C40" s="1316"/>
      <c r="D40" s="1316"/>
      <c r="E40" s="1317"/>
      <c r="F40" s="1318">
        <v>2636582</v>
      </c>
      <c r="G40" s="1316">
        <v>5690665</v>
      </c>
      <c r="H40" s="1319">
        <v>5690665</v>
      </c>
      <c r="I40" s="1318"/>
      <c r="J40" s="1316"/>
      <c r="K40" s="1319"/>
    </row>
    <row r="41" spans="1:12" ht="13.15" customHeight="1" x14ac:dyDescent="0.25">
      <c r="A41" s="744" t="s">
        <v>2299</v>
      </c>
      <c r="B41" s="55"/>
      <c r="C41" s="1316"/>
      <c r="D41" s="1316"/>
      <c r="E41" s="1317"/>
      <c r="F41" s="1318"/>
      <c r="G41" s="1316"/>
      <c r="H41" s="1319"/>
      <c r="I41" s="1318"/>
      <c r="J41" s="1316"/>
      <c r="K41" s="1319"/>
      <c r="L41" s="888"/>
    </row>
    <row r="42" spans="1:12" ht="13.15" customHeight="1" x14ac:dyDescent="0.25">
      <c r="A42" s="744" t="s">
        <v>2300</v>
      </c>
      <c r="B42" s="55"/>
      <c r="C42" s="1316"/>
      <c r="D42" s="1316"/>
      <c r="E42" s="1317"/>
      <c r="F42" s="1318"/>
      <c r="G42" s="1316"/>
      <c r="H42" s="1319"/>
      <c r="I42" s="1318"/>
      <c r="J42" s="1316"/>
      <c r="K42" s="1319"/>
    </row>
    <row r="43" spans="1:12" ht="13.15" customHeight="1" x14ac:dyDescent="0.25">
      <c r="A43" s="744" t="s">
        <v>2275</v>
      </c>
      <c r="B43" s="55"/>
      <c r="C43" s="1316"/>
      <c r="D43" s="1316"/>
      <c r="E43" s="1317"/>
      <c r="F43" s="1318"/>
      <c r="G43" s="1316"/>
      <c r="H43" s="1319"/>
      <c r="I43" s="1318"/>
      <c r="J43" s="1316"/>
      <c r="K43" s="1319"/>
    </row>
    <row r="44" spans="1:12" ht="13.15" customHeight="1" x14ac:dyDescent="0.25">
      <c r="A44" s="63" t="s">
        <v>2301</v>
      </c>
      <c r="B44" s="55"/>
      <c r="C44" s="76">
        <f>SUM(C45:C51)</f>
        <v>0</v>
      </c>
      <c r="D44" s="76">
        <f t="shared" ref="D44:K44" si="6">SUM(D45:D51)</f>
        <v>0</v>
      </c>
      <c r="E44" s="332">
        <f t="shared" si="6"/>
        <v>0</v>
      </c>
      <c r="F44" s="79">
        <f t="shared" si="6"/>
        <v>1394450.5</v>
      </c>
      <c r="G44" s="76">
        <f t="shared" si="6"/>
        <v>1573323.5</v>
      </c>
      <c r="H44" s="333">
        <f t="shared" si="6"/>
        <v>1573323.5</v>
      </c>
      <c r="I44" s="79">
        <f t="shared" si="6"/>
        <v>0</v>
      </c>
      <c r="J44" s="76">
        <f t="shared" si="6"/>
        <v>0</v>
      </c>
      <c r="K44" s="333">
        <f t="shared" si="6"/>
        <v>0</v>
      </c>
    </row>
    <row r="45" spans="1:12" ht="13.15" customHeight="1" x14ac:dyDescent="0.25">
      <c r="A45" s="744" t="s">
        <v>2302</v>
      </c>
      <c r="B45" s="55"/>
      <c r="C45" s="1316"/>
      <c r="D45" s="1316"/>
      <c r="E45" s="1317"/>
      <c r="F45" s="1318"/>
      <c r="G45" s="1316"/>
      <c r="H45" s="1319"/>
      <c r="I45" s="1318"/>
      <c r="J45" s="1316"/>
      <c r="K45" s="1319"/>
    </row>
    <row r="46" spans="1:12" ht="13.15" customHeight="1" x14ac:dyDescent="0.25">
      <c r="A46" s="744" t="s">
        <v>2303</v>
      </c>
      <c r="B46" s="55"/>
      <c r="C46" s="1316"/>
      <c r="D46" s="1316"/>
      <c r="E46" s="1317"/>
      <c r="F46" s="1318">
        <v>1394450.5</v>
      </c>
      <c r="G46" s="1316">
        <v>1573323.5</v>
      </c>
      <c r="H46" s="1319">
        <v>1573323.5</v>
      </c>
      <c r="I46" s="1318"/>
      <c r="J46" s="1316"/>
      <c r="K46" s="1319"/>
    </row>
    <row r="47" spans="1:12" ht="13.15" customHeight="1" x14ac:dyDescent="0.25">
      <c r="A47" s="744" t="s">
        <v>2304</v>
      </c>
      <c r="B47" s="55"/>
      <c r="C47" s="1316"/>
      <c r="D47" s="1316"/>
      <c r="E47" s="1317"/>
      <c r="F47" s="1318"/>
      <c r="G47" s="1316"/>
      <c r="H47" s="1319"/>
      <c r="I47" s="1318"/>
      <c r="J47" s="1316"/>
      <c r="K47" s="1319"/>
    </row>
    <row r="48" spans="1:12" ht="13.15" customHeight="1" x14ac:dyDescent="0.25">
      <c r="A48" s="744" t="s">
        <v>2305</v>
      </c>
      <c r="B48" s="55"/>
      <c r="C48" s="1316"/>
      <c r="D48" s="1316"/>
      <c r="E48" s="1317"/>
      <c r="F48" s="1318"/>
      <c r="G48" s="1316"/>
      <c r="H48" s="1319"/>
      <c r="I48" s="1318"/>
      <c r="J48" s="1316"/>
      <c r="K48" s="1319"/>
      <c r="L48" s="888"/>
    </row>
    <row r="49" spans="1:12" ht="13.15" customHeight="1" x14ac:dyDescent="0.25">
      <c r="A49" s="744" t="s">
        <v>2306</v>
      </c>
      <c r="B49" s="55"/>
      <c r="C49" s="1316"/>
      <c r="D49" s="1316"/>
      <c r="E49" s="1317"/>
      <c r="F49" s="1318"/>
      <c r="G49" s="1316"/>
      <c r="H49" s="1319"/>
      <c r="I49" s="1318"/>
      <c r="J49" s="1316"/>
      <c r="K49" s="1319"/>
    </row>
    <row r="50" spans="1:12" ht="13.15" customHeight="1" x14ac:dyDescent="0.25">
      <c r="A50" s="744" t="s">
        <v>2307</v>
      </c>
      <c r="B50" s="55"/>
      <c r="C50" s="1316"/>
      <c r="D50" s="1316"/>
      <c r="E50" s="1317"/>
      <c r="F50" s="1318"/>
      <c r="G50" s="1316"/>
      <c r="H50" s="1319"/>
      <c r="I50" s="1318"/>
      <c r="J50" s="1316"/>
      <c r="K50" s="1319"/>
    </row>
    <row r="51" spans="1:12" ht="13.15" customHeight="1" x14ac:dyDescent="0.25">
      <c r="A51" s="744" t="s">
        <v>2275</v>
      </c>
      <c r="B51" s="55"/>
      <c r="C51" s="1316"/>
      <c r="D51" s="1316"/>
      <c r="E51" s="1317"/>
      <c r="F51" s="1318"/>
      <c r="G51" s="1316"/>
      <c r="H51" s="1319"/>
      <c r="I51" s="1318"/>
      <c r="J51" s="1316"/>
      <c r="K51" s="1319"/>
    </row>
    <row r="52" spans="1:12" ht="13.15" customHeight="1" x14ac:dyDescent="0.25">
      <c r="A52" s="63" t="s">
        <v>2317</v>
      </c>
      <c r="B52" s="55"/>
      <c r="C52" s="76">
        <f t="shared" ref="C52:K52" si="7">SUM(C53:C61)</f>
        <v>0</v>
      </c>
      <c r="D52" s="76">
        <f t="shared" si="7"/>
        <v>0</v>
      </c>
      <c r="E52" s="332">
        <f t="shared" si="7"/>
        <v>0</v>
      </c>
      <c r="F52" s="79">
        <f t="shared" si="7"/>
        <v>0</v>
      </c>
      <c r="G52" s="76">
        <f t="shared" si="7"/>
        <v>0</v>
      </c>
      <c r="H52" s="333">
        <f t="shared" si="7"/>
        <v>0</v>
      </c>
      <c r="I52" s="79">
        <f t="shared" si="7"/>
        <v>0</v>
      </c>
      <c r="J52" s="76">
        <f t="shared" si="7"/>
        <v>0</v>
      </c>
      <c r="K52" s="333">
        <f t="shared" si="7"/>
        <v>0</v>
      </c>
      <c r="L52" s="888"/>
    </row>
    <row r="53" spans="1:12" ht="13.15" customHeight="1" x14ac:dyDescent="0.25">
      <c r="A53" s="744" t="s">
        <v>2318</v>
      </c>
      <c r="B53" s="55"/>
      <c r="C53" s="1316"/>
      <c r="D53" s="1316"/>
      <c r="E53" s="1317"/>
      <c r="F53" s="1318"/>
      <c r="G53" s="1316"/>
      <c r="H53" s="1319"/>
      <c r="I53" s="1318"/>
      <c r="J53" s="1316"/>
      <c r="K53" s="1319"/>
    </row>
    <row r="54" spans="1:12" ht="13.15" customHeight="1" x14ac:dyDescent="0.25">
      <c r="A54" s="744" t="s">
        <v>2319</v>
      </c>
      <c r="B54" s="55"/>
      <c r="C54" s="1316"/>
      <c r="D54" s="1316"/>
      <c r="E54" s="1317"/>
      <c r="F54" s="1318"/>
      <c r="G54" s="1316"/>
      <c r="H54" s="1319"/>
      <c r="I54" s="1318"/>
      <c r="J54" s="1316"/>
      <c r="K54" s="1319"/>
      <c r="L54" s="888"/>
    </row>
    <row r="55" spans="1:12" ht="13.15" customHeight="1" x14ac:dyDescent="0.25">
      <c r="A55" s="744" t="s">
        <v>2320</v>
      </c>
      <c r="B55" s="55"/>
      <c r="C55" s="1316"/>
      <c r="D55" s="1316"/>
      <c r="E55" s="1317"/>
      <c r="F55" s="1318"/>
      <c r="G55" s="1316"/>
      <c r="H55" s="1319"/>
      <c r="I55" s="1318"/>
      <c r="J55" s="1316"/>
      <c r="K55" s="1319"/>
      <c r="L55" s="888"/>
    </row>
    <row r="56" spans="1:12" ht="13.15" customHeight="1" x14ac:dyDescent="0.25">
      <c r="A56" s="744" t="s">
        <v>2277</v>
      </c>
      <c r="B56" s="55"/>
      <c r="C56" s="1316"/>
      <c r="D56" s="1316"/>
      <c r="E56" s="1317"/>
      <c r="F56" s="1318"/>
      <c r="G56" s="1316"/>
      <c r="H56" s="1319"/>
      <c r="I56" s="1318"/>
      <c r="J56" s="1316"/>
      <c r="K56" s="1319"/>
      <c r="L56" s="888"/>
    </row>
    <row r="57" spans="1:12" ht="13.15" customHeight="1" x14ac:dyDescent="0.25">
      <c r="A57" s="744" t="s">
        <v>2278</v>
      </c>
      <c r="B57" s="55"/>
      <c r="C57" s="1316"/>
      <c r="D57" s="1316"/>
      <c r="E57" s="1317"/>
      <c r="F57" s="1318"/>
      <c r="G57" s="1316"/>
      <c r="H57" s="1319"/>
      <c r="I57" s="1318"/>
      <c r="J57" s="1316"/>
      <c r="K57" s="1319"/>
      <c r="L57" s="888"/>
    </row>
    <row r="58" spans="1:12" ht="13.15" customHeight="1" x14ac:dyDescent="0.25">
      <c r="A58" s="744" t="s">
        <v>2279</v>
      </c>
      <c r="B58" s="55"/>
      <c r="C58" s="1316"/>
      <c r="D58" s="1316"/>
      <c r="E58" s="1317"/>
      <c r="F58" s="1318"/>
      <c r="G58" s="1316"/>
      <c r="H58" s="1319"/>
      <c r="I58" s="1318"/>
      <c r="J58" s="1316"/>
      <c r="K58" s="1319"/>
    </row>
    <row r="59" spans="1:12" ht="13.15" customHeight="1" x14ac:dyDescent="0.25">
      <c r="A59" s="744" t="s">
        <v>2284</v>
      </c>
      <c r="B59" s="55"/>
      <c r="C59" s="1316"/>
      <c r="D59" s="1316"/>
      <c r="E59" s="1317"/>
      <c r="F59" s="1318"/>
      <c r="G59" s="1316"/>
      <c r="H59" s="1319"/>
      <c r="I59" s="1318"/>
      <c r="J59" s="1316"/>
      <c r="K59" s="1319"/>
      <c r="L59" s="888"/>
    </row>
    <row r="60" spans="1:12" ht="13.15" customHeight="1" x14ac:dyDescent="0.25">
      <c r="A60" s="744" t="s">
        <v>2287</v>
      </c>
      <c r="B60" s="55"/>
      <c r="C60" s="1316"/>
      <c r="D60" s="1316"/>
      <c r="E60" s="1317"/>
      <c r="F60" s="1318"/>
      <c r="G60" s="1316"/>
      <c r="H60" s="1319"/>
      <c r="I60" s="1318"/>
      <c r="J60" s="1316"/>
      <c r="K60" s="1319"/>
      <c r="L60" s="888"/>
    </row>
    <row r="61" spans="1:12" ht="13.15" customHeight="1" x14ac:dyDescent="0.25">
      <c r="A61" s="744" t="s">
        <v>2275</v>
      </c>
      <c r="B61" s="55"/>
      <c r="C61" s="1316"/>
      <c r="D61" s="1316"/>
      <c r="E61" s="1317"/>
      <c r="F61" s="1318"/>
      <c r="G61" s="1316"/>
      <c r="H61" s="1319"/>
      <c r="I61" s="1318"/>
      <c r="J61" s="1316"/>
      <c r="K61" s="1319"/>
      <c r="L61" s="888"/>
    </row>
    <row r="62" spans="1:12" ht="13.15" customHeight="1" x14ac:dyDescent="0.25">
      <c r="A62" s="63" t="s">
        <v>2312</v>
      </c>
      <c r="B62" s="55"/>
      <c r="C62" s="76">
        <f>SUM(C63:C67)</f>
        <v>0</v>
      </c>
      <c r="D62" s="76">
        <f t="shared" ref="D62:K62" si="8">SUM(D63:D67)</f>
        <v>0</v>
      </c>
      <c r="E62" s="332">
        <f t="shared" si="8"/>
        <v>0</v>
      </c>
      <c r="F62" s="79">
        <f t="shared" si="8"/>
        <v>0</v>
      </c>
      <c r="G62" s="76">
        <f t="shared" si="8"/>
        <v>0</v>
      </c>
      <c r="H62" s="333">
        <f t="shared" si="8"/>
        <v>0</v>
      </c>
      <c r="I62" s="79">
        <f t="shared" si="8"/>
        <v>0</v>
      </c>
      <c r="J62" s="76">
        <f t="shared" si="8"/>
        <v>0</v>
      </c>
      <c r="K62" s="333">
        <f t="shared" si="8"/>
        <v>0</v>
      </c>
      <c r="L62" s="888"/>
    </row>
    <row r="63" spans="1:12" ht="13.15" customHeight="1" x14ac:dyDescent="0.25">
      <c r="A63" s="744" t="s">
        <v>2313</v>
      </c>
      <c r="B63" s="55"/>
      <c r="C63" s="1316"/>
      <c r="D63" s="1316"/>
      <c r="E63" s="1317"/>
      <c r="F63" s="1318"/>
      <c r="G63" s="1316"/>
      <c r="H63" s="1319"/>
      <c r="I63" s="1318"/>
      <c r="J63" s="1316"/>
      <c r="K63" s="1319"/>
      <c r="L63" s="888"/>
    </row>
    <row r="64" spans="1:12" ht="13.15" customHeight="1" x14ac:dyDescent="0.25">
      <c r="A64" s="744" t="s">
        <v>2314</v>
      </c>
      <c r="B64" s="55"/>
      <c r="C64" s="1316"/>
      <c r="D64" s="1316"/>
      <c r="E64" s="1317"/>
      <c r="F64" s="1318"/>
      <c r="G64" s="1316"/>
      <c r="H64" s="1319"/>
      <c r="I64" s="1318"/>
      <c r="J64" s="1316"/>
      <c r="K64" s="1319"/>
    </row>
    <row r="65" spans="1:11" ht="13.15" customHeight="1" x14ac:dyDescent="0.25">
      <c r="A65" s="744" t="s">
        <v>2315</v>
      </c>
      <c r="B65" s="55"/>
      <c r="C65" s="1316"/>
      <c r="D65" s="1316"/>
      <c r="E65" s="1317"/>
      <c r="F65" s="1318"/>
      <c r="G65" s="1316"/>
      <c r="H65" s="1319"/>
      <c r="I65" s="1318"/>
      <c r="J65" s="1316"/>
      <c r="K65" s="1319"/>
    </row>
    <row r="66" spans="1:11" ht="13.15" customHeight="1" x14ac:dyDescent="0.25">
      <c r="A66" s="744" t="s">
        <v>2316</v>
      </c>
      <c r="B66" s="55"/>
      <c r="C66" s="1316"/>
      <c r="D66" s="1316"/>
      <c r="E66" s="1317"/>
      <c r="F66" s="1318"/>
      <c r="G66" s="1316"/>
      <c r="H66" s="1319"/>
      <c r="I66" s="1318"/>
      <c r="J66" s="1316"/>
      <c r="K66" s="1319"/>
    </row>
    <row r="67" spans="1:11" ht="13.15" customHeight="1" x14ac:dyDescent="0.25">
      <c r="A67" s="744" t="s">
        <v>2275</v>
      </c>
      <c r="B67" s="55"/>
      <c r="C67" s="1316"/>
      <c r="D67" s="1316"/>
      <c r="E67" s="1317"/>
      <c r="F67" s="1318"/>
      <c r="G67" s="1316"/>
      <c r="H67" s="1319"/>
      <c r="I67" s="1318"/>
      <c r="J67" s="1316"/>
      <c r="K67" s="1319"/>
    </row>
    <row r="68" spans="1:11" ht="13.15" customHeight="1" x14ac:dyDescent="0.25">
      <c r="A68" s="63" t="s">
        <v>2308</v>
      </c>
      <c r="B68" s="55"/>
      <c r="C68" s="76">
        <f>SUM(C69:C72)</f>
        <v>0</v>
      </c>
      <c r="D68" s="76">
        <f t="shared" ref="D68:K68" si="9">SUM(D69:D72)</f>
        <v>0</v>
      </c>
      <c r="E68" s="332">
        <f t="shared" si="9"/>
        <v>0</v>
      </c>
      <c r="F68" s="79">
        <f t="shared" si="9"/>
        <v>0</v>
      </c>
      <c r="G68" s="76">
        <f t="shared" si="9"/>
        <v>0</v>
      </c>
      <c r="H68" s="333">
        <f t="shared" si="9"/>
        <v>0</v>
      </c>
      <c r="I68" s="79">
        <f t="shared" si="9"/>
        <v>0</v>
      </c>
      <c r="J68" s="76">
        <f t="shared" si="9"/>
        <v>0</v>
      </c>
      <c r="K68" s="333">
        <f t="shared" si="9"/>
        <v>0</v>
      </c>
    </row>
    <row r="69" spans="1:11" ht="13.15" customHeight="1" x14ac:dyDescent="0.25">
      <c r="A69" s="744" t="s">
        <v>2309</v>
      </c>
      <c r="B69" s="55"/>
      <c r="C69" s="1316"/>
      <c r="D69" s="1316"/>
      <c r="E69" s="1317"/>
      <c r="F69" s="1318"/>
      <c r="G69" s="1316"/>
      <c r="H69" s="1319"/>
      <c r="I69" s="1318"/>
      <c r="J69" s="1316"/>
      <c r="K69" s="1319"/>
    </row>
    <row r="70" spans="1:11" ht="13.15" customHeight="1" x14ac:dyDescent="0.25">
      <c r="A70" s="744" t="s">
        <v>2310</v>
      </c>
      <c r="B70" s="55"/>
      <c r="C70" s="1316"/>
      <c r="D70" s="1316"/>
      <c r="E70" s="1317"/>
      <c r="F70" s="1318"/>
      <c r="G70" s="1316"/>
      <c r="H70" s="1319"/>
      <c r="I70" s="1318"/>
      <c r="J70" s="1316"/>
      <c r="K70" s="1319"/>
    </row>
    <row r="71" spans="1:11" ht="13.15" customHeight="1" x14ac:dyDescent="0.25">
      <c r="A71" s="744" t="s">
        <v>2311</v>
      </c>
      <c r="B71" s="55"/>
      <c r="C71" s="1316"/>
      <c r="D71" s="1316"/>
      <c r="E71" s="1317"/>
      <c r="F71" s="1318"/>
      <c r="G71" s="1316"/>
      <c r="H71" s="1319"/>
      <c r="I71" s="1318"/>
      <c r="J71" s="1316"/>
      <c r="K71" s="1319"/>
    </row>
    <row r="72" spans="1:11" ht="13.15" customHeight="1" x14ac:dyDescent="0.25">
      <c r="A72" s="744" t="s">
        <v>2275</v>
      </c>
      <c r="B72" s="55"/>
      <c r="C72" s="1316"/>
      <c r="D72" s="1316"/>
      <c r="E72" s="1317"/>
      <c r="F72" s="1318"/>
      <c r="G72" s="1316"/>
      <c r="H72" s="1319"/>
      <c r="I72" s="1318"/>
      <c r="J72" s="1316"/>
      <c r="K72" s="1319"/>
    </row>
    <row r="73" spans="1:11" ht="4.9000000000000004" customHeight="1" x14ac:dyDescent="0.25">
      <c r="A73" s="74"/>
      <c r="B73" s="55"/>
      <c r="C73" s="76"/>
      <c r="D73" s="76"/>
      <c r="E73" s="75"/>
      <c r="F73" s="78"/>
      <c r="G73" s="76"/>
      <c r="H73" s="77"/>
      <c r="I73" s="78"/>
      <c r="J73" s="76"/>
      <c r="K73" s="77"/>
    </row>
    <row r="74" spans="1:11" ht="13.15" customHeight="1" x14ac:dyDescent="0.25">
      <c r="A74" s="54" t="s">
        <v>2324</v>
      </c>
      <c r="B74" s="55"/>
      <c r="C74" s="86">
        <f>C75+C98</f>
        <v>0</v>
      </c>
      <c r="D74" s="86">
        <f t="shared" ref="D74:K74" si="10">D75+D98</f>
        <v>0</v>
      </c>
      <c r="E74" s="85">
        <f t="shared" si="10"/>
        <v>0</v>
      </c>
      <c r="F74" s="88">
        <f t="shared" si="10"/>
        <v>284129.5</v>
      </c>
      <c r="G74" s="86">
        <f t="shared" si="10"/>
        <v>568259</v>
      </c>
      <c r="H74" s="87">
        <f t="shared" si="10"/>
        <v>568259</v>
      </c>
      <c r="I74" s="88">
        <f t="shared" si="10"/>
        <v>0</v>
      </c>
      <c r="J74" s="86">
        <f t="shared" si="10"/>
        <v>0</v>
      </c>
      <c r="K74" s="87">
        <f t="shared" si="10"/>
        <v>0</v>
      </c>
    </row>
    <row r="75" spans="1:11" ht="13.15" customHeight="1" x14ac:dyDescent="0.25">
      <c r="A75" s="63" t="s">
        <v>2325</v>
      </c>
      <c r="B75" s="55"/>
      <c r="C75" s="185">
        <f>SUM(C76:C97)</f>
        <v>0</v>
      </c>
      <c r="D75" s="185">
        <f t="shared" ref="D75:K75" si="11">SUM(D76:D97)</f>
        <v>0</v>
      </c>
      <c r="E75" s="759">
        <f t="shared" si="11"/>
        <v>0</v>
      </c>
      <c r="F75" s="217">
        <f t="shared" si="11"/>
        <v>134265</v>
      </c>
      <c r="G75" s="185">
        <f t="shared" si="11"/>
        <v>268530</v>
      </c>
      <c r="H75" s="699">
        <f t="shared" si="11"/>
        <v>268530</v>
      </c>
      <c r="I75" s="217">
        <f t="shared" si="11"/>
        <v>0</v>
      </c>
      <c r="J75" s="185">
        <f t="shared" si="11"/>
        <v>0</v>
      </c>
      <c r="K75" s="699">
        <f t="shared" si="11"/>
        <v>0</v>
      </c>
    </row>
    <row r="76" spans="1:11" ht="13.15" customHeight="1" x14ac:dyDescent="0.25">
      <c r="A76" s="744" t="s">
        <v>2326</v>
      </c>
      <c r="B76" s="55"/>
      <c r="C76" s="1316"/>
      <c r="D76" s="1316"/>
      <c r="E76" s="1317"/>
      <c r="F76" s="1318">
        <v>25000</v>
      </c>
      <c r="G76" s="1316">
        <v>50000</v>
      </c>
      <c r="H76" s="1319">
        <v>50000</v>
      </c>
      <c r="I76" s="1318"/>
      <c r="J76" s="1316"/>
      <c r="K76" s="1319"/>
    </row>
    <row r="77" spans="1:11" ht="13.15" customHeight="1" x14ac:dyDescent="0.25">
      <c r="A77" s="744" t="s">
        <v>2327</v>
      </c>
      <c r="B77" s="55"/>
      <c r="C77" s="1316"/>
      <c r="D77" s="1316"/>
      <c r="E77" s="1317"/>
      <c r="F77" s="1318"/>
      <c r="G77" s="1316">
        <v>0</v>
      </c>
      <c r="H77" s="1319">
        <v>0</v>
      </c>
      <c r="I77" s="1318"/>
      <c r="J77" s="1316"/>
      <c r="K77" s="1319"/>
    </row>
    <row r="78" spans="1:11" ht="13.15" customHeight="1" x14ac:dyDescent="0.25">
      <c r="A78" s="744" t="s">
        <v>2328</v>
      </c>
      <c r="B78" s="55"/>
      <c r="C78" s="1316"/>
      <c r="D78" s="1316"/>
      <c r="E78" s="1317"/>
      <c r="F78" s="1318"/>
      <c r="G78" s="1316">
        <v>0</v>
      </c>
      <c r="H78" s="1319">
        <v>0</v>
      </c>
      <c r="I78" s="1318"/>
      <c r="J78" s="1316"/>
      <c r="K78" s="1319"/>
    </row>
    <row r="79" spans="1:11" ht="13.15" customHeight="1" x14ac:dyDescent="0.25">
      <c r="A79" s="744" t="s">
        <v>2329</v>
      </c>
      <c r="B79" s="55"/>
      <c r="C79" s="1316"/>
      <c r="D79" s="1316"/>
      <c r="E79" s="1317"/>
      <c r="F79" s="1318"/>
      <c r="G79" s="1316">
        <v>0</v>
      </c>
      <c r="H79" s="1319">
        <v>0</v>
      </c>
      <c r="I79" s="1318"/>
      <c r="J79" s="1316"/>
      <c r="K79" s="1319"/>
    </row>
    <row r="80" spans="1:11" ht="13.15" customHeight="1" x14ac:dyDescent="0.25">
      <c r="A80" s="744" t="s">
        <v>2330</v>
      </c>
      <c r="B80" s="55"/>
      <c r="C80" s="1316"/>
      <c r="D80" s="1316"/>
      <c r="E80" s="1317"/>
      <c r="F80" s="1318">
        <v>29265</v>
      </c>
      <c r="G80" s="1316">
        <v>58530</v>
      </c>
      <c r="H80" s="1319">
        <v>58530</v>
      </c>
      <c r="I80" s="1318"/>
      <c r="J80" s="1316"/>
      <c r="K80" s="1319"/>
    </row>
    <row r="81" spans="1:11" ht="13.15" customHeight="1" x14ac:dyDescent="0.25">
      <c r="A81" s="744" t="s">
        <v>2331</v>
      </c>
      <c r="B81" s="55"/>
      <c r="C81" s="1316"/>
      <c r="D81" s="1316"/>
      <c r="E81" s="1317"/>
      <c r="F81" s="1318"/>
      <c r="G81" s="1316">
        <v>0</v>
      </c>
      <c r="H81" s="1319">
        <v>0</v>
      </c>
      <c r="I81" s="1318"/>
      <c r="J81" s="1316"/>
      <c r="K81" s="1319"/>
    </row>
    <row r="82" spans="1:11" ht="13.15" customHeight="1" x14ac:dyDescent="0.25">
      <c r="A82" s="744" t="s">
        <v>2332</v>
      </c>
      <c r="B82" s="55"/>
      <c r="C82" s="1316"/>
      <c r="D82" s="1316"/>
      <c r="E82" s="1317"/>
      <c r="F82" s="1318"/>
      <c r="G82" s="1316">
        <v>0</v>
      </c>
      <c r="H82" s="1319">
        <v>0</v>
      </c>
      <c r="I82" s="1318"/>
      <c r="J82" s="1316"/>
      <c r="K82" s="1319"/>
    </row>
    <row r="83" spans="1:11" ht="13.15" customHeight="1" x14ac:dyDescent="0.25">
      <c r="A83" s="744" t="s">
        <v>2333</v>
      </c>
      <c r="B83" s="55"/>
      <c r="C83" s="1316"/>
      <c r="D83" s="1316"/>
      <c r="E83" s="1317"/>
      <c r="F83" s="1318"/>
      <c r="G83" s="1316">
        <v>0</v>
      </c>
      <c r="H83" s="1319">
        <v>0</v>
      </c>
      <c r="I83" s="1318"/>
      <c r="J83" s="1316"/>
      <c r="K83" s="1319"/>
    </row>
    <row r="84" spans="1:11" ht="13.15" customHeight="1" x14ac:dyDescent="0.25">
      <c r="A84" s="744" t="s">
        <v>2334</v>
      </c>
      <c r="B84" s="55"/>
      <c r="C84" s="1316"/>
      <c r="D84" s="1316"/>
      <c r="E84" s="1317"/>
      <c r="F84" s="1318"/>
      <c r="G84" s="1316">
        <v>0</v>
      </c>
      <c r="H84" s="1319">
        <v>0</v>
      </c>
      <c r="I84" s="1318"/>
      <c r="J84" s="1316"/>
      <c r="K84" s="1319"/>
    </row>
    <row r="85" spans="1:11" ht="13.15" customHeight="1" x14ac:dyDescent="0.25">
      <c r="A85" s="744" t="s">
        <v>289</v>
      </c>
      <c r="B85" s="55"/>
      <c r="C85" s="1316"/>
      <c r="D85" s="1316"/>
      <c r="E85" s="1317"/>
      <c r="F85" s="1318"/>
      <c r="G85" s="1316">
        <v>0</v>
      </c>
      <c r="H85" s="1319">
        <v>0</v>
      </c>
      <c r="I85" s="1318"/>
      <c r="J85" s="1316"/>
      <c r="K85" s="1319"/>
    </row>
    <row r="86" spans="1:11" ht="13.15" customHeight="1" x14ac:dyDescent="0.25">
      <c r="A86" s="744" t="s">
        <v>2335</v>
      </c>
      <c r="B86" s="55"/>
      <c r="C86" s="1316"/>
      <c r="D86" s="1316"/>
      <c r="E86" s="1317"/>
      <c r="F86" s="1318">
        <v>80000</v>
      </c>
      <c r="G86" s="1316">
        <v>160000</v>
      </c>
      <c r="H86" s="1319">
        <v>160000</v>
      </c>
      <c r="I86" s="1318"/>
      <c r="J86" s="1316"/>
      <c r="K86" s="1319"/>
    </row>
    <row r="87" spans="1:11" ht="13.15" customHeight="1" x14ac:dyDescent="0.25">
      <c r="A87" s="744" t="s">
        <v>1470</v>
      </c>
      <c r="B87" s="55"/>
      <c r="C87" s="1316"/>
      <c r="D87" s="1316"/>
      <c r="E87" s="1317"/>
      <c r="F87" s="1318"/>
      <c r="G87" s="1316">
        <v>0</v>
      </c>
      <c r="H87" s="1319">
        <v>0</v>
      </c>
      <c r="I87" s="1318"/>
      <c r="J87" s="1316"/>
      <c r="K87" s="1319"/>
    </row>
    <row r="88" spans="1:11" ht="13.15" customHeight="1" x14ac:dyDescent="0.25">
      <c r="A88" s="744" t="s">
        <v>2512</v>
      </c>
      <c r="B88" s="55"/>
      <c r="C88" s="1316"/>
      <c r="D88" s="1316"/>
      <c r="E88" s="1317"/>
      <c r="F88" s="1318"/>
      <c r="G88" s="1316">
        <v>0</v>
      </c>
      <c r="H88" s="1319">
        <v>0</v>
      </c>
      <c r="I88" s="1318"/>
      <c r="J88" s="1316"/>
      <c r="K88" s="1319"/>
    </row>
    <row r="89" spans="1:11" ht="13.15" customHeight="1" x14ac:dyDescent="0.25">
      <c r="A89" s="744" t="s">
        <v>2337</v>
      </c>
      <c r="B89" s="55"/>
      <c r="C89" s="1316"/>
      <c r="D89" s="1316"/>
      <c r="E89" s="1317"/>
      <c r="F89" s="1318"/>
      <c r="G89" s="1316">
        <v>0</v>
      </c>
      <c r="H89" s="1319">
        <v>0</v>
      </c>
      <c r="I89" s="1318"/>
      <c r="J89" s="1316"/>
      <c r="K89" s="1319"/>
    </row>
    <row r="90" spans="1:11" ht="13.15" customHeight="1" x14ac:dyDescent="0.25">
      <c r="A90" s="744" t="s">
        <v>2338</v>
      </c>
      <c r="B90" s="55"/>
      <c r="C90" s="1316"/>
      <c r="D90" s="1316"/>
      <c r="E90" s="1317"/>
      <c r="F90" s="1318"/>
      <c r="G90" s="1316">
        <v>0</v>
      </c>
      <c r="H90" s="1319">
        <v>0</v>
      </c>
      <c r="I90" s="1318"/>
      <c r="J90" s="1316"/>
      <c r="K90" s="1319"/>
    </row>
    <row r="91" spans="1:11" ht="13.15" customHeight="1" x14ac:dyDescent="0.25">
      <c r="A91" s="744" t="s">
        <v>2339</v>
      </c>
      <c r="B91" s="55"/>
      <c r="C91" s="1316"/>
      <c r="D91" s="1316"/>
      <c r="E91" s="1317"/>
      <c r="F91" s="1318"/>
      <c r="G91" s="1316">
        <v>0</v>
      </c>
      <c r="H91" s="1319">
        <v>0</v>
      </c>
      <c r="I91" s="1318"/>
      <c r="J91" s="1316"/>
      <c r="K91" s="1319"/>
    </row>
    <row r="92" spans="1:11" ht="13.15" customHeight="1" x14ac:dyDescent="0.25">
      <c r="A92" s="744" t="s">
        <v>1097</v>
      </c>
      <c r="B92" s="55"/>
      <c r="C92" s="1316"/>
      <c r="D92" s="1316"/>
      <c r="E92" s="1317"/>
      <c r="F92" s="1318"/>
      <c r="G92" s="1316">
        <v>0</v>
      </c>
      <c r="H92" s="1319">
        <v>0</v>
      </c>
      <c r="I92" s="1318"/>
      <c r="J92" s="1316"/>
      <c r="K92" s="1319"/>
    </row>
    <row r="93" spans="1:11" ht="13.15" customHeight="1" x14ac:dyDescent="0.25">
      <c r="A93" s="744" t="s">
        <v>2340</v>
      </c>
      <c r="B93" s="55"/>
      <c r="C93" s="1316"/>
      <c r="D93" s="1316"/>
      <c r="E93" s="1317"/>
      <c r="F93" s="1318"/>
      <c r="G93" s="1316">
        <v>0</v>
      </c>
      <c r="H93" s="1319">
        <v>0</v>
      </c>
      <c r="I93" s="1318"/>
      <c r="J93" s="1316"/>
      <c r="K93" s="1319"/>
    </row>
    <row r="94" spans="1:11" ht="13.15" customHeight="1" x14ac:dyDescent="0.25">
      <c r="A94" s="744" t="s">
        <v>1096</v>
      </c>
      <c r="B94" s="55"/>
      <c r="C94" s="1316"/>
      <c r="D94" s="1316"/>
      <c r="E94" s="1317"/>
      <c r="F94" s="1318"/>
      <c r="G94" s="1316">
        <v>0</v>
      </c>
      <c r="H94" s="1319">
        <v>0</v>
      </c>
      <c r="I94" s="1318"/>
      <c r="J94" s="1316"/>
      <c r="K94" s="1319"/>
    </row>
    <row r="95" spans="1:11" ht="13.15" customHeight="1" x14ac:dyDescent="0.25">
      <c r="A95" s="744" t="s">
        <v>2341</v>
      </c>
      <c r="B95" s="55"/>
      <c r="C95" s="1316"/>
      <c r="D95" s="1316"/>
      <c r="E95" s="1317"/>
      <c r="F95" s="1318"/>
      <c r="G95" s="1316">
        <v>0</v>
      </c>
      <c r="H95" s="1319">
        <v>0</v>
      </c>
      <c r="I95" s="1318"/>
      <c r="J95" s="1316"/>
      <c r="K95" s="1319"/>
    </row>
    <row r="96" spans="1:11" ht="13.15" customHeight="1" x14ac:dyDescent="0.25">
      <c r="A96" s="744" t="s">
        <v>2342</v>
      </c>
      <c r="B96" s="55"/>
      <c r="C96" s="1316"/>
      <c r="D96" s="1316"/>
      <c r="E96" s="1317"/>
      <c r="F96" s="1318"/>
      <c r="G96" s="1316">
        <v>0</v>
      </c>
      <c r="H96" s="1319">
        <v>0</v>
      </c>
      <c r="I96" s="1318"/>
      <c r="J96" s="1316"/>
      <c r="K96" s="1319"/>
    </row>
    <row r="97" spans="1:11" ht="13.15" customHeight="1" x14ac:dyDescent="0.25">
      <c r="A97" s="744" t="s">
        <v>2275</v>
      </c>
      <c r="B97" s="55"/>
      <c r="C97" s="1316"/>
      <c r="D97" s="1316"/>
      <c r="E97" s="1317"/>
      <c r="F97" s="1318"/>
      <c r="G97" s="1316">
        <v>0</v>
      </c>
      <c r="H97" s="1319">
        <v>0</v>
      </c>
      <c r="I97" s="1318"/>
      <c r="J97" s="1316"/>
      <c r="K97" s="1319"/>
    </row>
    <row r="98" spans="1:11" ht="13.15" customHeight="1" x14ac:dyDescent="0.25">
      <c r="A98" s="63" t="s">
        <v>2343</v>
      </c>
      <c r="B98" s="55"/>
      <c r="C98" s="76">
        <f>SUM(C99:C101)</f>
        <v>0</v>
      </c>
      <c r="D98" s="76">
        <f t="shared" ref="D98:K98" si="12">SUM(D99:D101)</f>
        <v>0</v>
      </c>
      <c r="E98" s="332">
        <f t="shared" si="12"/>
        <v>0</v>
      </c>
      <c r="F98" s="79">
        <f t="shared" si="12"/>
        <v>149864.5</v>
      </c>
      <c r="G98" s="76">
        <f t="shared" si="12"/>
        <v>299729</v>
      </c>
      <c r="H98" s="333">
        <f t="shared" si="12"/>
        <v>299729</v>
      </c>
      <c r="I98" s="79">
        <f t="shared" si="12"/>
        <v>0</v>
      </c>
      <c r="J98" s="76">
        <f t="shared" si="12"/>
        <v>0</v>
      </c>
      <c r="K98" s="333">
        <f t="shared" si="12"/>
        <v>0</v>
      </c>
    </row>
    <row r="99" spans="1:11" ht="13.15" customHeight="1" x14ac:dyDescent="0.25">
      <c r="A99" s="744" t="s">
        <v>2344</v>
      </c>
      <c r="B99" s="55"/>
      <c r="C99" s="1316"/>
      <c r="D99" s="1316"/>
      <c r="E99" s="1317"/>
      <c r="F99" s="1318"/>
      <c r="G99" s="1316"/>
      <c r="H99" s="1319"/>
      <c r="I99" s="1318"/>
      <c r="J99" s="1316"/>
      <c r="K99" s="1319"/>
    </row>
    <row r="100" spans="1:11" ht="13.15" customHeight="1" x14ac:dyDescent="0.25">
      <c r="A100" s="744" t="s">
        <v>2345</v>
      </c>
      <c r="B100" s="55"/>
      <c r="C100" s="1316"/>
      <c r="D100" s="1316"/>
      <c r="E100" s="1317"/>
      <c r="F100" s="1318">
        <v>149864.5</v>
      </c>
      <c r="G100" s="1316">
        <v>299729</v>
      </c>
      <c r="H100" s="1319">
        <v>299729</v>
      </c>
      <c r="I100" s="1318"/>
      <c r="J100" s="1316"/>
      <c r="K100" s="1319"/>
    </row>
    <row r="101" spans="1:11" ht="13.15" customHeight="1" x14ac:dyDescent="0.25">
      <c r="A101" s="744" t="s">
        <v>2275</v>
      </c>
      <c r="B101" s="55"/>
      <c r="C101" s="1316"/>
      <c r="D101" s="1316"/>
      <c r="E101" s="1317"/>
      <c r="F101" s="1318"/>
      <c r="G101" s="1316"/>
      <c r="H101" s="1319"/>
      <c r="I101" s="1318"/>
      <c r="J101" s="1316"/>
      <c r="K101" s="1319"/>
    </row>
    <row r="102" spans="1:11" ht="4.9000000000000004" customHeight="1" x14ac:dyDescent="0.25">
      <c r="A102" s="74"/>
      <c r="B102" s="55"/>
      <c r="C102" s="76"/>
      <c r="D102" s="76"/>
      <c r="E102" s="75"/>
      <c r="F102" s="78"/>
      <c r="G102" s="76"/>
      <c r="H102" s="77"/>
      <c r="I102" s="78"/>
      <c r="J102" s="76"/>
      <c r="K102" s="77"/>
    </row>
    <row r="103" spans="1:11" ht="13.15" customHeight="1" x14ac:dyDescent="0.25">
      <c r="A103" s="54" t="s">
        <v>843</v>
      </c>
      <c r="B103" s="55"/>
      <c r="C103" s="76">
        <f>SUM(C104:C108)</f>
        <v>0</v>
      </c>
      <c r="D103" s="76">
        <f t="shared" ref="D103:K103" si="13">SUM(D104:D108)</f>
        <v>0</v>
      </c>
      <c r="E103" s="75">
        <f t="shared" si="13"/>
        <v>0</v>
      </c>
      <c r="F103" s="78">
        <f t="shared" si="13"/>
        <v>0</v>
      </c>
      <c r="G103" s="76">
        <f t="shared" si="13"/>
        <v>0</v>
      </c>
      <c r="H103" s="77">
        <f t="shared" si="13"/>
        <v>0</v>
      </c>
      <c r="I103" s="78">
        <f t="shared" si="13"/>
        <v>0</v>
      </c>
      <c r="J103" s="76">
        <f t="shared" si="13"/>
        <v>0</v>
      </c>
      <c r="K103" s="77">
        <f t="shared" si="13"/>
        <v>0</v>
      </c>
    </row>
    <row r="104" spans="1:11" ht="13.15" customHeight="1" x14ac:dyDescent="0.25">
      <c r="A104" s="63" t="s">
        <v>2346</v>
      </c>
      <c r="B104" s="55"/>
      <c r="C104" s="1316"/>
      <c r="D104" s="1316"/>
      <c r="E104" s="1317"/>
      <c r="F104" s="1318"/>
      <c r="G104" s="1316"/>
      <c r="H104" s="1319"/>
      <c r="I104" s="1318"/>
      <c r="J104" s="1316"/>
      <c r="K104" s="1319"/>
    </row>
    <row r="105" spans="1:11" ht="13.15" customHeight="1" x14ac:dyDescent="0.25">
      <c r="A105" s="63" t="s">
        <v>2347</v>
      </c>
      <c r="B105" s="55"/>
      <c r="C105" s="1316"/>
      <c r="D105" s="1316"/>
      <c r="E105" s="1317"/>
      <c r="F105" s="1318"/>
      <c r="G105" s="1316"/>
      <c r="H105" s="1319"/>
      <c r="I105" s="1318"/>
      <c r="J105" s="1316"/>
      <c r="K105" s="1319"/>
    </row>
    <row r="106" spans="1:11" ht="13.15" customHeight="1" x14ac:dyDescent="0.25">
      <c r="A106" s="63" t="s">
        <v>2348</v>
      </c>
      <c r="B106" s="55"/>
      <c r="C106" s="1316"/>
      <c r="D106" s="1316"/>
      <c r="E106" s="1317"/>
      <c r="F106" s="1318"/>
      <c r="G106" s="1316"/>
      <c r="H106" s="1319"/>
      <c r="I106" s="1318"/>
      <c r="J106" s="1316"/>
      <c r="K106" s="1319"/>
    </row>
    <row r="107" spans="1:11" ht="13.15" customHeight="1" x14ac:dyDescent="0.25">
      <c r="A107" s="63" t="s">
        <v>2349</v>
      </c>
      <c r="B107" s="55"/>
      <c r="C107" s="1316"/>
      <c r="D107" s="1316"/>
      <c r="E107" s="1317"/>
      <c r="F107" s="1318"/>
      <c r="G107" s="1316"/>
      <c r="H107" s="1319"/>
      <c r="I107" s="1318"/>
      <c r="J107" s="1316"/>
      <c r="K107" s="1319"/>
    </row>
    <row r="108" spans="1:11" ht="13.15" customHeight="1" x14ac:dyDescent="0.25">
      <c r="A108" s="63" t="s">
        <v>2350</v>
      </c>
      <c r="B108" s="55"/>
      <c r="C108" s="1316"/>
      <c r="D108" s="1316"/>
      <c r="E108" s="1317"/>
      <c r="F108" s="1318"/>
      <c r="G108" s="1316"/>
      <c r="H108" s="1319"/>
      <c r="I108" s="1318"/>
      <c r="J108" s="1316"/>
      <c r="K108" s="1319"/>
    </row>
    <row r="109" spans="1:11" ht="4.9000000000000004" customHeight="1" x14ac:dyDescent="0.25">
      <c r="A109" s="74"/>
      <c r="B109" s="55"/>
      <c r="C109" s="76"/>
      <c r="D109" s="76"/>
      <c r="E109" s="75"/>
      <c r="F109" s="78"/>
      <c r="G109" s="76"/>
      <c r="H109" s="77"/>
      <c r="I109" s="78"/>
      <c r="J109" s="76"/>
      <c r="K109" s="77"/>
    </row>
    <row r="110" spans="1:11" ht="13.15" customHeight="1" x14ac:dyDescent="0.25">
      <c r="A110" s="54" t="s">
        <v>844</v>
      </c>
      <c r="B110" s="55"/>
      <c r="C110" s="86">
        <f>+C111+C114</f>
        <v>0</v>
      </c>
      <c r="D110" s="86">
        <f t="shared" ref="D110:K110" si="14">+D111+D114</f>
        <v>0</v>
      </c>
      <c r="E110" s="85">
        <f t="shared" si="14"/>
        <v>0</v>
      </c>
      <c r="F110" s="88">
        <f t="shared" si="14"/>
        <v>0</v>
      </c>
      <c r="G110" s="86">
        <f t="shared" si="14"/>
        <v>0</v>
      </c>
      <c r="H110" s="87">
        <f t="shared" si="14"/>
        <v>0</v>
      </c>
      <c r="I110" s="88">
        <f t="shared" si="14"/>
        <v>0</v>
      </c>
      <c r="J110" s="86">
        <f t="shared" si="14"/>
        <v>0</v>
      </c>
      <c r="K110" s="87">
        <f t="shared" si="14"/>
        <v>0</v>
      </c>
    </row>
    <row r="111" spans="1:11" ht="13.15" customHeight="1" x14ac:dyDescent="0.25">
      <c r="A111" s="63" t="s">
        <v>2380</v>
      </c>
      <c r="B111" s="55"/>
      <c r="C111" s="185">
        <f t="shared" ref="C111:K111" si="15">SUM(C112:C113)</f>
        <v>0</v>
      </c>
      <c r="D111" s="185">
        <f t="shared" si="15"/>
        <v>0</v>
      </c>
      <c r="E111" s="759">
        <f t="shared" si="15"/>
        <v>0</v>
      </c>
      <c r="F111" s="217">
        <f t="shared" si="15"/>
        <v>0</v>
      </c>
      <c r="G111" s="185">
        <f t="shared" si="15"/>
        <v>0</v>
      </c>
      <c r="H111" s="699">
        <f t="shared" si="15"/>
        <v>0</v>
      </c>
      <c r="I111" s="217">
        <f t="shared" si="15"/>
        <v>0</v>
      </c>
      <c r="J111" s="185">
        <f t="shared" si="15"/>
        <v>0</v>
      </c>
      <c r="K111" s="699">
        <f t="shared" si="15"/>
        <v>0</v>
      </c>
    </row>
    <row r="112" spans="1:11" ht="13.15" customHeight="1" x14ac:dyDescent="0.25">
      <c r="A112" s="744" t="s">
        <v>2381</v>
      </c>
      <c r="B112" s="55"/>
      <c r="C112" s="1316"/>
      <c r="D112" s="1316"/>
      <c r="E112" s="1317"/>
      <c r="F112" s="1318"/>
      <c r="G112" s="1316"/>
      <c r="H112" s="1319"/>
      <c r="I112" s="1318"/>
      <c r="J112" s="1316"/>
      <c r="K112" s="1319"/>
    </row>
    <row r="113" spans="1:11" ht="13.15" customHeight="1" x14ac:dyDescent="0.25">
      <c r="A113" s="744" t="s">
        <v>2382</v>
      </c>
      <c r="B113" s="55"/>
      <c r="C113" s="1316"/>
      <c r="D113" s="1316"/>
      <c r="E113" s="1317"/>
      <c r="F113" s="1318"/>
      <c r="G113" s="1316"/>
      <c r="H113" s="1319"/>
      <c r="I113" s="1318"/>
      <c r="J113" s="1316"/>
      <c r="K113" s="1319"/>
    </row>
    <row r="114" spans="1:11" ht="13.15" customHeight="1" x14ac:dyDescent="0.25">
      <c r="A114" s="63" t="s">
        <v>2383</v>
      </c>
      <c r="B114" s="55"/>
      <c r="C114" s="76">
        <f>SUM(C115:C116)</f>
        <v>0</v>
      </c>
      <c r="D114" s="76">
        <f t="shared" ref="D114:K114" si="16">SUM(D115:D116)</f>
        <v>0</v>
      </c>
      <c r="E114" s="332">
        <f t="shared" si="16"/>
        <v>0</v>
      </c>
      <c r="F114" s="79">
        <f t="shared" si="16"/>
        <v>0</v>
      </c>
      <c r="G114" s="76">
        <f t="shared" si="16"/>
        <v>0</v>
      </c>
      <c r="H114" s="333">
        <f t="shared" si="16"/>
        <v>0</v>
      </c>
      <c r="I114" s="79">
        <f t="shared" si="16"/>
        <v>0</v>
      </c>
      <c r="J114" s="76">
        <f t="shared" si="16"/>
        <v>0</v>
      </c>
      <c r="K114" s="333">
        <f t="shared" si="16"/>
        <v>0</v>
      </c>
    </row>
    <row r="115" spans="1:11" ht="13.15" customHeight="1" x14ac:dyDescent="0.25">
      <c r="A115" s="744" t="s">
        <v>2381</v>
      </c>
      <c r="B115" s="55"/>
      <c r="C115" s="1316"/>
      <c r="D115" s="1316"/>
      <c r="E115" s="1317"/>
      <c r="F115" s="1318"/>
      <c r="G115" s="1316"/>
      <c r="H115" s="1319"/>
      <c r="I115" s="1318"/>
      <c r="J115" s="1316"/>
      <c r="K115" s="1319"/>
    </row>
    <row r="116" spans="1:11" ht="13.15" customHeight="1" x14ac:dyDescent="0.25">
      <c r="A116" s="744" t="s">
        <v>2382</v>
      </c>
      <c r="B116" s="55"/>
      <c r="C116" s="1316"/>
      <c r="D116" s="1316"/>
      <c r="E116" s="1317"/>
      <c r="F116" s="1318"/>
      <c r="G116" s="1316"/>
      <c r="H116" s="1319"/>
      <c r="I116" s="1318"/>
      <c r="J116" s="1316"/>
      <c r="K116" s="1319"/>
    </row>
    <row r="117" spans="1:11" ht="4.9000000000000004" customHeight="1" x14ac:dyDescent="0.25">
      <c r="A117" s="74"/>
      <c r="B117" s="55"/>
      <c r="C117" s="76"/>
      <c r="D117" s="76"/>
      <c r="E117" s="75"/>
      <c r="F117" s="78"/>
      <c r="G117" s="76"/>
      <c r="H117" s="77"/>
      <c r="I117" s="78"/>
      <c r="J117" s="76"/>
      <c r="K117" s="77"/>
    </row>
    <row r="118" spans="1:11" ht="13.15" customHeight="1" x14ac:dyDescent="0.25">
      <c r="A118" s="54" t="s">
        <v>845</v>
      </c>
      <c r="B118" s="55"/>
      <c r="C118" s="86">
        <f>+C119+C131</f>
        <v>0</v>
      </c>
      <c r="D118" s="86">
        <f t="shared" ref="D118:K118" si="17">+D119+D131</f>
        <v>2678724</v>
      </c>
      <c r="E118" s="85">
        <f t="shared" si="17"/>
        <v>0</v>
      </c>
      <c r="F118" s="88">
        <f t="shared" si="17"/>
        <v>1664887</v>
      </c>
      <c r="G118" s="86">
        <f t="shared" si="17"/>
        <v>3329774</v>
      </c>
      <c r="H118" s="87">
        <f t="shared" si="17"/>
        <v>3329774</v>
      </c>
      <c r="I118" s="88">
        <f t="shared" si="17"/>
        <v>0</v>
      </c>
      <c r="J118" s="86">
        <f t="shared" si="17"/>
        <v>0</v>
      </c>
      <c r="K118" s="87">
        <f t="shared" si="17"/>
        <v>0</v>
      </c>
    </row>
    <row r="119" spans="1:11" ht="13.15" customHeight="1" x14ac:dyDescent="0.25">
      <c r="A119" s="63" t="s">
        <v>2351</v>
      </c>
      <c r="B119" s="55"/>
      <c r="C119" s="185">
        <f>SUM(C120:C130)</f>
        <v>0</v>
      </c>
      <c r="D119" s="185">
        <f t="shared" ref="D119:K119" si="18">SUM(D120:D130)</f>
        <v>2678724</v>
      </c>
      <c r="E119" s="759">
        <f t="shared" si="18"/>
        <v>0</v>
      </c>
      <c r="F119" s="217">
        <f t="shared" si="18"/>
        <v>1664887</v>
      </c>
      <c r="G119" s="185">
        <f t="shared" si="18"/>
        <v>3329774</v>
      </c>
      <c r="H119" s="699">
        <f t="shared" si="18"/>
        <v>3329774</v>
      </c>
      <c r="I119" s="217">
        <f t="shared" si="18"/>
        <v>0</v>
      </c>
      <c r="J119" s="185">
        <f t="shared" si="18"/>
        <v>0</v>
      </c>
      <c r="K119" s="699">
        <f t="shared" si="18"/>
        <v>0</v>
      </c>
    </row>
    <row r="120" spans="1:11" ht="13.15" customHeight="1" x14ac:dyDescent="0.25">
      <c r="A120" s="744" t="s">
        <v>2352</v>
      </c>
      <c r="B120" s="55"/>
      <c r="C120" s="1316"/>
      <c r="D120" s="1316">
        <v>2678724</v>
      </c>
      <c r="E120" s="1317"/>
      <c r="F120" s="1318">
        <v>1664887</v>
      </c>
      <c r="G120" s="1316">
        <v>3329774</v>
      </c>
      <c r="H120" s="1319">
        <v>3329774</v>
      </c>
      <c r="I120" s="1318"/>
      <c r="J120" s="1316"/>
      <c r="K120" s="1319"/>
    </row>
    <row r="121" spans="1:11" ht="13.15" customHeight="1" x14ac:dyDescent="0.25">
      <c r="A121" s="744" t="s">
        <v>2353</v>
      </c>
      <c r="B121" s="55"/>
      <c r="C121" s="1316"/>
      <c r="D121" s="1316"/>
      <c r="E121" s="1317"/>
      <c r="F121" s="1318"/>
      <c r="G121" s="1316"/>
      <c r="H121" s="1319"/>
      <c r="I121" s="1318"/>
      <c r="J121" s="1316"/>
      <c r="K121" s="1319"/>
    </row>
    <row r="122" spans="1:11" ht="13.15" customHeight="1" x14ac:dyDescent="0.25">
      <c r="A122" s="744" t="s">
        <v>2354</v>
      </c>
      <c r="B122" s="55"/>
      <c r="C122" s="1316"/>
      <c r="D122" s="1316"/>
      <c r="E122" s="1317"/>
      <c r="F122" s="1318"/>
      <c r="G122" s="1316"/>
      <c r="H122" s="1319"/>
      <c r="I122" s="1318"/>
      <c r="J122" s="1316"/>
      <c r="K122" s="1319"/>
    </row>
    <row r="123" spans="1:11" ht="13.15" customHeight="1" x14ac:dyDescent="0.25">
      <c r="A123" s="744" t="s">
        <v>2355</v>
      </c>
      <c r="B123" s="55"/>
      <c r="C123" s="1316"/>
      <c r="D123" s="1316"/>
      <c r="E123" s="1317"/>
      <c r="F123" s="1318"/>
      <c r="G123" s="1316"/>
      <c r="H123" s="1319"/>
      <c r="I123" s="1318"/>
      <c r="J123" s="1316"/>
      <c r="K123" s="1319"/>
    </row>
    <row r="124" spans="1:11" ht="13.15" customHeight="1" x14ac:dyDescent="0.25">
      <c r="A124" s="744" t="s">
        <v>2356</v>
      </c>
      <c r="B124" s="55"/>
      <c r="C124" s="1316"/>
      <c r="D124" s="1316"/>
      <c r="E124" s="1317"/>
      <c r="F124" s="1318"/>
      <c r="G124" s="1316"/>
      <c r="H124" s="1319"/>
      <c r="I124" s="1318"/>
      <c r="J124" s="1316"/>
      <c r="K124" s="1319"/>
    </row>
    <row r="125" spans="1:11" ht="13.15" customHeight="1" x14ac:dyDescent="0.25">
      <c r="A125" s="744" t="s">
        <v>2357</v>
      </c>
      <c r="B125" s="55"/>
      <c r="C125" s="1316"/>
      <c r="D125" s="1316"/>
      <c r="E125" s="1317"/>
      <c r="F125" s="1318"/>
      <c r="G125" s="1316"/>
      <c r="H125" s="1319"/>
      <c r="I125" s="1318"/>
      <c r="J125" s="1316"/>
      <c r="K125" s="1319"/>
    </row>
    <row r="126" spans="1:11" ht="13.15" customHeight="1" x14ac:dyDescent="0.25">
      <c r="A126" s="744" t="s">
        <v>2358</v>
      </c>
      <c r="B126" s="55"/>
      <c r="C126" s="1316"/>
      <c r="D126" s="1316"/>
      <c r="E126" s="1317"/>
      <c r="F126" s="1318"/>
      <c r="G126" s="1316"/>
      <c r="H126" s="1319"/>
      <c r="I126" s="1318"/>
      <c r="J126" s="1316"/>
      <c r="K126" s="1319"/>
    </row>
    <row r="127" spans="1:11" ht="13.15" customHeight="1" x14ac:dyDescent="0.25">
      <c r="A127" s="744" t="s">
        <v>2359</v>
      </c>
      <c r="B127" s="55"/>
      <c r="C127" s="1316"/>
      <c r="D127" s="1316"/>
      <c r="E127" s="1317"/>
      <c r="F127" s="1318"/>
      <c r="G127" s="1316"/>
      <c r="H127" s="1319"/>
      <c r="I127" s="1318"/>
      <c r="J127" s="1316"/>
      <c r="K127" s="1319"/>
    </row>
    <row r="128" spans="1:11" ht="13.15" customHeight="1" x14ac:dyDescent="0.25">
      <c r="A128" s="744" t="s">
        <v>2360</v>
      </c>
      <c r="B128" s="55"/>
      <c r="C128" s="1316"/>
      <c r="D128" s="1316"/>
      <c r="E128" s="1317"/>
      <c r="F128" s="1318"/>
      <c r="G128" s="1316"/>
      <c r="H128" s="1319"/>
      <c r="I128" s="1318"/>
      <c r="J128" s="1316"/>
      <c r="K128" s="1319"/>
    </row>
    <row r="129" spans="1:11" ht="13.15" customHeight="1" x14ac:dyDescent="0.25">
      <c r="A129" s="744" t="s">
        <v>2361</v>
      </c>
      <c r="B129" s="55"/>
      <c r="C129" s="1316"/>
      <c r="D129" s="1316"/>
      <c r="E129" s="1317"/>
      <c r="F129" s="1318"/>
      <c r="G129" s="1316"/>
      <c r="H129" s="1319"/>
      <c r="I129" s="1318"/>
      <c r="J129" s="1316"/>
      <c r="K129" s="1319"/>
    </row>
    <row r="130" spans="1:11" ht="13.15" customHeight="1" x14ac:dyDescent="0.25">
      <c r="A130" s="744" t="s">
        <v>2275</v>
      </c>
      <c r="B130" s="55"/>
      <c r="C130" s="1316"/>
      <c r="D130" s="1316"/>
      <c r="E130" s="1317"/>
      <c r="F130" s="1318"/>
      <c r="G130" s="1316"/>
      <c r="H130" s="1319"/>
      <c r="I130" s="1318"/>
      <c r="J130" s="1316"/>
      <c r="K130" s="1319"/>
    </row>
    <row r="131" spans="1:11" ht="13.15" customHeight="1" x14ac:dyDescent="0.25">
      <c r="A131" s="63" t="s">
        <v>1513</v>
      </c>
      <c r="B131" s="55"/>
      <c r="C131" s="76">
        <f>SUM(C132:C134)</f>
        <v>0</v>
      </c>
      <c r="D131" s="76">
        <f t="shared" ref="D131:K131" si="19">SUM(D132:D134)</f>
        <v>0</v>
      </c>
      <c r="E131" s="332">
        <f t="shared" si="19"/>
        <v>0</v>
      </c>
      <c r="F131" s="79">
        <f t="shared" si="19"/>
        <v>0</v>
      </c>
      <c r="G131" s="76">
        <f t="shared" si="19"/>
        <v>0</v>
      </c>
      <c r="H131" s="333">
        <f t="shared" si="19"/>
        <v>0</v>
      </c>
      <c r="I131" s="79">
        <f t="shared" si="19"/>
        <v>0</v>
      </c>
      <c r="J131" s="76">
        <f t="shared" si="19"/>
        <v>0</v>
      </c>
      <c r="K131" s="333">
        <f t="shared" si="19"/>
        <v>0</v>
      </c>
    </row>
    <row r="132" spans="1:11" ht="13.15" customHeight="1" x14ac:dyDescent="0.25">
      <c r="A132" s="744" t="s">
        <v>2362</v>
      </c>
      <c r="B132" s="55"/>
      <c r="C132" s="1316"/>
      <c r="D132" s="1316"/>
      <c r="E132" s="1317"/>
      <c r="F132" s="1318"/>
      <c r="G132" s="1316"/>
      <c r="H132" s="1319"/>
      <c r="I132" s="1318"/>
      <c r="J132" s="1316"/>
      <c r="K132" s="1319"/>
    </row>
    <row r="133" spans="1:11" ht="13.15" customHeight="1" x14ac:dyDescent="0.25">
      <c r="A133" s="744" t="s">
        <v>2363</v>
      </c>
      <c r="B133" s="55"/>
      <c r="C133" s="1316"/>
      <c r="D133" s="1316"/>
      <c r="E133" s="1317"/>
      <c r="F133" s="1318"/>
      <c r="G133" s="1316"/>
      <c r="H133" s="1319"/>
      <c r="I133" s="1318"/>
      <c r="J133" s="1316"/>
      <c r="K133" s="1319"/>
    </row>
    <row r="134" spans="1:11" ht="13.15" customHeight="1" x14ac:dyDescent="0.25">
      <c r="A134" s="744" t="s">
        <v>2275</v>
      </c>
      <c r="B134" s="55"/>
      <c r="C134" s="1316"/>
      <c r="D134" s="1316"/>
      <c r="E134" s="1317"/>
      <c r="F134" s="1318"/>
      <c r="G134" s="1316"/>
      <c r="H134" s="1319"/>
      <c r="I134" s="1318"/>
      <c r="J134" s="1316"/>
      <c r="K134" s="1319"/>
    </row>
    <row r="135" spans="1:11" ht="4.9000000000000004" customHeight="1" x14ac:dyDescent="0.25">
      <c r="A135" s="525"/>
      <c r="B135" s="55"/>
      <c r="C135" s="76"/>
      <c r="D135" s="76"/>
      <c r="E135" s="75"/>
      <c r="F135" s="78"/>
      <c r="G135" s="76"/>
      <c r="H135" s="77"/>
      <c r="I135" s="78"/>
      <c r="J135" s="76"/>
      <c r="K135" s="77"/>
    </row>
    <row r="136" spans="1:11" ht="13.15" customHeight="1" x14ac:dyDescent="0.25">
      <c r="A136" s="54" t="s">
        <v>2364</v>
      </c>
      <c r="B136" s="55"/>
      <c r="C136" s="76">
        <f t="shared" ref="C136:K136" si="20">SUM(C137:C137)</f>
        <v>0</v>
      </c>
      <c r="D136" s="76">
        <f t="shared" si="20"/>
        <v>0</v>
      </c>
      <c r="E136" s="75">
        <f t="shared" si="20"/>
        <v>0</v>
      </c>
      <c r="F136" s="78">
        <f t="shared" si="20"/>
        <v>0</v>
      </c>
      <c r="G136" s="76">
        <f t="shared" si="20"/>
        <v>0</v>
      </c>
      <c r="H136" s="77">
        <f t="shared" si="20"/>
        <v>0</v>
      </c>
      <c r="I136" s="78">
        <f t="shared" si="20"/>
        <v>0</v>
      </c>
      <c r="J136" s="76">
        <f t="shared" si="20"/>
        <v>0</v>
      </c>
      <c r="K136" s="77">
        <f t="shared" si="20"/>
        <v>0</v>
      </c>
    </row>
    <row r="137" spans="1:11" ht="13.15" customHeight="1" x14ac:dyDescent="0.25">
      <c r="A137" s="63" t="s">
        <v>2364</v>
      </c>
      <c r="B137" s="55"/>
      <c r="C137" s="1316"/>
      <c r="D137" s="1316"/>
      <c r="E137" s="1317"/>
      <c r="F137" s="1318"/>
      <c r="G137" s="1316"/>
      <c r="H137" s="1319"/>
      <c r="I137" s="1318"/>
      <c r="J137" s="1316"/>
      <c r="K137" s="1319"/>
    </row>
    <row r="138" spans="1:11" ht="4.9000000000000004" customHeight="1" x14ac:dyDescent="0.25">
      <c r="A138" s="74"/>
      <c r="B138" s="55"/>
      <c r="C138" s="76"/>
      <c r="D138" s="76"/>
      <c r="E138" s="75"/>
      <c r="F138" s="78"/>
      <c r="G138" s="76"/>
      <c r="H138" s="77"/>
      <c r="I138" s="78"/>
      <c r="J138" s="76"/>
      <c r="K138" s="77"/>
    </row>
    <row r="139" spans="1:11" ht="13.15" customHeight="1" x14ac:dyDescent="0.25">
      <c r="A139" s="54" t="s">
        <v>2367</v>
      </c>
      <c r="B139" s="55"/>
      <c r="C139" s="76">
        <f>+C140+C141</f>
        <v>0</v>
      </c>
      <c r="D139" s="76">
        <f t="shared" ref="D139:K139" si="21">+D140+D141</f>
        <v>109701</v>
      </c>
      <c r="E139" s="75">
        <f t="shared" si="21"/>
        <v>0</v>
      </c>
      <c r="F139" s="78">
        <f t="shared" si="21"/>
        <v>0</v>
      </c>
      <c r="G139" s="76">
        <f t="shared" si="21"/>
        <v>0</v>
      </c>
      <c r="H139" s="77">
        <f t="shared" si="21"/>
        <v>0</v>
      </c>
      <c r="I139" s="78">
        <f t="shared" si="21"/>
        <v>0</v>
      </c>
      <c r="J139" s="76">
        <f t="shared" si="21"/>
        <v>0</v>
      </c>
      <c r="K139" s="77">
        <f t="shared" si="21"/>
        <v>0</v>
      </c>
    </row>
    <row r="140" spans="1:11" ht="13.15" customHeight="1" x14ac:dyDescent="0.25">
      <c r="A140" s="63" t="s">
        <v>2365</v>
      </c>
      <c r="B140" s="55"/>
      <c r="C140" s="1316"/>
      <c r="D140" s="1316"/>
      <c r="E140" s="1317"/>
      <c r="F140" s="1318"/>
      <c r="G140" s="1316"/>
      <c r="H140" s="1319"/>
      <c r="I140" s="1318"/>
      <c r="J140" s="1316"/>
      <c r="K140" s="1319"/>
    </row>
    <row r="141" spans="1:11" ht="13.15" customHeight="1" x14ac:dyDescent="0.25">
      <c r="A141" s="63" t="s">
        <v>2366</v>
      </c>
      <c r="B141" s="55"/>
      <c r="C141" s="76">
        <f>SUM(C142:C147)</f>
        <v>0</v>
      </c>
      <c r="D141" s="76">
        <f t="shared" ref="D141:K141" si="22">SUM(D142:D147)</f>
        <v>109701</v>
      </c>
      <c r="E141" s="332">
        <f t="shared" si="22"/>
        <v>0</v>
      </c>
      <c r="F141" s="79">
        <f t="shared" si="22"/>
        <v>0</v>
      </c>
      <c r="G141" s="76">
        <f t="shared" si="22"/>
        <v>0</v>
      </c>
      <c r="H141" s="333">
        <f t="shared" si="22"/>
        <v>0</v>
      </c>
      <c r="I141" s="79">
        <f t="shared" si="22"/>
        <v>0</v>
      </c>
      <c r="J141" s="76">
        <f t="shared" si="22"/>
        <v>0</v>
      </c>
      <c r="K141" s="333">
        <f t="shared" si="22"/>
        <v>0</v>
      </c>
    </row>
    <row r="142" spans="1:11" ht="13.15" customHeight="1" x14ac:dyDescent="0.25">
      <c r="A142" s="744" t="s">
        <v>2368</v>
      </c>
      <c r="B142" s="55"/>
      <c r="C142" s="1316"/>
      <c r="D142" s="1316"/>
      <c r="E142" s="1317"/>
      <c r="F142" s="1318"/>
      <c r="G142" s="1316"/>
      <c r="H142" s="1319"/>
      <c r="I142" s="1318"/>
      <c r="J142" s="1316"/>
      <c r="K142" s="1319"/>
    </row>
    <row r="143" spans="1:11" ht="13.15" customHeight="1" x14ac:dyDescent="0.25">
      <c r="A143" s="744" t="s">
        <v>2369</v>
      </c>
      <c r="B143" s="55"/>
      <c r="C143" s="1316"/>
      <c r="D143" s="1316"/>
      <c r="E143" s="1317"/>
      <c r="F143" s="1318"/>
      <c r="G143" s="1316"/>
      <c r="H143" s="1319"/>
      <c r="I143" s="1318"/>
      <c r="J143" s="1316"/>
      <c r="K143" s="1319"/>
    </row>
    <row r="144" spans="1:11" ht="13.15" customHeight="1" x14ac:dyDescent="0.25">
      <c r="A144" s="744" t="s">
        <v>2370</v>
      </c>
      <c r="B144" s="55"/>
      <c r="C144" s="1316"/>
      <c r="D144" s="1316"/>
      <c r="E144" s="1317"/>
      <c r="F144" s="1318"/>
      <c r="G144" s="1316"/>
      <c r="H144" s="1319"/>
      <c r="I144" s="1318"/>
      <c r="J144" s="1316"/>
      <c r="K144" s="1319"/>
    </row>
    <row r="145" spans="1:11" ht="13.15" customHeight="1" x14ac:dyDescent="0.25">
      <c r="A145" s="744" t="s">
        <v>2371</v>
      </c>
      <c r="B145" s="55"/>
      <c r="C145" s="1316"/>
      <c r="D145" s="1316">
        <v>109701</v>
      </c>
      <c r="E145" s="1317"/>
      <c r="F145" s="1318"/>
      <c r="G145" s="1316"/>
      <c r="H145" s="1319"/>
      <c r="I145" s="1318"/>
      <c r="J145" s="1316"/>
      <c r="K145" s="1319"/>
    </row>
    <row r="146" spans="1:11" ht="13.15" customHeight="1" x14ac:dyDescent="0.25">
      <c r="A146" s="744" t="s">
        <v>2372</v>
      </c>
      <c r="B146" s="55"/>
      <c r="C146" s="1316"/>
      <c r="D146" s="1316"/>
      <c r="E146" s="1317"/>
      <c r="F146" s="1318"/>
      <c r="G146" s="1316"/>
      <c r="H146" s="1319"/>
      <c r="I146" s="1318"/>
      <c r="J146" s="1316"/>
      <c r="K146" s="1319"/>
    </row>
    <row r="147" spans="1:11" ht="13.15" customHeight="1" x14ac:dyDescent="0.25">
      <c r="A147" s="744" t="s">
        <v>2373</v>
      </c>
      <c r="B147" s="55"/>
      <c r="C147" s="1316"/>
      <c r="D147" s="1316"/>
      <c r="E147" s="1317"/>
      <c r="F147" s="1318"/>
      <c r="G147" s="1316"/>
      <c r="H147" s="1319"/>
      <c r="I147" s="1318"/>
      <c r="J147" s="1316"/>
      <c r="K147" s="1319"/>
    </row>
    <row r="148" spans="1:11" ht="4.9000000000000004" customHeight="1" x14ac:dyDescent="0.25">
      <c r="A148" s="74"/>
      <c r="B148" s="55"/>
      <c r="C148" s="86"/>
      <c r="D148" s="86"/>
      <c r="E148" s="85"/>
      <c r="F148" s="88"/>
      <c r="G148" s="86"/>
      <c r="H148" s="87"/>
      <c r="I148" s="88"/>
      <c r="J148" s="86"/>
      <c r="K148" s="87"/>
    </row>
    <row r="149" spans="1:11" ht="13.15" customHeight="1" x14ac:dyDescent="0.25">
      <c r="A149" s="54" t="s">
        <v>2374</v>
      </c>
      <c r="B149" s="55"/>
      <c r="C149" s="76">
        <f t="shared" ref="C149:K149" si="23">SUM(C150:C150)</f>
        <v>0</v>
      </c>
      <c r="D149" s="76">
        <f t="shared" si="23"/>
        <v>0</v>
      </c>
      <c r="E149" s="75">
        <f t="shared" si="23"/>
        <v>0</v>
      </c>
      <c r="F149" s="78">
        <f t="shared" si="23"/>
        <v>179232.39600000001</v>
      </c>
      <c r="G149" s="76">
        <f t="shared" si="23"/>
        <v>179232.39600000001</v>
      </c>
      <c r="H149" s="77">
        <f t="shared" si="23"/>
        <v>179232.39600000001</v>
      </c>
      <c r="I149" s="78">
        <f t="shared" si="23"/>
        <v>0</v>
      </c>
      <c r="J149" s="76">
        <f t="shared" si="23"/>
        <v>0</v>
      </c>
      <c r="K149" s="77">
        <f t="shared" si="23"/>
        <v>0</v>
      </c>
    </row>
    <row r="150" spans="1:11" ht="13.15" customHeight="1" x14ac:dyDescent="0.25">
      <c r="A150" s="63" t="s">
        <v>2374</v>
      </c>
      <c r="B150" s="55"/>
      <c r="C150" s="1316"/>
      <c r="D150" s="1316"/>
      <c r="E150" s="1317"/>
      <c r="F150" s="1318">
        <v>179232.39600000001</v>
      </c>
      <c r="G150" s="1316">
        <v>179232.39600000001</v>
      </c>
      <c r="H150" s="1319">
        <v>179232.39600000001</v>
      </c>
      <c r="I150" s="1318"/>
      <c r="J150" s="1316"/>
      <c r="K150" s="1319"/>
    </row>
    <row r="151" spans="1:11" ht="4.9000000000000004" customHeight="1" x14ac:dyDescent="0.25">
      <c r="A151" s="74"/>
      <c r="B151" s="55"/>
      <c r="C151" s="76"/>
      <c r="D151" s="76"/>
      <c r="E151" s="75"/>
      <c r="F151" s="78"/>
      <c r="G151" s="76"/>
      <c r="H151" s="77"/>
      <c r="I151" s="78"/>
      <c r="J151" s="76"/>
      <c r="K151" s="77"/>
    </row>
    <row r="152" spans="1:11" ht="13.15" customHeight="1" x14ac:dyDescent="0.25">
      <c r="A152" s="54" t="s">
        <v>2375</v>
      </c>
      <c r="B152" s="55"/>
      <c r="C152" s="76">
        <f t="shared" ref="C152:K152" si="24">SUM(C153:C153)</f>
        <v>0</v>
      </c>
      <c r="D152" s="76">
        <f t="shared" si="24"/>
        <v>0</v>
      </c>
      <c r="E152" s="75">
        <f t="shared" si="24"/>
        <v>0</v>
      </c>
      <c r="F152" s="78">
        <f t="shared" si="24"/>
        <v>119121.61600000001</v>
      </c>
      <c r="G152" s="76">
        <f t="shared" si="24"/>
        <v>238243.23200000002</v>
      </c>
      <c r="H152" s="77">
        <f t="shared" si="24"/>
        <v>238243.23200000002</v>
      </c>
      <c r="I152" s="78">
        <f t="shared" si="24"/>
        <v>0</v>
      </c>
      <c r="J152" s="76">
        <f t="shared" si="24"/>
        <v>0</v>
      </c>
      <c r="K152" s="77">
        <f t="shared" si="24"/>
        <v>0</v>
      </c>
    </row>
    <row r="153" spans="1:11" ht="13.15" customHeight="1" x14ac:dyDescent="0.25">
      <c r="A153" s="63" t="s">
        <v>2375</v>
      </c>
      <c r="B153" s="55"/>
      <c r="C153" s="1316"/>
      <c r="D153" s="1316"/>
      <c r="E153" s="1317"/>
      <c r="F153" s="1318">
        <v>119121.61600000001</v>
      </c>
      <c r="G153" s="1316">
        <v>238243.23200000002</v>
      </c>
      <c r="H153" s="1319">
        <v>238243.23200000002</v>
      </c>
      <c r="I153" s="1318"/>
      <c r="J153" s="1316"/>
      <c r="K153" s="1319"/>
    </row>
    <row r="154" spans="1:11" ht="4.9000000000000004" customHeight="1" x14ac:dyDescent="0.25">
      <c r="A154" s="74"/>
      <c r="B154" s="55"/>
      <c r="C154" s="76"/>
      <c r="D154" s="76"/>
      <c r="E154" s="75"/>
      <c r="F154" s="78"/>
      <c r="G154" s="76"/>
      <c r="H154" s="77"/>
      <c r="I154" s="78"/>
      <c r="J154" s="76"/>
      <c r="K154" s="77"/>
    </row>
    <row r="155" spans="1:11" ht="13.15" customHeight="1" x14ac:dyDescent="0.25">
      <c r="A155" s="54" t="s">
        <v>2376</v>
      </c>
      <c r="B155" s="55"/>
      <c r="C155" s="76">
        <f t="shared" ref="C155:K155" si="25">SUM(C156:C156)</f>
        <v>0</v>
      </c>
      <c r="D155" s="76">
        <f t="shared" si="25"/>
        <v>4831509</v>
      </c>
      <c r="E155" s="75">
        <f t="shared" si="25"/>
        <v>0</v>
      </c>
      <c r="F155" s="78">
        <f t="shared" si="25"/>
        <v>1014500</v>
      </c>
      <c r="G155" s="76">
        <f t="shared" si="25"/>
        <v>835268</v>
      </c>
      <c r="H155" s="77">
        <f t="shared" si="25"/>
        <v>835268</v>
      </c>
      <c r="I155" s="78">
        <f t="shared" si="25"/>
        <v>0</v>
      </c>
      <c r="J155" s="76">
        <f t="shared" si="25"/>
        <v>0</v>
      </c>
      <c r="K155" s="77">
        <f t="shared" si="25"/>
        <v>0</v>
      </c>
    </row>
    <row r="156" spans="1:11" ht="13.15" customHeight="1" x14ac:dyDescent="0.25">
      <c r="A156" s="63" t="s">
        <v>2376</v>
      </c>
      <c r="B156" s="55"/>
      <c r="C156" s="1316"/>
      <c r="D156" s="1316">
        <f>4872829-41320</f>
        <v>4831509</v>
      </c>
      <c r="E156" s="1317"/>
      <c r="F156" s="1318">
        <v>1014500</v>
      </c>
      <c r="G156" s="1316">
        <v>835268</v>
      </c>
      <c r="H156" s="1319">
        <v>835268</v>
      </c>
      <c r="I156" s="1318"/>
      <c r="J156" s="1316"/>
      <c r="K156" s="1319"/>
    </row>
    <row r="157" spans="1:11" ht="4.9000000000000004" customHeight="1" x14ac:dyDescent="0.25">
      <c r="A157" s="74"/>
      <c r="B157" s="55"/>
      <c r="C157" s="76"/>
      <c r="D157" s="76"/>
      <c r="E157" s="75"/>
      <c r="F157" s="78"/>
      <c r="G157" s="76"/>
      <c r="H157" s="77"/>
      <c r="I157" s="78"/>
      <c r="J157" s="76"/>
      <c r="K157" s="77"/>
    </row>
    <row r="158" spans="1:11" ht="13.15" customHeight="1" x14ac:dyDescent="0.25">
      <c r="A158" s="54" t="s">
        <v>2377</v>
      </c>
      <c r="B158" s="55"/>
      <c r="C158" s="76">
        <f t="shared" ref="C158:K158" si="26">SUM(C159:C159)</f>
        <v>0</v>
      </c>
      <c r="D158" s="76">
        <f t="shared" si="26"/>
        <v>0</v>
      </c>
      <c r="E158" s="75">
        <f t="shared" si="26"/>
        <v>0</v>
      </c>
      <c r="F158" s="78">
        <f t="shared" si="26"/>
        <v>0</v>
      </c>
      <c r="G158" s="76">
        <f t="shared" si="26"/>
        <v>0</v>
      </c>
      <c r="H158" s="77">
        <f t="shared" si="26"/>
        <v>0</v>
      </c>
      <c r="I158" s="78">
        <f t="shared" si="26"/>
        <v>0</v>
      </c>
      <c r="J158" s="76">
        <f t="shared" si="26"/>
        <v>0</v>
      </c>
      <c r="K158" s="77">
        <f t="shared" si="26"/>
        <v>0</v>
      </c>
    </row>
    <row r="159" spans="1:11" ht="13.15" customHeight="1" x14ac:dyDescent="0.25">
      <c r="A159" s="63" t="s">
        <v>2377</v>
      </c>
      <c r="B159" s="55"/>
      <c r="C159" s="1316"/>
      <c r="D159" s="1316"/>
      <c r="E159" s="1317"/>
      <c r="F159" s="1318"/>
      <c r="G159" s="1316"/>
      <c r="H159" s="1319"/>
      <c r="I159" s="1318"/>
      <c r="J159" s="1316"/>
      <c r="K159" s="1319"/>
    </row>
    <row r="160" spans="1:11" ht="4.9000000000000004" customHeight="1" x14ac:dyDescent="0.25">
      <c r="A160" s="74"/>
      <c r="B160" s="55"/>
      <c r="C160" s="76"/>
      <c r="D160" s="76"/>
      <c r="E160" s="75"/>
      <c r="F160" s="78"/>
      <c r="G160" s="76"/>
      <c r="H160" s="77"/>
      <c r="I160" s="78"/>
      <c r="J160" s="76"/>
      <c r="K160" s="77"/>
    </row>
    <row r="161" spans="1:12" ht="13.15" customHeight="1" x14ac:dyDescent="0.25">
      <c r="A161" s="54" t="s">
        <v>2514</v>
      </c>
      <c r="B161" s="55"/>
      <c r="C161" s="76">
        <f t="shared" ref="C161:K161" si="27">SUM(C162:C162)</f>
        <v>0</v>
      </c>
      <c r="D161" s="76">
        <f t="shared" si="27"/>
        <v>0</v>
      </c>
      <c r="E161" s="75">
        <f t="shared" si="27"/>
        <v>0</v>
      </c>
      <c r="F161" s="78">
        <f t="shared" si="27"/>
        <v>0</v>
      </c>
      <c r="G161" s="76">
        <f t="shared" si="27"/>
        <v>0</v>
      </c>
      <c r="H161" s="77">
        <f t="shared" si="27"/>
        <v>0</v>
      </c>
      <c r="I161" s="78">
        <f t="shared" si="27"/>
        <v>0</v>
      </c>
      <c r="J161" s="76">
        <f t="shared" si="27"/>
        <v>0</v>
      </c>
      <c r="K161" s="77">
        <f t="shared" si="27"/>
        <v>0</v>
      </c>
    </row>
    <row r="162" spans="1:12" ht="13.15" customHeight="1" x14ac:dyDescent="0.25">
      <c r="A162" s="63" t="s">
        <v>2514</v>
      </c>
      <c r="B162" s="55"/>
      <c r="C162" s="1316"/>
      <c r="D162" s="1316"/>
      <c r="E162" s="1317"/>
      <c r="F162" s="1318"/>
      <c r="G162" s="1316"/>
      <c r="H162" s="1319"/>
      <c r="I162" s="1318"/>
      <c r="J162" s="1316"/>
      <c r="K162" s="1319"/>
    </row>
    <row r="163" spans="1:12" ht="4.9000000000000004" customHeight="1" x14ac:dyDescent="0.25">
      <c r="A163" s="74"/>
      <c r="B163" s="55"/>
      <c r="C163" s="76"/>
      <c r="D163" s="76"/>
      <c r="E163" s="75"/>
      <c r="F163" s="78"/>
      <c r="G163" s="76"/>
      <c r="H163" s="77"/>
      <c r="I163" s="78"/>
      <c r="J163" s="76"/>
      <c r="K163" s="77"/>
    </row>
    <row r="164" spans="1:12" ht="13.15" customHeight="1" x14ac:dyDescent="0.25">
      <c r="A164" s="54" t="s">
        <v>2378</v>
      </c>
      <c r="B164" s="55"/>
      <c r="C164" s="76">
        <f t="shared" ref="C164:K164" si="28">SUM(C165:C165)</f>
        <v>0</v>
      </c>
      <c r="D164" s="76">
        <f t="shared" si="28"/>
        <v>0</v>
      </c>
      <c r="E164" s="75">
        <f t="shared" si="28"/>
        <v>0</v>
      </c>
      <c r="F164" s="78">
        <f t="shared" si="28"/>
        <v>0</v>
      </c>
      <c r="G164" s="76">
        <f t="shared" si="28"/>
        <v>0</v>
      </c>
      <c r="H164" s="77">
        <f t="shared" si="28"/>
        <v>0</v>
      </c>
      <c r="I164" s="78">
        <f t="shared" si="28"/>
        <v>0</v>
      </c>
      <c r="J164" s="76">
        <f t="shared" si="28"/>
        <v>0</v>
      </c>
      <c r="K164" s="77">
        <f t="shared" si="28"/>
        <v>0</v>
      </c>
    </row>
    <row r="165" spans="1:12" ht="13.15" customHeight="1" x14ac:dyDescent="0.25">
      <c r="A165" s="63" t="s">
        <v>2378</v>
      </c>
      <c r="B165" s="55"/>
      <c r="C165" s="1316"/>
      <c r="D165" s="1316"/>
      <c r="E165" s="1317"/>
      <c r="F165" s="1318"/>
      <c r="G165" s="1316"/>
      <c r="H165" s="1319"/>
      <c r="I165" s="1318"/>
      <c r="J165" s="1316"/>
      <c r="K165" s="1319"/>
    </row>
    <row r="166" spans="1:12" ht="4.9000000000000004" customHeight="1" x14ac:dyDescent="0.25">
      <c r="A166" s="74"/>
      <c r="B166" s="55"/>
      <c r="C166" s="76"/>
      <c r="D166" s="76"/>
      <c r="E166" s="75"/>
      <c r="F166" s="78"/>
      <c r="G166" s="76"/>
      <c r="H166" s="77"/>
      <c r="I166" s="78"/>
      <c r="J166" s="76"/>
      <c r="K166" s="77"/>
    </row>
    <row r="167" spans="1:12" ht="13.15" customHeight="1" x14ac:dyDescent="0.25">
      <c r="A167" s="92" t="s">
        <v>1819</v>
      </c>
      <c r="B167" s="93">
        <v>1</v>
      </c>
      <c r="C167" s="95">
        <f>C6+C74+C103+C110+C118+C136+C139+C149+C152+C155+C158+C161+C164</f>
        <v>0</v>
      </c>
      <c r="D167" s="95">
        <f t="shared" ref="D167:K167" si="29">D6+D74+D103+D110+D118+D136+D139+D149+D152+D155+D158+D161+D164</f>
        <v>65115683</v>
      </c>
      <c r="E167" s="94">
        <f t="shared" si="29"/>
        <v>62710848</v>
      </c>
      <c r="F167" s="97">
        <f t="shared" si="29"/>
        <v>35452741.871999994</v>
      </c>
      <c r="G167" s="95">
        <f t="shared" si="29"/>
        <v>65848561.987999998</v>
      </c>
      <c r="H167" s="96">
        <f t="shared" si="29"/>
        <v>65848561.987999998</v>
      </c>
      <c r="I167" s="97">
        <f t="shared" si="29"/>
        <v>65848563</v>
      </c>
      <c r="J167" s="95">
        <f t="shared" si="29"/>
        <v>65848563.600000001</v>
      </c>
      <c r="K167" s="96">
        <f t="shared" si="29"/>
        <v>69799477.415999994</v>
      </c>
    </row>
    <row r="169" spans="1:12" s="464" customFormat="1" x14ac:dyDescent="0.25">
      <c r="A169" s="101" t="str">
        <f>head27a</f>
        <v>References</v>
      </c>
      <c r="B169" s="645"/>
      <c r="C169" s="647"/>
      <c r="D169" s="647"/>
      <c r="E169" s="647"/>
      <c r="F169" s="647"/>
      <c r="G169" s="647"/>
      <c r="H169" s="647"/>
      <c r="I169" s="647"/>
      <c r="J169" s="647"/>
      <c r="K169" s="647"/>
      <c r="L169" s="770"/>
    </row>
    <row r="170" spans="1:12" s="464" customFormat="1" ht="11.25" customHeight="1" x14ac:dyDescent="0.25">
      <c r="A170" s="132" t="s">
        <v>1982</v>
      </c>
      <c r="B170" s="645"/>
      <c r="C170" s="648"/>
      <c r="D170" s="648"/>
      <c r="E170" s="647"/>
      <c r="F170" s="647"/>
      <c r="G170" s="647"/>
      <c r="H170" s="647"/>
      <c r="I170" s="647"/>
      <c r="J170" s="647"/>
      <c r="K170" s="647"/>
    </row>
    <row r="171" spans="1:12" s="464" customFormat="1" ht="11.25" customHeight="1" x14ac:dyDescent="0.25">
      <c r="A171" s="646"/>
      <c r="B171" s="645"/>
      <c r="C171" s="648"/>
      <c r="D171" s="648"/>
      <c r="E171" s="647"/>
      <c r="F171" s="647"/>
      <c r="G171" s="647"/>
      <c r="H171" s="647"/>
      <c r="I171" s="647"/>
      <c r="J171" s="647"/>
      <c r="K171" s="647"/>
    </row>
    <row r="172" spans="1:12" ht="11.25" customHeight="1" x14ac:dyDescent="0.25">
      <c r="C172" s="103"/>
      <c r="D172" s="103"/>
      <c r="E172" s="104"/>
      <c r="F172" s="104"/>
      <c r="G172" s="104"/>
      <c r="H172" s="104"/>
      <c r="I172" s="104"/>
      <c r="J172" s="104"/>
      <c r="K172" s="104"/>
    </row>
    <row r="173" spans="1:12" ht="11.25" customHeight="1" x14ac:dyDescent="0.25">
      <c r="A173" s="133" t="s">
        <v>477</v>
      </c>
      <c r="B173" s="107"/>
      <c r="C173" s="113">
        <f>C$167-'A4-FinPerf RE'!C$27</f>
        <v>0</v>
      </c>
      <c r="D173" s="113">
        <f>D$167-'A4-FinPerf RE'!D$27</f>
        <v>0</v>
      </c>
      <c r="E173" s="113">
        <f>E$167-'A4-FinPerf RE'!E$27</f>
        <v>0</v>
      </c>
      <c r="F173" s="113">
        <f>F$167-'A4-FinPerf RE'!F$27</f>
        <v>-0.5000000074505806</v>
      </c>
      <c r="G173" s="113">
        <f>G$167-'A4-FinPerf RE'!G$27</f>
        <v>-1.0120000019669533</v>
      </c>
      <c r="H173" s="113">
        <f>H$167-'A4-FinPerf RE'!H$27</f>
        <v>-1.0120000019669533</v>
      </c>
      <c r="I173" s="113">
        <f>I$167-'A4-FinPerf RE'!I$27</f>
        <v>0</v>
      </c>
      <c r="J173" s="113">
        <f>J$167-'A4-FinPerf RE'!J$27</f>
        <v>0</v>
      </c>
      <c r="K173" s="113">
        <f>K$167-'A4-FinPerf RE'!K$27</f>
        <v>0</v>
      </c>
    </row>
  </sheetData>
  <mergeCells count="2">
    <mergeCell ref="F2:H2"/>
    <mergeCell ref="I2:K2"/>
  </mergeCells>
  <pageMargins left="0.75" right="0.75" top="1" bottom="1" header="0.5" footer="0.5"/>
  <pageSetup scale="60" orientation="portrait"/>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7"/>
  <dimension ref="A1:L208"/>
  <sheetViews>
    <sheetView showGridLines="0" zoomScaleNormal="100" workbookViewId="0">
      <pane xSplit="2" ySplit="3" topLeftCell="C147" activePane="bottomRight" state="frozen"/>
      <selection pane="topRight"/>
      <selection pane="bottomLeft"/>
      <selection pane="bottomRight" activeCell="I153" sqref="I153"/>
    </sheetView>
  </sheetViews>
  <sheetFormatPr defaultRowHeight="12.75" x14ac:dyDescent="0.25"/>
  <cols>
    <col min="1" max="1" width="34.7109375" style="25" customWidth="1"/>
    <col min="2" max="2" width="3" style="102" customWidth="1"/>
    <col min="3" max="11" width="9.28515625" style="25" customWidth="1"/>
    <col min="12" max="12" width="9.7109375" style="25" customWidth="1"/>
    <col min="13" max="13" width="9.42578125" style="25" customWidth="1"/>
    <col min="14" max="14" width="9.7109375" style="25" customWidth="1"/>
    <col min="15" max="17" width="9.42578125" style="25" customWidth="1"/>
    <col min="18" max="18" width="9.7109375" style="25" customWidth="1"/>
    <col min="19" max="21" width="9.42578125" style="25" customWidth="1"/>
    <col min="22" max="23" width="9.7109375" style="25" customWidth="1"/>
    <col min="24" max="16384" width="9.140625" style="25"/>
  </cols>
  <sheetData>
    <row r="1" spans="1:12" ht="13.5" customHeight="1" x14ac:dyDescent="0.25">
      <c r="A1" s="23" t="str">
        <f>muni&amp;" - "&amp;TableA34e</f>
        <v>EC101 Dr Beyers Naude - Supporting Table SA34e Capital expenditure on the upgrading of existing assets by asset class</v>
      </c>
      <c r="B1" s="23"/>
      <c r="C1" s="23"/>
      <c r="D1" s="23"/>
      <c r="E1" s="23"/>
      <c r="F1" s="23"/>
      <c r="G1" s="23"/>
      <c r="H1" s="23"/>
      <c r="I1" s="23"/>
      <c r="J1" s="23"/>
      <c r="K1" s="23"/>
    </row>
    <row r="2" spans="1:12" ht="28.5" customHeight="1" x14ac:dyDescent="0.25">
      <c r="A2" s="614" t="str">
        <f>desc</f>
        <v>Description</v>
      </c>
      <c r="B2" s="220" t="str">
        <f>head27</f>
        <v>Ref</v>
      </c>
      <c r="C2" s="26" t="str">
        <f>head1b</f>
        <v>2015/16</v>
      </c>
      <c r="D2" s="475" t="str">
        <f>head1A</f>
        <v>2016/17</v>
      </c>
      <c r="E2" s="21" t="str">
        <f>Head1</f>
        <v>2017/18</v>
      </c>
      <c r="F2" s="1907" t="str">
        <f>Head2</f>
        <v>Current Year 2018/19</v>
      </c>
      <c r="G2" s="1908"/>
      <c r="H2" s="1912"/>
      <c r="I2" s="1904" t="str">
        <f>Head3</f>
        <v>2019/20 Medium Term Revenue &amp; Expenditure Framework</v>
      </c>
      <c r="J2" s="1905"/>
      <c r="K2" s="1906"/>
    </row>
    <row r="3" spans="1:12" ht="25.5" x14ac:dyDescent="0.25">
      <c r="A3" s="53" t="s">
        <v>573</v>
      </c>
      <c r="B3" s="615">
        <v>1</v>
      </c>
      <c r="C3" s="203" t="str">
        <f>Head5</f>
        <v>Audited Outcome</v>
      </c>
      <c r="D3" s="627" t="str">
        <f>Head5</f>
        <v>Audited Outcome</v>
      </c>
      <c r="E3" s="202"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2" ht="11.25" customHeight="1" x14ac:dyDescent="0.25">
      <c r="A4" s="539" t="s">
        <v>2390</v>
      </c>
      <c r="B4" s="136"/>
      <c r="C4" s="149"/>
      <c r="D4" s="149"/>
      <c r="E4" s="150"/>
      <c r="F4" s="151"/>
      <c r="G4" s="149"/>
      <c r="H4" s="152"/>
      <c r="I4" s="151"/>
      <c r="J4" s="149"/>
      <c r="K4" s="152"/>
    </row>
    <row r="5" spans="1:12" ht="4.9000000000000004" customHeight="1" x14ac:dyDescent="0.25">
      <c r="A5" s="54"/>
      <c r="B5" s="55"/>
      <c r="C5" s="153"/>
      <c r="D5" s="153"/>
      <c r="E5" s="154"/>
      <c r="F5" s="155"/>
      <c r="G5" s="153"/>
      <c r="H5" s="156"/>
      <c r="I5" s="155"/>
      <c r="J5" s="153"/>
      <c r="K5" s="156"/>
    </row>
    <row r="6" spans="1:12" ht="11.25" customHeight="1" x14ac:dyDescent="0.25">
      <c r="A6" s="54" t="s">
        <v>853</v>
      </c>
      <c r="B6" s="55"/>
      <c r="C6" s="86">
        <f>C7+C12+C16+C26+C37+C44+C52+C62+C68</f>
        <v>0</v>
      </c>
      <c r="D6" s="86">
        <f t="shared" ref="D6:K6" si="0">D7+D12+D16+D26+D37+D44+D52+D62+D68</f>
        <v>0</v>
      </c>
      <c r="E6" s="85">
        <f t="shared" si="0"/>
        <v>0</v>
      </c>
      <c r="F6" s="88">
        <f t="shared" si="0"/>
        <v>22494324</v>
      </c>
      <c r="G6" s="86">
        <f t="shared" si="0"/>
        <v>15278342</v>
      </c>
      <c r="H6" s="87">
        <f t="shared" si="0"/>
        <v>15278342</v>
      </c>
      <c r="I6" s="88">
        <f t="shared" si="0"/>
        <v>16340973</v>
      </c>
      <c r="J6" s="86">
        <f t="shared" si="0"/>
        <v>11922359</v>
      </c>
      <c r="K6" s="87">
        <f t="shared" si="0"/>
        <v>0</v>
      </c>
    </row>
    <row r="7" spans="1:12" s="877" customFormat="1" ht="13.5" x14ac:dyDescent="0.25">
      <c r="A7" s="63" t="s">
        <v>2272</v>
      </c>
      <c r="B7" s="55"/>
      <c r="C7" s="185">
        <f t="shared" ref="C7:K7" si="1">SUM(C8:C11)</f>
        <v>0</v>
      </c>
      <c r="D7" s="185">
        <f t="shared" si="1"/>
        <v>0</v>
      </c>
      <c r="E7" s="759">
        <f t="shared" si="1"/>
        <v>0</v>
      </c>
      <c r="F7" s="217">
        <f t="shared" si="1"/>
        <v>2624400</v>
      </c>
      <c r="G7" s="185">
        <f t="shared" si="1"/>
        <v>2624400</v>
      </c>
      <c r="H7" s="699">
        <f t="shared" si="1"/>
        <v>2624400</v>
      </c>
      <c r="I7" s="217">
        <f t="shared" si="1"/>
        <v>10300134</v>
      </c>
      <c r="J7" s="185">
        <f t="shared" si="1"/>
        <v>0</v>
      </c>
      <c r="K7" s="699">
        <f t="shared" si="1"/>
        <v>0</v>
      </c>
      <c r="L7" s="25"/>
    </row>
    <row r="8" spans="1:12" s="877" customFormat="1" ht="13.5" x14ac:dyDescent="0.25">
      <c r="A8" s="744" t="s">
        <v>638</v>
      </c>
      <c r="B8" s="55"/>
      <c r="C8" s="1316"/>
      <c r="D8" s="1316"/>
      <c r="E8" s="1317"/>
      <c r="F8" s="1318">
        <v>2624400</v>
      </c>
      <c r="G8" s="1316">
        <v>2624400</v>
      </c>
      <c r="H8" s="1319">
        <v>2624400</v>
      </c>
      <c r="I8" s="1318">
        <v>10300134</v>
      </c>
      <c r="J8" s="1316"/>
      <c r="K8" s="1319"/>
      <c r="L8" s="25"/>
    </row>
    <row r="9" spans="1:12" s="877" customFormat="1" ht="13.5" x14ac:dyDescent="0.25">
      <c r="A9" s="744" t="s">
        <v>2273</v>
      </c>
      <c r="B9" s="55"/>
      <c r="C9" s="1316"/>
      <c r="D9" s="1316"/>
      <c r="E9" s="1317"/>
      <c r="F9" s="1318"/>
      <c r="G9" s="1316"/>
      <c r="H9" s="1319"/>
      <c r="I9" s="1318"/>
      <c r="J9" s="1316"/>
      <c r="K9" s="1319"/>
      <c r="L9" s="888"/>
    </row>
    <row r="10" spans="1:12" s="877" customFormat="1" ht="13.5" x14ac:dyDescent="0.25">
      <c r="A10" s="744" t="s">
        <v>2274</v>
      </c>
      <c r="B10" s="55"/>
      <c r="C10" s="1316"/>
      <c r="D10" s="1316"/>
      <c r="E10" s="1317"/>
      <c r="F10" s="1318"/>
      <c r="G10" s="1316"/>
      <c r="H10" s="1319"/>
      <c r="I10" s="1318"/>
      <c r="J10" s="1316"/>
      <c r="K10" s="1319"/>
      <c r="L10" s="25"/>
    </row>
    <row r="11" spans="1:12" s="877" customFormat="1" ht="13.5" x14ac:dyDescent="0.25">
      <c r="A11" s="744" t="s">
        <v>2275</v>
      </c>
      <c r="B11" s="55"/>
      <c r="C11" s="1316"/>
      <c r="D11" s="1316"/>
      <c r="E11" s="1317"/>
      <c r="F11" s="1318"/>
      <c r="G11" s="1316"/>
      <c r="H11" s="1319"/>
      <c r="I11" s="1318"/>
      <c r="J11" s="1316"/>
      <c r="K11" s="1319"/>
      <c r="L11" s="888"/>
    </row>
    <row r="12" spans="1:12" s="877" customFormat="1" ht="13.5" x14ac:dyDescent="0.25">
      <c r="A12" s="63" t="s">
        <v>2276</v>
      </c>
      <c r="B12" s="55"/>
      <c r="C12" s="76">
        <f>SUM(C13:C15)</f>
        <v>0</v>
      </c>
      <c r="D12" s="76">
        <f t="shared" ref="D12:K12" si="2">SUM(D13:D15)</f>
        <v>0</v>
      </c>
      <c r="E12" s="332">
        <f t="shared" si="2"/>
        <v>0</v>
      </c>
      <c r="F12" s="79">
        <f t="shared" si="2"/>
        <v>2727675</v>
      </c>
      <c r="G12" s="76">
        <f t="shared" si="2"/>
        <v>2727675</v>
      </c>
      <c r="H12" s="333">
        <f t="shared" si="2"/>
        <v>2727675</v>
      </c>
      <c r="I12" s="79">
        <f t="shared" si="2"/>
        <v>0</v>
      </c>
      <c r="J12" s="76">
        <f t="shared" si="2"/>
        <v>0</v>
      </c>
      <c r="K12" s="333">
        <f t="shared" si="2"/>
        <v>0</v>
      </c>
      <c r="L12" s="888"/>
    </row>
    <row r="13" spans="1:12" s="877" customFormat="1" ht="13.5" x14ac:dyDescent="0.25">
      <c r="A13" s="744" t="s">
        <v>2277</v>
      </c>
      <c r="B13" s="55"/>
      <c r="C13" s="1316"/>
      <c r="D13" s="1316"/>
      <c r="E13" s="1317"/>
      <c r="F13" s="1318">
        <v>2727675</v>
      </c>
      <c r="G13" s="1316">
        <v>2727675</v>
      </c>
      <c r="H13" s="1319">
        <v>2727675</v>
      </c>
      <c r="I13" s="1318"/>
      <c r="J13" s="1316"/>
      <c r="K13" s="1319"/>
      <c r="L13" s="888"/>
    </row>
    <row r="14" spans="1:12" s="877" customFormat="1" ht="13.5" x14ac:dyDescent="0.25">
      <c r="A14" s="744" t="s">
        <v>2278</v>
      </c>
      <c r="B14" s="55"/>
      <c r="C14" s="1316"/>
      <c r="D14" s="1316"/>
      <c r="E14" s="1317"/>
      <c r="F14" s="1318"/>
      <c r="G14" s="1316"/>
      <c r="H14" s="1319"/>
      <c r="I14" s="1318"/>
      <c r="J14" s="1316"/>
      <c r="K14" s="1319"/>
      <c r="L14" s="888"/>
    </row>
    <row r="15" spans="1:12" s="877" customFormat="1" ht="13.5" x14ac:dyDescent="0.25">
      <c r="A15" s="744" t="s">
        <v>2279</v>
      </c>
      <c r="B15" s="55"/>
      <c r="C15" s="1316"/>
      <c r="D15" s="1316"/>
      <c r="E15" s="1317"/>
      <c r="F15" s="1318"/>
      <c r="G15" s="1316"/>
      <c r="H15" s="1319"/>
      <c r="I15" s="1318"/>
      <c r="J15" s="1316"/>
      <c r="K15" s="1319"/>
      <c r="L15" s="888"/>
    </row>
    <row r="16" spans="1:12" s="877" customFormat="1" ht="13.5" x14ac:dyDescent="0.25">
      <c r="A16" s="63" t="s">
        <v>2321</v>
      </c>
      <c r="B16" s="55"/>
      <c r="C16" s="76">
        <f t="shared" ref="C16:K16" si="3">SUM(C17:C25)</f>
        <v>0</v>
      </c>
      <c r="D16" s="76">
        <f t="shared" si="3"/>
        <v>0</v>
      </c>
      <c r="E16" s="332">
        <f t="shared" si="3"/>
        <v>0</v>
      </c>
      <c r="F16" s="79">
        <f t="shared" si="3"/>
        <v>4970400</v>
      </c>
      <c r="G16" s="76">
        <f t="shared" si="3"/>
        <v>4970400</v>
      </c>
      <c r="H16" s="333">
        <f t="shared" si="3"/>
        <v>4970400</v>
      </c>
      <c r="I16" s="79">
        <f t="shared" si="3"/>
        <v>0</v>
      </c>
      <c r="J16" s="76">
        <f t="shared" si="3"/>
        <v>5500000</v>
      </c>
      <c r="K16" s="333">
        <f t="shared" si="3"/>
        <v>0</v>
      </c>
      <c r="L16" s="888"/>
    </row>
    <row r="17" spans="1:12" s="877" customFormat="1" ht="13.5" x14ac:dyDescent="0.25">
      <c r="A17" s="744" t="s">
        <v>2280</v>
      </c>
      <c r="B17" s="55"/>
      <c r="C17" s="1316"/>
      <c r="D17" s="1316"/>
      <c r="E17" s="1317"/>
      <c r="F17" s="1318"/>
      <c r="G17" s="1316"/>
      <c r="H17" s="1319"/>
      <c r="I17" s="1318"/>
      <c r="J17" s="1316"/>
      <c r="K17" s="1319"/>
      <c r="L17" s="888"/>
    </row>
    <row r="18" spans="1:12" s="877" customFormat="1" ht="13.5" x14ac:dyDescent="0.25">
      <c r="A18" s="744" t="s">
        <v>2281</v>
      </c>
      <c r="B18" s="55"/>
      <c r="C18" s="1316"/>
      <c r="D18" s="1316"/>
      <c r="E18" s="1317"/>
      <c r="F18" s="1318"/>
      <c r="G18" s="1316"/>
      <c r="H18" s="1319"/>
      <c r="I18" s="1318"/>
      <c r="J18" s="1316"/>
      <c r="K18" s="1319"/>
      <c r="L18" s="888"/>
    </row>
    <row r="19" spans="1:12" s="877" customFormat="1" ht="13.5" x14ac:dyDescent="0.25">
      <c r="A19" s="744" t="s">
        <v>2282</v>
      </c>
      <c r="B19" s="55"/>
      <c r="C19" s="1316"/>
      <c r="D19" s="1316"/>
      <c r="E19" s="1317"/>
      <c r="F19" s="1318"/>
      <c r="G19" s="1316"/>
      <c r="H19" s="1319"/>
      <c r="I19" s="1318"/>
      <c r="J19" s="1316"/>
      <c r="K19" s="1319"/>
      <c r="L19" s="888"/>
    </row>
    <row r="20" spans="1:12" s="877" customFormat="1" ht="13.5" x14ac:dyDescent="0.25">
      <c r="A20" s="744" t="s">
        <v>2283</v>
      </c>
      <c r="B20" s="55"/>
      <c r="C20" s="1316"/>
      <c r="D20" s="1316"/>
      <c r="E20" s="1317"/>
      <c r="F20" s="1318"/>
      <c r="G20" s="1316"/>
      <c r="H20" s="1319"/>
      <c r="I20" s="1318"/>
      <c r="J20" s="1316"/>
      <c r="K20" s="1319"/>
      <c r="L20" s="888"/>
    </row>
    <row r="21" spans="1:12" s="877" customFormat="1" ht="13.5" x14ac:dyDescent="0.25">
      <c r="A21" s="744" t="s">
        <v>2284</v>
      </c>
      <c r="B21" s="55"/>
      <c r="C21" s="1316"/>
      <c r="D21" s="1316"/>
      <c r="E21" s="1317"/>
      <c r="F21" s="1318"/>
      <c r="G21" s="1316"/>
      <c r="H21" s="1319"/>
      <c r="I21" s="1318"/>
      <c r="J21" s="1316"/>
      <c r="K21" s="1319"/>
      <c r="L21" s="888"/>
    </row>
    <row r="22" spans="1:12" s="877" customFormat="1" ht="13.5" x14ac:dyDescent="0.25">
      <c r="A22" s="744" t="s">
        <v>2285</v>
      </c>
      <c r="B22" s="55"/>
      <c r="C22" s="1316"/>
      <c r="D22" s="1316"/>
      <c r="E22" s="1317"/>
      <c r="F22" s="1318"/>
      <c r="G22" s="1316"/>
      <c r="H22" s="1319"/>
      <c r="I22" s="1318"/>
      <c r="J22" s="1316"/>
      <c r="K22" s="1319"/>
      <c r="L22" s="888"/>
    </row>
    <row r="23" spans="1:12" s="877" customFormat="1" ht="13.5" x14ac:dyDescent="0.25">
      <c r="A23" s="744" t="s">
        <v>2286</v>
      </c>
      <c r="B23" s="55"/>
      <c r="C23" s="1316"/>
      <c r="D23" s="1316"/>
      <c r="E23" s="1317"/>
      <c r="F23" s="1318">
        <v>4500000</v>
      </c>
      <c r="G23" s="1316">
        <v>4500000</v>
      </c>
      <c r="H23" s="1319">
        <v>4500000</v>
      </c>
      <c r="I23" s="1318"/>
      <c r="J23" s="1316">
        <v>5500000</v>
      </c>
      <c r="K23" s="1319"/>
      <c r="L23" s="888"/>
    </row>
    <row r="24" spans="1:12" s="877" customFormat="1" ht="13.5" x14ac:dyDescent="0.25">
      <c r="A24" s="744" t="s">
        <v>2287</v>
      </c>
      <c r="B24" s="55"/>
      <c r="C24" s="1316"/>
      <c r="D24" s="1316"/>
      <c r="E24" s="1317"/>
      <c r="F24" s="1318">
        <v>470400</v>
      </c>
      <c r="G24" s="1316">
        <v>470400</v>
      </c>
      <c r="H24" s="1319">
        <v>470400</v>
      </c>
      <c r="I24" s="1318"/>
      <c r="J24" s="1316"/>
      <c r="K24" s="1319"/>
      <c r="L24" s="888"/>
    </row>
    <row r="25" spans="1:12" s="877" customFormat="1" ht="13.5" x14ac:dyDescent="0.25">
      <c r="A25" s="744" t="s">
        <v>2275</v>
      </c>
      <c r="B25" s="55"/>
      <c r="C25" s="1316"/>
      <c r="D25" s="1316"/>
      <c r="E25" s="1317"/>
      <c r="F25" s="1318"/>
      <c r="G25" s="1316"/>
      <c r="H25" s="1319"/>
      <c r="I25" s="1318"/>
      <c r="J25" s="1316"/>
      <c r="K25" s="1319"/>
      <c r="L25" s="888"/>
    </row>
    <row r="26" spans="1:12" s="877" customFormat="1" ht="13.5" x14ac:dyDescent="0.25">
      <c r="A26" s="63" t="s">
        <v>2322</v>
      </c>
      <c r="B26" s="55"/>
      <c r="C26" s="76">
        <f>SUM(C27:C36)</f>
        <v>0</v>
      </c>
      <c r="D26" s="76">
        <f t="shared" ref="D26:K26" si="4">SUM(D27:D36)</f>
        <v>0</v>
      </c>
      <c r="E26" s="332">
        <f t="shared" si="4"/>
        <v>0</v>
      </c>
      <c r="F26" s="79">
        <f t="shared" si="4"/>
        <v>9207849</v>
      </c>
      <c r="G26" s="76">
        <f t="shared" si="4"/>
        <v>4874332</v>
      </c>
      <c r="H26" s="333">
        <f t="shared" si="4"/>
        <v>4874332</v>
      </c>
      <c r="I26" s="79">
        <f t="shared" si="4"/>
        <v>6040839</v>
      </c>
      <c r="J26" s="76">
        <f t="shared" si="4"/>
        <v>0</v>
      </c>
      <c r="K26" s="333">
        <f t="shared" si="4"/>
        <v>0</v>
      </c>
      <c r="L26" s="888"/>
    </row>
    <row r="27" spans="1:12" s="877" customFormat="1" ht="13.5" x14ac:dyDescent="0.25">
      <c r="A27" s="744" t="s">
        <v>2288</v>
      </c>
      <c r="B27" s="55"/>
      <c r="C27" s="1316"/>
      <c r="D27" s="1316"/>
      <c r="E27" s="1317"/>
      <c r="F27" s="1318"/>
      <c r="G27" s="1316">
        <v>0</v>
      </c>
      <c r="H27" s="1319">
        <v>0</v>
      </c>
      <c r="I27" s="1318"/>
      <c r="J27" s="1316"/>
      <c r="K27" s="1319"/>
      <c r="L27" s="888"/>
    </row>
    <row r="28" spans="1:12" s="877" customFormat="1" ht="13.5" x14ac:dyDescent="0.25">
      <c r="A28" s="744" t="s">
        <v>2289</v>
      </c>
      <c r="B28" s="55"/>
      <c r="C28" s="1316"/>
      <c r="D28" s="1316"/>
      <c r="E28" s="1317"/>
      <c r="F28" s="1318">
        <v>4207849</v>
      </c>
      <c r="G28" s="1316">
        <v>4374858</v>
      </c>
      <c r="H28" s="1319">
        <v>4374858</v>
      </c>
      <c r="I28" s="1318">
        <v>6040839</v>
      </c>
      <c r="J28" s="1316"/>
      <c r="K28" s="1319"/>
      <c r="L28" s="888"/>
    </row>
    <row r="29" spans="1:12" s="877" customFormat="1" ht="13.5" x14ac:dyDescent="0.25">
      <c r="A29" s="744" t="s">
        <v>2290</v>
      </c>
      <c r="B29" s="55"/>
      <c r="C29" s="1316"/>
      <c r="D29" s="1316"/>
      <c r="E29" s="1317"/>
      <c r="F29" s="1318">
        <v>0</v>
      </c>
      <c r="G29" s="1316">
        <v>0</v>
      </c>
      <c r="H29" s="1319">
        <v>0</v>
      </c>
      <c r="I29" s="1318"/>
      <c r="J29" s="1316"/>
      <c r="K29" s="1319"/>
      <c r="L29" s="888"/>
    </row>
    <row r="30" spans="1:12" s="877" customFormat="1" ht="13.5" x14ac:dyDescent="0.25">
      <c r="A30" s="744" t="s">
        <v>2291</v>
      </c>
      <c r="B30" s="55"/>
      <c r="C30" s="1316"/>
      <c r="D30" s="1316"/>
      <c r="E30" s="1317"/>
      <c r="F30" s="1318"/>
      <c r="G30" s="1316">
        <v>0</v>
      </c>
      <c r="H30" s="1319">
        <v>0</v>
      </c>
      <c r="I30" s="1318"/>
      <c r="J30" s="1316"/>
      <c r="K30" s="1319"/>
      <c r="L30" s="888"/>
    </row>
    <row r="31" spans="1:12" s="877" customFormat="1" ht="13.5" x14ac:dyDescent="0.25">
      <c r="A31" s="744" t="s">
        <v>2292</v>
      </c>
      <c r="B31" s="55"/>
      <c r="C31" s="1316"/>
      <c r="D31" s="1316"/>
      <c r="E31" s="1317"/>
      <c r="F31" s="1318">
        <v>5000000</v>
      </c>
      <c r="G31" s="1316">
        <v>499474</v>
      </c>
      <c r="H31" s="1319">
        <v>499474</v>
      </c>
      <c r="I31" s="1318"/>
      <c r="J31" s="1316"/>
      <c r="K31" s="1319"/>
      <c r="L31" s="888"/>
    </row>
    <row r="32" spans="1:12" s="877" customFormat="1" ht="13.5" x14ac:dyDescent="0.25">
      <c r="A32" s="744" t="s">
        <v>2293</v>
      </c>
      <c r="B32" s="55"/>
      <c r="C32" s="1316"/>
      <c r="D32" s="1316"/>
      <c r="E32" s="1317"/>
      <c r="F32" s="1318"/>
      <c r="G32" s="1316">
        <v>0</v>
      </c>
      <c r="H32" s="1319">
        <v>0</v>
      </c>
      <c r="I32" s="1318"/>
      <c r="J32" s="1316"/>
      <c r="K32" s="1319"/>
      <c r="L32" s="888"/>
    </row>
    <row r="33" spans="1:12" s="877" customFormat="1" ht="13.5" x14ac:dyDescent="0.25">
      <c r="A33" s="744" t="s">
        <v>2294</v>
      </c>
      <c r="B33" s="55"/>
      <c r="C33" s="1316"/>
      <c r="D33" s="1316"/>
      <c r="E33" s="1317"/>
      <c r="F33" s="1318"/>
      <c r="G33" s="1316">
        <v>0</v>
      </c>
      <c r="H33" s="1319">
        <v>0</v>
      </c>
      <c r="I33" s="1318"/>
      <c r="J33" s="1316"/>
      <c r="K33" s="1319"/>
      <c r="L33" s="888"/>
    </row>
    <row r="34" spans="1:12" s="877" customFormat="1" ht="13.5" x14ac:dyDescent="0.25">
      <c r="A34" s="744" t="s">
        <v>2295</v>
      </c>
      <c r="B34" s="55"/>
      <c r="C34" s="1316"/>
      <c r="D34" s="1316"/>
      <c r="E34" s="1317"/>
      <c r="F34" s="1318"/>
      <c r="G34" s="1316">
        <v>0</v>
      </c>
      <c r="H34" s="1319">
        <v>0</v>
      </c>
      <c r="I34" s="1318"/>
      <c r="J34" s="1316"/>
      <c r="K34" s="1319"/>
      <c r="L34" s="888"/>
    </row>
    <row r="35" spans="1:12" s="877" customFormat="1" ht="13.5" x14ac:dyDescent="0.25">
      <c r="A35" s="744" t="s">
        <v>2296</v>
      </c>
      <c r="B35" s="55"/>
      <c r="C35" s="1316"/>
      <c r="D35" s="1316"/>
      <c r="E35" s="1317"/>
      <c r="F35" s="1318"/>
      <c r="G35" s="1316">
        <v>0</v>
      </c>
      <c r="H35" s="1319">
        <v>0</v>
      </c>
      <c r="I35" s="1318"/>
      <c r="J35" s="1316"/>
      <c r="K35" s="1319"/>
      <c r="L35" s="888"/>
    </row>
    <row r="36" spans="1:12" s="877" customFormat="1" ht="13.5" x14ac:dyDescent="0.25">
      <c r="A36" s="744" t="s">
        <v>2275</v>
      </c>
      <c r="B36" s="55"/>
      <c r="C36" s="1316"/>
      <c r="D36" s="1316"/>
      <c r="E36" s="1317"/>
      <c r="F36" s="1318"/>
      <c r="G36" s="1316">
        <v>0</v>
      </c>
      <c r="H36" s="1319">
        <v>0</v>
      </c>
      <c r="I36" s="1318"/>
      <c r="J36" s="1316"/>
      <c r="K36" s="1319"/>
      <c r="L36" s="888"/>
    </row>
    <row r="37" spans="1:12" s="877" customFormat="1" ht="13.5" x14ac:dyDescent="0.25">
      <c r="A37" s="63" t="s">
        <v>2323</v>
      </c>
      <c r="B37" s="55"/>
      <c r="C37" s="76">
        <f>SUM(C38:C43)</f>
        <v>0</v>
      </c>
      <c r="D37" s="76">
        <f t="shared" ref="D37:K37" si="5">SUM(D38:D43)</f>
        <v>0</v>
      </c>
      <c r="E37" s="332">
        <f t="shared" si="5"/>
        <v>0</v>
      </c>
      <c r="F37" s="79">
        <f t="shared" si="5"/>
        <v>0</v>
      </c>
      <c r="G37" s="76">
        <f t="shared" si="5"/>
        <v>0</v>
      </c>
      <c r="H37" s="333">
        <f t="shared" si="5"/>
        <v>0</v>
      </c>
      <c r="I37" s="79">
        <f t="shared" si="5"/>
        <v>0</v>
      </c>
      <c r="J37" s="76">
        <f t="shared" si="5"/>
        <v>0</v>
      </c>
      <c r="K37" s="333">
        <f t="shared" si="5"/>
        <v>0</v>
      </c>
      <c r="L37" s="888"/>
    </row>
    <row r="38" spans="1:12" s="877" customFormat="1" ht="13.5" x14ac:dyDescent="0.25">
      <c r="A38" s="744" t="s">
        <v>2297</v>
      </c>
      <c r="B38" s="55"/>
      <c r="C38" s="1316"/>
      <c r="D38" s="1316"/>
      <c r="E38" s="1317"/>
      <c r="F38" s="1318"/>
      <c r="G38" s="1316"/>
      <c r="H38" s="1319"/>
      <c r="I38" s="1318"/>
      <c r="J38" s="1316"/>
      <c r="K38" s="1319"/>
      <c r="L38" s="888"/>
    </row>
    <row r="39" spans="1:12" s="877" customFormat="1" ht="13.5" x14ac:dyDescent="0.25">
      <c r="A39" s="744" t="s">
        <v>25</v>
      </c>
      <c r="B39" s="55"/>
      <c r="C39" s="1316"/>
      <c r="D39" s="1316"/>
      <c r="E39" s="1317"/>
      <c r="F39" s="1318"/>
      <c r="G39" s="1316"/>
      <c r="H39" s="1319"/>
      <c r="I39" s="1318"/>
      <c r="J39" s="1316"/>
      <c r="K39" s="1319"/>
      <c r="L39" s="888"/>
    </row>
    <row r="40" spans="1:12" s="877" customFormat="1" ht="13.5" x14ac:dyDescent="0.25">
      <c r="A40" s="744" t="s">
        <v>2298</v>
      </c>
      <c r="B40" s="55"/>
      <c r="C40" s="1316"/>
      <c r="D40" s="1316"/>
      <c r="E40" s="1317"/>
      <c r="F40" s="1318"/>
      <c r="G40" s="1316"/>
      <c r="H40" s="1319"/>
      <c r="I40" s="1318"/>
      <c r="J40" s="1316"/>
      <c r="K40" s="1319"/>
      <c r="L40" s="888"/>
    </row>
    <row r="41" spans="1:12" s="877" customFormat="1" ht="13.5" x14ac:dyDescent="0.25">
      <c r="A41" s="744" t="s">
        <v>2299</v>
      </c>
      <c r="B41" s="55"/>
      <c r="C41" s="1316"/>
      <c r="D41" s="1316"/>
      <c r="E41" s="1317"/>
      <c r="F41" s="1318"/>
      <c r="G41" s="1316"/>
      <c r="H41" s="1319"/>
      <c r="I41" s="1318"/>
      <c r="J41" s="1316"/>
      <c r="K41" s="1319"/>
      <c r="L41" s="888"/>
    </row>
    <row r="42" spans="1:12" s="877" customFormat="1" ht="13.5" x14ac:dyDescent="0.25">
      <c r="A42" s="744" t="s">
        <v>2300</v>
      </c>
      <c r="B42" s="55"/>
      <c r="C42" s="1316"/>
      <c r="D42" s="1316"/>
      <c r="E42" s="1317"/>
      <c r="F42" s="1318"/>
      <c r="G42" s="1316"/>
      <c r="H42" s="1319"/>
      <c r="I42" s="1318"/>
      <c r="J42" s="1316"/>
      <c r="K42" s="1319"/>
      <c r="L42" s="888"/>
    </row>
    <row r="43" spans="1:12" s="877" customFormat="1" ht="13.5" x14ac:dyDescent="0.25">
      <c r="A43" s="744" t="s">
        <v>2275</v>
      </c>
      <c r="B43" s="55"/>
      <c r="C43" s="1316"/>
      <c r="D43" s="1316"/>
      <c r="E43" s="1317"/>
      <c r="F43" s="1318"/>
      <c r="G43" s="1316"/>
      <c r="H43" s="1319"/>
      <c r="I43" s="1318"/>
      <c r="J43" s="1316"/>
      <c r="K43" s="1319"/>
      <c r="L43" s="888"/>
    </row>
    <row r="44" spans="1:12" s="877" customFormat="1" ht="13.5" x14ac:dyDescent="0.25">
      <c r="A44" s="63" t="s">
        <v>2301</v>
      </c>
      <c r="B44" s="55"/>
      <c r="C44" s="76">
        <f>SUM(C45:C51)</f>
        <v>0</v>
      </c>
      <c r="D44" s="76">
        <f t="shared" ref="D44:K44" si="6">SUM(D45:D51)</f>
        <v>0</v>
      </c>
      <c r="E44" s="332">
        <f t="shared" si="6"/>
        <v>0</v>
      </c>
      <c r="F44" s="79">
        <f t="shared" si="6"/>
        <v>2964000</v>
      </c>
      <c r="G44" s="76">
        <f t="shared" si="6"/>
        <v>81535</v>
      </c>
      <c r="H44" s="333">
        <f t="shared" si="6"/>
        <v>81535</v>
      </c>
      <c r="I44" s="79">
        <f t="shared" si="6"/>
        <v>0</v>
      </c>
      <c r="J44" s="76">
        <f t="shared" si="6"/>
        <v>6422359</v>
      </c>
      <c r="K44" s="333">
        <f t="shared" si="6"/>
        <v>0</v>
      </c>
      <c r="L44" s="888"/>
    </row>
    <row r="45" spans="1:12" s="877" customFormat="1" ht="13.5" x14ac:dyDescent="0.25">
      <c r="A45" s="744" t="s">
        <v>2302</v>
      </c>
      <c r="B45" s="55"/>
      <c r="C45" s="1316"/>
      <c r="D45" s="1316"/>
      <c r="E45" s="1317"/>
      <c r="F45" s="1318"/>
      <c r="G45" s="1316"/>
      <c r="H45" s="1319"/>
      <c r="I45" s="1318"/>
      <c r="J45" s="1316"/>
      <c r="K45" s="1319"/>
      <c r="L45" s="888"/>
    </row>
    <row r="46" spans="1:12" s="877" customFormat="1" ht="13.5" x14ac:dyDescent="0.25">
      <c r="A46" s="744" t="s">
        <v>2303</v>
      </c>
      <c r="B46" s="55"/>
      <c r="C46" s="1316"/>
      <c r="D46" s="1316"/>
      <c r="E46" s="1317"/>
      <c r="F46" s="1318">
        <v>2964000</v>
      </c>
      <c r="G46" s="1316">
        <v>67535</v>
      </c>
      <c r="H46" s="1319">
        <v>67535</v>
      </c>
      <c r="I46" s="1318"/>
      <c r="J46" s="1316">
        <v>6422359</v>
      </c>
      <c r="K46" s="1319"/>
      <c r="L46" s="888"/>
    </row>
    <row r="47" spans="1:12" s="877" customFormat="1" ht="13.5" x14ac:dyDescent="0.25">
      <c r="A47" s="744" t="s">
        <v>2304</v>
      </c>
      <c r="B47" s="55"/>
      <c r="C47" s="1316"/>
      <c r="D47" s="1316"/>
      <c r="E47" s="1317"/>
      <c r="F47" s="1318"/>
      <c r="G47" s="1316">
        <v>14000</v>
      </c>
      <c r="H47" s="1319">
        <v>14000</v>
      </c>
      <c r="I47" s="1318"/>
      <c r="J47" s="1316"/>
      <c r="K47" s="1319"/>
      <c r="L47" s="888"/>
    </row>
    <row r="48" spans="1:12" s="877" customFormat="1" ht="13.5" x14ac:dyDescent="0.25">
      <c r="A48" s="744" t="s">
        <v>2305</v>
      </c>
      <c r="B48" s="55"/>
      <c r="C48" s="1316"/>
      <c r="D48" s="1316"/>
      <c r="E48" s="1317"/>
      <c r="F48" s="1318"/>
      <c r="G48" s="1316"/>
      <c r="H48" s="1319"/>
      <c r="I48" s="1318"/>
      <c r="J48" s="1316"/>
      <c r="K48" s="1319"/>
      <c r="L48" s="888"/>
    </row>
    <row r="49" spans="1:12" s="877" customFormat="1" ht="13.5" x14ac:dyDescent="0.25">
      <c r="A49" s="744" t="s">
        <v>2306</v>
      </c>
      <c r="B49" s="55"/>
      <c r="C49" s="1316"/>
      <c r="D49" s="1316"/>
      <c r="E49" s="1317"/>
      <c r="F49" s="1318"/>
      <c r="G49" s="1316"/>
      <c r="H49" s="1319"/>
      <c r="I49" s="1318"/>
      <c r="J49" s="1316"/>
      <c r="K49" s="1319"/>
      <c r="L49" s="888"/>
    </row>
    <row r="50" spans="1:12" s="877" customFormat="1" ht="13.5" x14ac:dyDescent="0.25">
      <c r="A50" s="744" t="s">
        <v>2307</v>
      </c>
      <c r="B50" s="55"/>
      <c r="C50" s="1316"/>
      <c r="D50" s="1316"/>
      <c r="E50" s="1317"/>
      <c r="F50" s="1318"/>
      <c r="G50" s="1316"/>
      <c r="H50" s="1319"/>
      <c r="I50" s="1318"/>
      <c r="J50" s="1316"/>
      <c r="K50" s="1319"/>
      <c r="L50" s="888"/>
    </row>
    <row r="51" spans="1:12" s="877" customFormat="1" ht="13.5" x14ac:dyDescent="0.25">
      <c r="A51" s="744" t="s">
        <v>2275</v>
      </c>
      <c r="B51" s="55"/>
      <c r="C51" s="1316"/>
      <c r="D51" s="1316"/>
      <c r="E51" s="1317"/>
      <c r="F51" s="1318"/>
      <c r="G51" s="1316"/>
      <c r="H51" s="1319"/>
      <c r="I51" s="1318"/>
      <c r="J51" s="1316"/>
      <c r="K51" s="1319"/>
      <c r="L51" s="888"/>
    </row>
    <row r="52" spans="1:12" s="877" customFormat="1" ht="13.5" x14ac:dyDescent="0.25">
      <c r="A52" s="63" t="s">
        <v>2317</v>
      </c>
      <c r="B52" s="55"/>
      <c r="C52" s="76">
        <f t="shared" ref="C52:K52" si="7">SUM(C53:C61)</f>
        <v>0</v>
      </c>
      <c r="D52" s="76">
        <f t="shared" si="7"/>
        <v>0</v>
      </c>
      <c r="E52" s="332">
        <f t="shared" si="7"/>
        <v>0</v>
      </c>
      <c r="F52" s="79">
        <f t="shared" si="7"/>
        <v>0</v>
      </c>
      <c r="G52" s="76">
        <f t="shared" si="7"/>
        <v>0</v>
      </c>
      <c r="H52" s="333">
        <f t="shared" si="7"/>
        <v>0</v>
      </c>
      <c r="I52" s="79">
        <f t="shared" si="7"/>
        <v>0</v>
      </c>
      <c r="J52" s="76">
        <f t="shared" si="7"/>
        <v>0</v>
      </c>
      <c r="K52" s="333">
        <f t="shared" si="7"/>
        <v>0</v>
      </c>
      <c r="L52" s="888"/>
    </row>
    <row r="53" spans="1:12" s="877" customFormat="1" ht="13.5" x14ac:dyDescent="0.25">
      <c r="A53" s="744" t="s">
        <v>2318</v>
      </c>
      <c r="B53" s="55"/>
      <c r="C53" s="1316"/>
      <c r="D53" s="1316"/>
      <c r="E53" s="1317"/>
      <c r="F53" s="1318"/>
      <c r="G53" s="1316"/>
      <c r="H53" s="1319"/>
      <c r="I53" s="1318"/>
      <c r="J53" s="1316"/>
      <c r="K53" s="1319"/>
      <c r="L53" s="888"/>
    </row>
    <row r="54" spans="1:12" s="877" customFormat="1" ht="13.5" x14ac:dyDescent="0.25">
      <c r="A54" s="744" t="s">
        <v>2319</v>
      </c>
      <c r="B54" s="55"/>
      <c r="C54" s="1316"/>
      <c r="D54" s="1316"/>
      <c r="E54" s="1317"/>
      <c r="F54" s="1318"/>
      <c r="G54" s="1316"/>
      <c r="H54" s="1319"/>
      <c r="I54" s="1318"/>
      <c r="J54" s="1316"/>
      <c r="K54" s="1319"/>
      <c r="L54" s="888"/>
    </row>
    <row r="55" spans="1:12" s="877" customFormat="1" ht="13.5" x14ac:dyDescent="0.25">
      <c r="A55" s="744" t="s">
        <v>2320</v>
      </c>
      <c r="B55" s="55"/>
      <c r="C55" s="1316"/>
      <c r="D55" s="1316"/>
      <c r="E55" s="1317"/>
      <c r="F55" s="1318"/>
      <c r="G55" s="1316"/>
      <c r="H55" s="1319"/>
      <c r="I55" s="1318"/>
      <c r="J55" s="1316"/>
      <c r="K55" s="1319"/>
      <c r="L55" s="888"/>
    </row>
    <row r="56" spans="1:12" s="877" customFormat="1" ht="13.5" x14ac:dyDescent="0.25">
      <c r="A56" s="744" t="s">
        <v>2277</v>
      </c>
      <c r="B56" s="55"/>
      <c r="C56" s="1316"/>
      <c r="D56" s="1316"/>
      <c r="E56" s="1317"/>
      <c r="F56" s="1318"/>
      <c r="G56" s="1316"/>
      <c r="H56" s="1319"/>
      <c r="I56" s="1318"/>
      <c r="J56" s="1316"/>
      <c r="K56" s="1319"/>
      <c r="L56" s="888"/>
    </row>
    <row r="57" spans="1:12" s="877" customFormat="1" ht="13.5" x14ac:dyDescent="0.25">
      <c r="A57" s="744" t="s">
        <v>2278</v>
      </c>
      <c r="B57" s="55"/>
      <c r="C57" s="1316"/>
      <c r="D57" s="1316"/>
      <c r="E57" s="1317"/>
      <c r="F57" s="1318"/>
      <c r="G57" s="1316"/>
      <c r="H57" s="1319"/>
      <c r="I57" s="1318"/>
      <c r="J57" s="1316"/>
      <c r="K57" s="1319"/>
      <c r="L57" s="888"/>
    </row>
    <row r="58" spans="1:12" s="877" customFormat="1" ht="13.5" x14ac:dyDescent="0.25">
      <c r="A58" s="744" t="s">
        <v>2279</v>
      </c>
      <c r="B58" s="55"/>
      <c r="C58" s="1316"/>
      <c r="D58" s="1316"/>
      <c r="E58" s="1317"/>
      <c r="F58" s="1318"/>
      <c r="G58" s="1316"/>
      <c r="H58" s="1319"/>
      <c r="I58" s="1318"/>
      <c r="J58" s="1316"/>
      <c r="K58" s="1319"/>
      <c r="L58" s="888"/>
    </row>
    <row r="59" spans="1:12" s="877" customFormat="1" ht="13.5" x14ac:dyDescent="0.25">
      <c r="A59" s="744" t="s">
        <v>2284</v>
      </c>
      <c r="B59" s="55"/>
      <c r="C59" s="1316"/>
      <c r="D59" s="1316"/>
      <c r="E59" s="1317"/>
      <c r="F59" s="1318"/>
      <c r="G59" s="1316"/>
      <c r="H59" s="1319"/>
      <c r="I59" s="1318"/>
      <c r="J59" s="1316"/>
      <c r="K59" s="1319"/>
      <c r="L59" s="888"/>
    </row>
    <row r="60" spans="1:12" s="877" customFormat="1" ht="13.5" x14ac:dyDescent="0.25">
      <c r="A60" s="744" t="s">
        <v>2287</v>
      </c>
      <c r="B60" s="55"/>
      <c r="C60" s="1316"/>
      <c r="D60" s="1316"/>
      <c r="E60" s="1317"/>
      <c r="F60" s="1318"/>
      <c r="G60" s="1316"/>
      <c r="H60" s="1319"/>
      <c r="I60" s="1318"/>
      <c r="J60" s="1316"/>
      <c r="K60" s="1319"/>
      <c r="L60" s="888"/>
    </row>
    <row r="61" spans="1:12" s="877" customFormat="1" ht="13.5" x14ac:dyDescent="0.25">
      <c r="A61" s="744" t="s">
        <v>2275</v>
      </c>
      <c r="B61" s="55"/>
      <c r="C61" s="1316"/>
      <c r="D61" s="1316"/>
      <c r="E61" s="1317"/>
      <c r="F61" s="1318"/>
      <c r="G61" s="1316"/>
      <c r="H61" s="1319"/>
      <c r="I61" s="1318"/>
      <c r="J61" s="1316"/>
      <c r="K61" s="1319"/>
      <c r="L61" s="888"/>
    </row>
    <row r="62" spans="1:12" s="877" customFormat="1" ht="13.5" x14ac:dyDescent="0.25">
      <c r="A62" s="63" t="s">
        <v>2312</v>
      </c>
      <c r="B62" s="55"/>
      <c r="C62" s="76">
        <f>SUM(C63:C67)</f>
        <v>0</v>
      </c>
      <c r="D62" s="76">
        <f t="shared" ref="D62:K62" si="8">SUM(D63:D67)</f>
        <v>0</v>
      </c>
      <c r="E62" s="332">
        <f t="shared" si="8"/>
        <v>0</v>
      </c>
      <c r="F62" s="79">
        <f t="shared" si="8"/>
        <v>0</v>
      </c>
      <c r="G62" s="76">
        <f t="shared" si="8"/>
        <v>0</v>
      </c>
      <c r="H62" s="333">
        <f t="shared" si="8"/>
        <v>0</v>
      </c>
      <c r="I62" s="79">
        <f t="shared" si="8"/>
        <v>0</v>
      </c>
      <c r="J62" s="76">
        <f t="shared" si="8"/>
        <v>0</v>
      </c>
      <c r="K62" s="333">
        <f t="shared" si="8"/>
        <v>0</v>
      </c>
      <c r="L62" s="888"/>
    </row>
    <row r="63" spans="1:12" s="877" customFormat="1" ht="13.5" x14ac:dyDescent="0.25">
      <c r="A63" s="744" t="s">
        <v>2313</v>
      </c>
      <c r="B63" s="55"/>
      <c r="C63" s="1316"/>
      <c r="D63" s="1316"/>
      <c r="E63" s="1317"/>
      <c r="F63" s="1318"/>
      <c r="G63" s="1316"/>
      <c r="H63" s="1319"/>
      <c r="I63" s="1318"/>
      <c r="J63" s="1316"/>
      <c r="K63" s="1319"/>
      <c r="L63" s="888"/>
    </row>
    <row r="64" spans="1:12" s="877" customFormat="1" ht="13.5" x14ac:dyDescent="0.25">
      <c r="A64" s="744" t="s">
        <v>2314</v>
      </c>
      <c r="B64" s="55"/>
      <c r="C64" s="1316"/>
      <c r="D64" s="1316"/>
      <c r="E64" s="1317"/>
      <c r="F64" s="1318"/>
      <c r="G64" s="1316"/>
      <c r="H64" s="1319"/>
      <c r="I64" s="1318"/>
      <c r="J64" s="1316"/>
      <c r="K64" s="1319"/>
      <c r="L64" s="888"/>
    </row>
    <row r="65" spans="1:12" s="877" customFormat="1" ht="13.5" x14ac:dyDescent="0.25">
      <c r="A65" s="744" t="s">
        <v>2315</v>
      </c>
      <c r="B65" s="55"/>
      <c r="C65" s="1316"/>
      <c r="D65" s="1316"/>
      <c r="E65" s="1317"/>
      <c r="F65" s="1318"/>
      <c r="G65" s="1316"/>
      <c r="H65" s="1319"/>
      <c r="I65" s="1318"/>
      <c r="J65" s="1316"/>
      <c r="K65" s="1319"/>
      <c r="L65" s="888"/>
    </row>
    <row r="66" spans="1:12" s="877" customFormat="1" ht="13.5" x14ac:dyDescent="0.25">
      <c r="A66" s="744" t="s">
        <v>2316</v>
      </c>
      <c r="B66" s="55"/>
      <c r="C66" s="1316"/>
      <c r="D66" s="1316"/>
      <c r="E66" s="1317"/>
      <c r="F66" s="1318"/>
      <c r="G66" s="1316"/>
      <c r="H66" s="1319"/>
      <c r="I66" s="1318"/>
      <c r="J66" s="1316"/>
      <c r="K66" s="1319"/>
      <c r="L66" s="888"/>
    </row>
    <row r="67" spans="1:12" s="877" customFormat="1" ht="13.5" x14ac:dyDescent="0.25">
      <c r="A67" s="744" t="s">
        <v>2275</v>
      </c>
      <c r="B67" s="55"/>
      <c r="C67" s="1316"/>
      <c r="D67" s="1316"/>
      <c r="E67" s="1317"/>
      <c r="F67" s="1318"/>
      <c r="G67" s="1316"/>
      <c r="H67" s="1319"/>
      <c r="I67" s="1318"/>
      <c r="J67" s="1316"/>
      <c r="K67" s="1319"/>
      <c r="L67" s="888"/>
    </row>
    <row r="68" spans="1:12" s="877" customFormat="1" ht="13.5" x14ac:dyDescent="0.25">
      <c r="A68" s="63" t="s">
        <v>2308</v>
      </c>
      <c r="B68" s="55"/>
      <c r="C68" s="76">
        <f>SUM(C69:C72)</f>
        <v>0</v>
      </c>
      <c r="D68" s="76">
        <f t="shared" ref="D68:K68" si="9">SUM(D69:D72)</f>
        <v>0</v>
      </c>
      <c r="E68" s="332">
        <f t="shared" si="9"/>
        <v>0</v>
      </c>
      <c r="F68" s="79">
        <f t="shared" si="9"/>
        <v>0</v>
      </c>
      <c r="G68" s="76">
        <f t="shared" si="9"/>
        <v>0</v>
      </c>
      <c r="H68" s="333">
        <f t="shared" si="9"/>
        <v>0</v>
      </c>
      <c r="I68" s="79">
        <f t="shared" si="9"/>
        <v>0</v>
      </c>
      <c r="J68" s="76">
        <f t="shared" si="9"/>
        <v>0</v>
      </c>
      <c r="K68" s="333">
        <f t="shared" si="9"/>
        <v>0</v>
      </c>
      <c r="L68" s="888"/>
    </row>
    <row r="69" spans="1:12" s="877" customFormat="1" ht="13.5" x14ac:dyDescent="0.25">
      <c r="A69" s="744" t="s">
        <v>2309</v>
      </c>
      <c r="B69" s="55"/>
      <c r="C69" s="1316"/>
      <c r="D69" s="1316"/>
      <c r="E69" s="1317"/>
      <c r="F69" s="1318"/>
      <c r="G69" s="1316"/>
      <c r="H69" s="1319"/>
      <c r="I69" s="1318"/>
      <c r="J69" s="1316"/>
      <c r="K69" s="1319"/>
      <c r="L69" s="25"/>
    </row>
    <row r="70" spans="1:12" s="877" customFormat="1" ht="13.5" x14ac:dyDescent="0.25">
      <c r="A70" s="744" t="s">
        <v>2310</v>
      </c>
      <c r="B70" s="55"/>
      <c r="C70" s="1316"/>
      <c r="D70" s="1316"/>
      <c r="E70" s="1317"/>
      <c r="F70" s="1318"/>
      <c r="G70" s="1316"/>
      <c r="H70" s="1319"/>
      <c r="I70" s="1318"/>
      <c r="J70" s="1316"/>
      <c r="K70" s="1319"/>
      <c r="L70" s="888"/>
    </row>
    <row r="71" spans="1:12" s="877" customFormat="1" ht="13.5" x14ac:dyDescent="0.25">
      <c r="A71" s="744" t="s">
        <v>2311</v>
      </c>
      <c r="B71" s="55"/>
      <c r="C71" s="1316"/>
      <c r="D71" s="1316"/>
      <c r="E71" s="1317"/>
      <c r="F71" s="1318"/>
      <c r="G71" s="1316"/>
      <c r="H71" s="1319"/>
      <c r="I71" s="1318"/>
      <c r="J71" s="1316"/>
      <c r="K71" s="1319"/>
      <c r="L71" s="888"/>
    </row>
    <row r="72" spans="1:12" s="877" customFormat="1" ht="13.5" x14ac:dyDescent="0.25">
      <c r="A72" s="744" t="s">
        <v>2275</v>
      </c>
      <c r="B72" s="55"/>
      <c r="C72" s="1316"/>
      <c r="D72" s="1316"/>
      <c r="E72" s="1317"/>
      <c r="F72" s="1318"/>
      <c r="G72" s="1316"/>
      <c r="H72" s="1319"/>
      <c r="I72" s="1318"/>
      <c r="J72" s="1316"/>
      <c r="K72" s="1319"/>
      <c r="L72" s="888"/>
    </row>
    <row r="73" spans="1:12" ht="4.9000000000000004" customHeight="1" x14ac:dyDescent="0.25">
      <c r="A73" s="74"/>
      <c r="B73" s="55"/>
      <c r="C73" s="76"/>
      <c r="D73" s="76"/>
      <c r="E73" s="75"/>
      <c r="F73" s="78"/>
      <c r="G73" s="76"/>
      <c r="H73" s="77"/>
      <c r="I73" s="78"/>
      <c r="J73" s="76"/>
      <c r="K73" s="77"/>
    </row>
    <row r="74" spans="1:12" ht="17.25" customHeight="1" x14ac:dyDescent="0.25">
      <c r="A74" s="54" t="s">
        <v>2324</v>
      </c>
      <c r="B74" s="55"/>
      <c r="C74" s="86">
        <f>C75+C98</f>
        <v>0</v>
      </c>
      <c r="D74" s="86">
        <f t="shared" ref="D74:K74" si="10">D75+D98</f>
        <v>0</v>
      </c>
      <c r="E74" s="85">
        <f t="shared" si="10"/>
        <v>0</v>
      </c>
      <c r="F74" s="88">
        <f t="shared" si="10"/>
        <v>2486103</v>
      </c>
      <c r="G74" s="86">
        <f t="shared" si="10"/>
        <v>5047206</v>
      </c>
      <c r="H74" s="87">
        <f t="shared" si="10"/>
        <v>5047206</v>
      </c>
      <c r="I74" s="88">
        <f t="shared" si="10"/>
        <v>0</v>
      </c>
      <c r="J74" s="86">
        <f t="shared" si="10"/>
        <v>7000000</v>
      </c>
      <c r="K74" s="87">
        <f t="shared" si="10"/>
        <v>0</v>
      </c>
    </row>
    <row r="75" spans="1:12" s="877" customFormat="1" ht="13.5" x14ac:dyDescent="0.25">
      <c r="A75" s="63" t="s">
        <v>2325</v>
      </c>
      <c r="B75" s="55"/>
      <c r="C75" s="185">
        <f>SUM(C76:C97)</f>
        <v>0</v>
      </c>
      <c r="D75" s="185">
        <f t="shared" ref="D75:K75" si="11">SUM(D76:D97)</f>
        <v>0</v>
      </c>
      <c r="E75" s="759">
        <f t="shared" si="11"/>
        <v>0</v>
      </c>
      <c r="F75" s="217">
        <f t="shared" si="11"/>
        <v>0</v>
      </c>
      <c r="G75" s="185">
        <f t="shared" si="11"/>
        <v>75000</v>
      </c>
      <c r="H75" s="699">
        <f t="shared" si="11"/>
        <v>75000</v>
      </c>
      <c r="I75" s="217">
        <f t="shared" si="11"/>
        <v>0</v>
      </c>
      <c r="J75" s="185">
        <f t="shared" si="11"/>
        <v>0</v>
      </c>
      <c r="K75" s="699">
        <f t="shared" si="11"/>
        <v>0</v>
      </c>
      <c r="L75" s="888"/>
    </row>
    <row r="76" spans="1:12" ht="11.25" customHeight="1" x14ac:dyDescent="0.25">
      <c r="A76" s="744" t="s">
        <v>2326</v>
      </c>
      <c r="B76" s="55"/>
      <c r="C76" s="1316"/>
      <c r="D76" s="1316"/>
      <c r="E76" s="1317"/>
      <c r="F76" s="1318"/>
      <c r="G76" s="1316"/>
      <c r="H76" s="1319"/>
      <c r="I76" s="1318"/>
      <c r="J76" s="1316"/>
      <c r="K76" s="1319"/>
      <c r="L76" s="888"/>
    </row>
    <row r="77" spans="1:12" ht="11.25" customHeight="1" x14ac:dyDescent="0.25">
      <c r="A77" s="744" t="s">
        <v>2327</v>
      </c>
      <c r="B77" s="55"/>
      <c r="C77" s="1316"/>
      <c r="D77" s="1316"/>
      <c r="E77" s="1317"/>
      <c r="F77" s="1318"/>
      <c r="G77" s="1316"/>
      <c r="H77" s="1319"/>
      <c r="I77" s="1318"/>
      <c r="J77" s="1316"/>
      <c r="K77" s="1319"/>
      <c r="L77" s="888"/>
    </row>
    <row r="78" spans="1:12" ht="11.25" customHeight="1" x14ac:dyDescent="0.25">
      <c r="A78" s="744" t="s">
        <v>2328</v>
      </c>
      <c r="B78" s="55"/>
      <c r="C78" s="1316"/>
      <c r="D78" s="1316"/>
      <c r="E78" s="1317"/>
      <c r="F78" s="1318"/>
      <c r="G78" s="1316"/>
      <c r="H78" s="1319"/>
      <c r="I78" s="1318"/>
      <c r="J78" s="1316"/>
      <c r="K78" s="1319"/>
      <c r="L78" s="888"/>
    </row>
    <row r="79" spans="1:12" ht="11.25" customHeight="1" x14ac:dyDescent="0.25">
      <c r="A79" s="744" t="s">
        <v>2329</v>
      </c>
      <c r="B79" s="55"/>
      <c r="C79" s="1316"/>
      <c r="D79" s="1316"/>
      <c r="E79" s="1317"/>
      <c r="F79" s="1318"/>
      <c r="G79" s="1316"/>
      <c r="H79" s="1319"/>
      <c r="I79" s="1318"/>
      <c r="J79" s="1316"/>
      <c r="K79" s="1319"/>
      <c r="L79" s="888"/>
    </row>
    <row r="80" spans="1:12" ht="11.25" customHeight="1" x14ac:dyDescent="0.25">
      <c r="A80" s="744" t="s">
        <v>2330</v>
      </c>
      <c r="B80" s="55"/>
      <c r="C80" s="1316"/>
      <c r="D80" s="1316"/>
      <c r="E80" s="1317"/>
      <c r="F80" s="1318"/>
      <c r="G80" s="1316">
        <v>75000</v>
      </c>
      <c r="H80" s="1319">
        <v>75000</v>
      </c>
      <c r="I80" s="1318"/>
      <c r="J80" s="1316"/>
      <c r="K80" s="1319"/>
      <c r="L80" s="888"/>
    </row>
    <row r="81" spans="1:12" ht="11.25" customHeight="1" x14ac:dyDescent="0.25">
      <c r="A81" s="744" t="s">
        <v>2331</v>
      </c>
      <c r="B81" s="55"/>
      <c r="C81" s="1316"/>
      <c r="D81" s="1316"/>
      <c r="E81" s="1317"/>
      <c r="F81" s="1318"/>
      <c r="G81" s="1316"/>
      <c r="H81" s="1319"/>
      <c r="I81" s="1318"/>
      <c r="J81" s="1316"/>
      <c r="K81" s="1319"/>
      <c r="L81" s="888"/>
    </row>
    <row r="82" spans="1:12" ht="11.25" customHeight="1" x14ac:dyDescent="0.25">
      <c r="A82" s="744" t="s">
        <v>2332</v>
      </c>
      <c r="B82" s="55"/>
      <c r="C82" s="1316"/>
      <c r="D82" s="1316"/>
      <c r="E82" s="1317"/>
      <c r="F82" s="1318"/>
      <c r="G82" s="1316"/>
      <c r="H82" s="1319"/>
      <c r="I82" s="1318"/>
      <c r="J82" s="1316"/>
      <c r="K82" s="1319"/>
      <c r="L82" s="888"/>
    </row>
    <row r="83" spans="1:12" ht="11.25" customHeight="1" x14ac:dyDescent="0.25">
      <c r="A83" s="744" t="s">
        <v>2333</v>
      </c>
      <c r="B83" s="55"/>
      <c r="C83" s="1316"/>
      <c r="D83" s="1316"/>
      <c r="E83" s="1317"/>
      <c r="F83" s="1318"/>
      <c r="G83" s="1316"/>
      <c r="H83" s="1319"/>
      <c r="I83" s="1318"/>
      <c r="J83" s="1316"/>
      <c r="K83" s="1319"/>
      <c r="L83" s="888"/>
    </row>
    <row r="84" spans="1:12" ht="11.25" customHeight="1" x14ac:dyDescent="0.25">
      <c r="A84" s="744" t="s">
        <v>2334</v>
      </c>
      <c r="B84" s="55"/>
      <c r="C84" s="1316"/>
      <c r="D84" s="1316"/>
      <c r="E84" s="1317"/>
      <c r="F84" s="1318"/>
      <c r="G84" s="1316"/>
      <c r="H84" s="1319"/>
      <c r="I84" s="1318"/>
      <c r="J84" s="1316"/>
      <c r="K84" s="1319"/>
      <c r="L84" s="888"/>
    </row>
    <row r="85" spans="1:12" ht="11.25" customHeight="1" x14ac:dyDescent="0.25">
      <c r="A85" s="744" t="s">
        <v>289</v>
      </c>
      <c r="B85" s="55"/>
      <c r="C85" s="1316"/>
      <c r="D85" s="1316"/>
      <c r="E85" s="1317"/>
      <c r="F85" s="1318"/>
      <c r="G85" s="1316"/>
      <c r="H85" s="1319"/>
      <c r="I85" s="1318"/>
      <c r="J85" s="1316"/>
      <c r="K85" s="1319"/>
      <c r="L85" s="888"/>
    </row>
    <row r="86" spans="1:12" ht="11.25" customHeight="1" x14ac:dyDescent="0.25">
      <c r="A86" s="744" t="s">
        <v>2335</v>
      </c>
      <c r="B86" s="55"/>
      <c r="C86" s="1316"/>
      <c r="D86" s="1316"/>
      <c r="E86" s="1317"/>
      <c r="F86" s="1318"/>
      <c r="G86" s="1316"/>
      <c r="H86" s="1319"/>
      <c r="I86" s="1318"/>
      <c r="J86" s="1316"/>
      <c r="K86" s="1319"/>
      <c r="L86" s="888"/>
    </row>
    <row r="87" spans="1:12" ht="11.25" customHeight="1" x14ac:dyDescent="0.25">
      <c r="A87" s="744" t="s">
        <v>1470</v>
      </c>
      <c r="B87" s="55"/>
      <c r="C87" s="1316"/>
      <c r="D87" s="1316"/>
      <c r="E87" s="1317"/>
      <c r="F87" s="1318"/>
      <c r="G87" s="1316"/>
      <c r="H87" s="1319"/>
      <c r="I87" s="1318"/>
      <c r="J87" s="1316"/>
      <c r="K87" s="1319"/>
      <c r="L87" s="888"/>
    </row>
    <row r="88" spans="1:12" ht="11.25" customHeight="1" x14ac:dyDescent="0.25">
      <c r="A88" s="744" t="s">
        <v>2512</v>
      </c>
      <c r="B88" s="55"/>
      <c r="C88" s="1316"/>
      <c r="D88" s="1316"/>
      <c r="E88" s="1317"/>
      <c r="F88" s="1318"/>
      <c r="G88" s="1316"/>
      <c r="H88" s="1319"/>
      <c r="I88" s="1318"/>
      <c r="J88" s="1316"/>
      <c r="K88" s="1319"/>
      <c r="L88" s="888"/>
    </row>
    <row r="89" spans="1:12" ht="11.25" customHeight="1" x14ac:dyDescent="0.25">
      <c r="A89" s="744" t="s">
        <v>2337</v>
      </c>
      <c r="B89" s="55"/>
      <c r="C89" s="1316"/>
      <c r="D89" s="1316"/>
      <c r="E89" s="1317"/>
      <c r="F89" s="1318"/>
      <c r="G89" s="1316"/>
      <c r="H89" s="1319"/>
      <c r="I89" s="1318"/>
      <c r="J89" s="1316"/>
      <c r="K89" s="1319"/>
      <c r="L89" s="888"/>
    </row>
    <row r="90" spans="1:12" ht="11.25" customHeight="1" x14ac:dyDescent="0.25">
      <c r="A90" s="744" t="s">
        <v>2338</v>
      </c>
      <c r="B90" s="55"/>
      <c r="C90" s="1316"/>
      <c r="D90" s="1316"/>
      <c r="E90" s="1317"/>
      <c r="F90" s="1318"/>
      <c r="G90" s="1316"/>
      <c r="H90" s="1319"/>
      <c r="I90" s="1318"/>
      <c r="J90" s="1316"/>
      <c r="K90" s="1319"/>
      <c r="L90" s="888"/>
    </row>
    <row r="91" spans="1:12" ht="11.25" customHeight="1" x14ac:dyDescent="0.25">
      <c r="A91" s="744" t="s">
        <v>2339</v>
      </c>
      <c r="B91" s="55"/>
      <c r="C91" s="1316"/>
      <c r="D91" s="1316"/>
      <c r="E91" s="1317"/>
      <c r="F91" s="1318"/>
      <c r="G91" s="1316"/>
      <c r="H91" s="1319"/>
      <c r="I91" s="1318"/>
      <c r="J91" s="1316"/>
      <c r="K91" s="1319"/>
      <c r="L91" s="888"/>
    </row>
    <row r="92" spans="1:12" ht="11.25" customHeight="1" x14ac:dyDescent="0.25">
      <c r="A92" s="744" t="s">
        <v>1097</v>
      </c>
      <c r="B92" s="55"/>
      <c r="C92" s="1316"/>
      <c r="D92" s="1316"/>
      <c r="E92" s="1317"/>
      <c r="F92" s="1318"/>
      <c r="G92" s="1316"/>
      <c r="H92" s="1319"/>
      <c r="I92" s="1318"/>
      <c r="J92" s="1316"/>
      <c r="K92" s="1319"/>
      <c r="L92" s="888"/>
    </row>
    <row r="93" spans="1:12" ht="11.25" customHeight="1" x14ac:dyDescent="0.25">
      <c r="A93" s="744" t="s">
        <v>2340</v>
      </c>
      <c r="B93" s="55"/>
      <c r="C93" s="1316"/>
      <c r="D93" s="1316"/>
      <c r="E93" s="1317"/>
      <c r="F93" s="1318"/>
      <c r="G93" s="1316"/>
      <c r="H93" s="1319"/>
      <c r="I93" s="1318"/>
      <c r="J93" s="1316"/>
      <c r="K93" s="1319"/>
      <c r="L93" s="888"/>
    </row>
    <row r="94" spans="1:12" ht="11.25" customHeight="1" x14ac:dyDescent="0.25">
      <c r="A94" s="744" t="s">
        <v>1096</v>
      </c>
      <c r="B94" s="55"/>
      <c r="C94" s="1316"/>
      <c r="D94" s="1316"/>
      <c r="E94" s="1317"/>
      <c r="F94" s="1318"/>
      <c r="G94" s="1316"/>
      <c r="H94" s="1319"/>
      <c r="I94" s="1318"/>
      <c r="J94" s="1316"/>
      <c r="K94" s="1319"/>
      <c r="L94" s="888"/>
    </row>
    <row r="95" spans="1:12" ht="11.25" customHeight="1" x14ac:dyDescent="0.25">
      <c r="A95" s="744" t="s">
        <v>2341</v>
      </c>
      <c r="B95" s="55"/>
      <c r="C95" s="1316"/>
      <c r="D95" s="1316"/>
      <c r="E95" s="1317"/>
      <c r="F95" s="1318"/>
      <c r="G95" s="1316"/>
      <c r="H95" s="1319"/>
      <c r="I95" s="1318"/>
      <c r="J95" s="1316"/>
      <c r="K95" s="1319"/>
      <c r="L95" s="888"/>
    </row>
    <row r="96" spans="1:12" ht="11.25" customHeight="1" x14ac:dyDescent="0.25">
      <c r="A96" s="744" t="s">
        <v>2342</v>
      </c>
      <c r="B96" s="55"/>
      <c r="C96" s="1316"/>
      <c r="D96" s="1316"/>
      <c r="E96" s="1317"/>
      <c r="F96" s="1318"/>
      <c r="G96" s="1316"/>
      <c r="H96" s="1319"/>
      <c r="I96" s="1318"/>
      <c r="J96" s="1316"/>
      <c r="K96" s="1319"/>
    </row>
    <row r="97" spans="1:12" ht="11.25" customHeight="1" x14ac:dyDescent="0.25">
      <c r="A97" s="744" t="s">
        <v>2275</v>
      </c>
      <c r="B97" s="55"/>
      <c r="C97" s="1316"/>
      <c r="D97" s="1316"/>
      <c r="E97" s="1317"/>
      <c r="F97" s="1318"/>
      <c r="G97" s="1316"/>
      <c r="H97" s="1319"/>
      <c r="I97" s="1318"/>
      <c r="J97" s="1316"/>
      <c r="K97" s="1319"/>
      <c r="L97" s="888"/>
    </row>
    <row r="98" spans="1:12" s="877" customFormat="1" ht="13.5" x14ac:dyDescent="0.25">
      <c r="A98" s="63" t="s">
        <v>2343</v>
      </c>
      <c r="B98" s="55"/>
      <c r="C98" s="76">
        <f>SUM(C99:C101)</f>
        <v>0</v>
      </c>
      <c r="D98" s="76">
        <f t="shared" ref="D98:K98" si="12">SUM(D99:D101)</f>
        <v>0</v>
      </c>
      <c r="E98" s="332">
        <f t="shared" si="12"/>
        <v>0</v>
      </c>
      <c r="F98" s="79">
        <f t="shared" si="12"/>
        <v>2486103</v>
      </c>
      <c r="G98" s="76">
        <f t="shared" si="12"/>
        <v>4972206</v>
      </c>
      <c r="H98" s="333">
        <f t="shared" si="12"/>
        <v>4972206</v>
      </c>
      <c r="I98" s="79">
        <f t="shared" si="12"/>
        <v>0</v>
      </c>
      <c r="J98" s="76">
        <f t="shared" si="12"/>
        <v>7000000</v>
      </c>
      <c r="K98" s="333">
        <f t="shared" si="12"/>
        <v>0</v>
      </c>
      <c r="L98" s="888"/>
    </row>
    <row r="99" spans="1:12" s="877" customFormat="1" ht="13.5" x14ac:dyDescent="0.25">
      <c r="A99" s="744" t="s">
        <v>2344</v>
      </c>
      <c r="B99" s="55"/>
      <c r="C99" s="1316"/>
      <c r="D99" s="1316"/>
      <c r="E99" s="1317"/>
      <c r="F99" s="1318"/>
      <c r="G99" s="1316"/>
      <c r="H99" s="1319"/>
      <c r="I99" s="1318"/>
      <c r="J99" s="1316"/>
      <c r="K99" s="1319"/>
      <c r="L99" s="25"/>
    </row>
    <row r="100" spans="1:12" s="877" customFormat="1" ht="13.5" x14ac:dyDescent="0.25">
      <c r="A100" s="744" t="s">
        <v>2345</v>
      </c>
      <c r="B100" s="55"/>
      <c r="C100" s="1316"/>
      <c r="D100" s="1316"/>
      <c r="E100" s="1317"/>
      <c r="F100" s="1318">
        <v>2486103</v>
      </c>
      <c r="G100" s="1316">
        <v>4972206</v>
      </c>
      <c r="H100" s="1319">
        <v>4972206</v>
      </c>
      <c r="I100" s="1318"/>
      <c r="J100" s="1316">
        <v>7000000</v>
      </c>
      <c r="K100" s="1319"/>
      <c r="L100" s="888"/>
    </row>
    <row r="101" spans="1:12" s="877" customFormat="1" ht="13.5" x14ac:dyDescent="0.25">
      <c r="A101" s="744" t="s">
        <v>2275</v>
      </c>
      <c r="B101" s="55"/>
      <c r="C101" s="1316"/>
      <c r="D101" s="1316"/>
      <c r="E101" s="1317"/>
      <c r="F101" s="1318"/>
      <c r="G101" s="1316"/>
      <c r="H101" s="1319"/>
      <c r="I101" s="1318"/>
      <c r="J101" s="1316"/>
      <c r="K101" s="1319"/>
      <c r="L101" s="888"/>
    </row>
    <row r="102" spans="1:12" ht="4.9000000000000004" customHeight="1" x14ac:dyDescent="0.25">
      <c r="A102" s="74"/>
      <c r="B102" s="55"/>
      <c r="C102" s="76"/>
      <c r="D102" s="76"/>
      <c r="E102" s="75"/>
      <c r="F102" s="78"/>
      <c r="G102" s="76"/>
      <c r="H102" s="77"/>
      <c r="I102" s="78"/>
      <c r="J102" s="76"/>
      <c r="K102" s="77"/>
    </row>
    <row r="103" spans="1:12" ht="17.25" customHeight="1" x14ac:dyDescent="0.25">
      <c r="A103" s="54" t="s">
        <v>843</v>
      </c>
      <c r="B103" s="55"/>
      <c r="C103" s="76">
        <f>SUM(C104:C108)</f>
        <v>0</v>
      </c>
      <c r="D103" s="76">
        <f t="shared" ref="D103:K103" si="13">SUM(D104:D108)</f>
        <v>0</v>
      </c>
      <c r="E103" s="75">
        <f t="shared" si="13"/>
        <v>0</v>
      </c>
      <c r="F103" s="78">
        <f t="shared" si="13"/>
        <v>0</v>
      </c>
      <c r="G103" s="76">
        <f t="shared" si="13"/>
        <v>0</v>
      </c>
      <c r="H103" s="77">
        <f t="shared" si="13"/>
        <v>0</v>
      </c>
      <c r="I103" s="78">
        <f t="shared" si="13"/>
        <v>0</v>
      </c>
      <c r="J103" s="76">
        <f t="shared" si="13"/>
        <v>0</v>
      </c>
      <c r="K103" s="77">
        <f t="shared" si="13"/>
        <v>0</v>
      </c>
    </row>
    <row r="104" spans="1:12" ht="11.25" customHeight="1" x14ac:dyDescent="0.25">
      <c r="A104" s="63" t="s">
        <v>2346</v>
      </c>
      <c r="B104" s="55"/>
      <c r="C104" s="1316"/>
      <c r="D104" s="1316"/>
      <c r="E104" s="1317"/>
      <c r="F104" s="1318"/>
      <c r="G104" s="1316"/>
      <c r="H104" s="1319"/>
      <c r="I104" s="1318"/>
      <c r="J104" s="1316"/>
      <c r="K104" s="1319"/>
    </row>
    <row r="105" spans="1:12" ht="11.25" customHeight="1" x14ac:dyDescent="0.25">
      <c r="A105" s="63" t="s">
        <v>2347</v>
      </c>
      <c r="B105" s="55"/>
      <c r="C105" s="1316"/>
      <c r="D105" s="1316"/>
      <c r="E105" s="1317"/>
      <c r="F105" s="1318"/>
      <c r="G105" s="1316"/>
      <c r="H105" s="1319"/>
      <c r="I105" s="1318"/>
      <c r="J105" s="1316"/>
      <c r="K105" s="1319"/>
    </row>
    <row r="106" spans="1:12" ht="11.25" customHeight="1" x14ac:dyDescent="0.25">
      <c r="A106" s="63" t="s">
        <v>2348</v>
      </c>
      <c r="B106" s="55"/>
      <c r="C106" s="1316"/>
      <c r="D106" s="1316"/>
      <c r="E106" s="1317"/>
      <c r="F106" s="1318"/>
      <c r="G106" s="1316"/>
      <c r="H106" s="1319"/>
      <c r="I106" s="1318"/>
      <c r="J106" s="1316"/>
      <c r="K106" s="1319"/>
    </row>
    <row r="107" spans="1:12" ht="11.25" customHeight="1" x14ac:dyDescent="0.25">
      <c r="A107" s="63" t="s">
        <v>2349</v>
      </c>
      <c r="B107" s="55"/>
      <c r="C107" s="1316"/>
      <c r="D107" s="1316"/>
      <c r="E107" s="1317"/>
      <c r="F107" s="1318"/>
      <c r="G107" s="1316"/>
      <c r="H107" s="1319"/>
      <c r="I107" s="1318"/>
      <c r="J107" s="1316"/>
      <c r="K107" s="1319"/>
    </row>
    <row r="108" spans="1:12" ht="11.25" customHeight="1" x14ac:dyDescent="0.25">
      <c r="A108" s="63" t="s">
        <v>2350</v>
      </c>
      <c r="B108" s="55"/>
      <c r="C108" s="1316"/>
      <c r="D108" s="1316"/>
      <c r="E108" s="1317"/>
      <c r="F108" s="1318"/>
      <c r="G108" s="1316"/>
      <c r="H108" s="1319"/>
      <c r="I108" s="1318"/>
      <c r="J108" s="1316"/>
      <c r="K108" s="1319"/>
    </row>
    <row r="109" spans="1:12" ht="4.9000000000000004" customHeight="1" x14ac:dyDescent="0.25">
      <c r="A109" s="74"/>
      <c r="B109" s="55"/>
      <c r="C109" s="76"/>
      <c r="D109" s="76"/>
      <c r="E109" s="75"/>
      <c r="F109" s="78"/>
      <c r="G109" s="76"/>
      <c r="H109" s="77"/>
      <c r="I109" s="78"/>
      <c r="J109" s="76"/>
      <c r="K109" s="77"/>
    </row>
    <row r="110" spans="1:12" ht="17.25" customHeight="1" x14ac:dyDescent="0.25">
      <c r="A110" s="54" t="s">
        <v>844</v>
      </c>
      <c r="B110" s="55"/>
      <c r="C110" s="86">
        <f>+C111+C114</f>
        <v>0</v>
      </c>
      <c r="D110" s="86">
        <f t="shared" ref="D110:K110" si="14">+D111+D114</f>
        <v>0</v>
      </c>
      <c r="E110" s="85">
        <f t="shared" si="14"/>
        <v>0</v>
      </c>
      <c r="F110" s="88">
        <f t="shared" si="14"/>
        <v>0</v>
      </c>
      <c r="G110" s="86">
        <f t="shared" si="14"/>
        <v>0</v>
      </c>
      <c r="H110" s="87">
        <f t="shared" si="14"/>
        <v>0</v>
      </c>
      <c r="I110" s="88">
        <f t="shared" si="14"/>
        <v>0</v>
      </c>
      <c r="J110" s="86">
        <f t="shared" si="14"/>
        <v>0</v>
      </c>
      <c r="K110" s="87">
        <f t="shared" si="14"/>
        <v>0</v>
      </c>
    </row>
    <row r="111" spans="1:12" s="877" customFormat="1" ht="13.5" x14ac:dyDescent="0.25">
      <c r="A111" s="63" t="s">
        <v>2380</v>
      </c>
      <c r="B111" s="55"/>
      <c r="C111" s="185">
        <f t="shared" ref="C111:K111" si="15">SUM(C112:C113)</f>
        <v>0</v>
      </c>
      <c r="D111" s="185">
        <f t="shared" si="15"/>
        <v>0</v>
      </c>
      <c r="E111" s="759">
        <f t="shared" si="15"/>
        <v>0</v>
      </c>
      <c r="F111" s="217">
        <f t="shared" si="15"/>
        <v>0</v>
      </c>
      <c r="G111" s="185">
        <f t="shared" si="15"/>
        <v>0</v>
      </c>
      <c r="H111" s="699">
        <f t="shared" si="15"/>
        <v>0</v>
      </c>
      <c r="I111" s="217">
        <f t="shared" si="15"/>
        <v>0</v>
      </c>
      <c r="J111" s="185">
        <f t="shared" si="15"/>
        <v>0</v>
      </c>
      <c r="K111" s="699">
        <f t="shared" si="15"/>
        <v>0</v>
      </c>
      <c r="L111" s="888"/>
    </row>
    <row r="112" spans="1:12" s="877" customFormat="1" ht="13.5" x14ac:dyDescent="0.25">
      <c r="A112" s="744" t="s">
        <v>2381</v>
      </c>
      <c r="B112" s="55"/>
      <c r="C112" s="1316"/>
      <c r="D112" s="1316"/>
      <c r="E112" s="1317"/>
      <c r="F112" s="1318"/>
      <c r="G112" s="1316"/>
      <c r="H112" s="1319"/>
      <c r="I112" s="1318"/>
      <c r="J112" s="1316"/>
      <c r="K112" s="1319"/>
      <c r="L112" s="25"/>
    </row>
    <row r="113" spans="1:12" s="877" customFormat="1" ht="13.5" x14ac:dyDescent="0.25">
      <c r="A113" s="744" t="s">
        <v>2382</v>
      </c>
      <c r="B113" s="55"/>
      <c r="C113" s="1316"/>
      <c r="D113" s="1316"/>
      <c r="E113" s="1317"/>
      <c r="F113" s="1318"/>
      <c r="G113" s="1316"/>
      <c r="H113" s="1319"/>
      <c r="I113" s="1318"/>
      <c r="J113" s="1316"/>
      <c r="K113" s="1319"/>
      <c r="L113" s="888"/>
    </row>
    <row r="114" spans="1:12" s="877" customFormat="1" ht="13.5" x14ac:dyDescent="0.25">
      <c r="A114" s="63" t="s">
        <v>2383</v>
      </c>
      <c r="B114" s="55"/>
      <c r="C114" s="76">
        <f>SUM(C115:C116)</f>
        <v>0</v>
      </c>
      <c r="D114" s="76">
        <f t="shared" ref="D114:K114" si="16">SUM(D115:D116)</f>
        <v>0</v>
      </c>
      <c r="E114" s="332">
        <f t="shared" si="16"/>
        <v>0</v>
      </c>
      <c r="F114" s="79">
        <f t="shared" si="16"/>
        <v>0</v>
      </c>
      <c r="G114" s="76">
        <f t="shared" si="16"/>
        <v>0</v>
      </c>
      <c r="H114" s="333">
        <f t="shared" si="16"/>
        <v>0</v>
      </c>
      <c r="I114" s="79">
        <f t="shared" si="16"/>
        <v>0</v>
      </c>
      <c r="J114" s="76">
        <f t="shared" si="16"/>
        <v>0</v>
      </c>
      <c r="K114" s="333">
        <f t="shared" si="16"/>
        <v>0</v>
      </c>
      <c r="L114" s="888"/>
    </row>
    <row r="115" spans="1:12" s="877" customFormat="1" ht="13.5" x14ac:dyDescent="0.25">
      <c r="A115" s="744" t="s">
        <v>2381</v>
      </c>
      <c r="B115" s="55"/>
      <c r="C115" s="1316"/>
      <c r="D115" s="1316"/>
      <c r="E115" s="1317"/>
      <c r="F115" s="1318"/>
      <c r="G115" s="1316"/>
      <c r="H115" s="1319"/>
      <c r="I115" s="1318"/>
      <c r="J115" s="1316"/>
      <c r="K115" s="1319"/>
      <c r="L115" s="25"/>
    </row>
    <row r="116" spans="1:12" s="877" customFormat="1" ht="13.5" x14ac:dyDescent="0.25">
      <c r="A116" s="744" t="s">
        <v>2382</v>
      </c>
      <c r="B116" s="55"/>
      <c r="C116" s="1316"/>
      <c r="D116" s="1316"/>
      <c r="E116" s="1317"/>
      <c r="F116" s="1318"/>
      <c r="G116" s="1316"/>
      <c r="H116" s="1319"/>
      <c r="I116" s="1318"/>
      <c r="J116" s="1316"/>
      <c r="K116" s="1319"/>
      <c r="L116" s="888"/>
    </row>
    <row r="117" spans="1:12" ht="4.9000000000000004" customHeight="1" x14ac:dyDescent="0.25">
      <c r="A117" s="74"/>
      <c r="B117" s="55"/>
      <c r="C117" s="76"/>
      <c r="D117" s="76"/>
      <c r="E117" s="75"/>
      <c r="F117" s="78"/>
      <c r="G117" s="76"/>
      <c r="H117" s="77"/>
      <c r="I117" s="78"/>
      <c r="J117" s="76"/>
      <c r="K117" s="77"/>
    </row>
    <row r="118" spans="1:12" ht="17.25" customHeight="1" x14ac:dyDescent="0.25">
      <c r="A118" s="54" t="s">
        <v>845</v>
      </c>
      <c r="B118" s="55"/>
      <c r="C118" s="86">
        <f>+C119+C131</f>
        <v>0</v>
      </c>
      <c r="D118" s="86">
        <f t="shared" ref="D118:K118" si="17">+D119+D131</f>
        <v>0</v>
      </c>
      <c r="E118" s="85">
        <f t="shared" si="17"/>
        <v>0</v>
      </c>
      <c r="F118" s="88">
        <f t="shared" si="17"/>
        <v>60000</v>
      </c>
      <c r="G118" s="86">
        <f t="shared" si="17"/>
        <v>5000</v>
      </c>
      <c r="H118" s="87">
        <f t="shared" si="17"/>
        <v>5000</v>
      </c>
      <c r="I118" s="88">
        <f t="shared" si="17"/>
        <v>0</v>
      </c>
      <c r="J118" s="86">
        <f t="shared" si="17"/>
        <v>0</v>
      </c>
      <c r="K118" s="87">
        <f t="shared" si="17"/>
        <v>0</v>
      </c>
    </row>
    <row r="119" spans="1:12" s="877" customFormat="1" ht="13.5" x14ac:dyDescent="0.25">
      <c r="A119" s="63" t="s">
        <v>2351</v>
      </c>
      <c r="B119" s="55"/>
      <c r="C119" s="185">
        <f>SUM(C120:C130)</f>
        <v>0</v>
      </c>
      <c r="D119" s="185">
        <f t="shared" ref="D119:K119" si="18">SUM(D120:D130)</f>
        <v>0</v>
      </c>
      <c r="E119" s="759">
        <f t="shared" si="18"/>
        <v>0</v>
      </c>
      <c r="F119" s="217">
        <f t="shared" si="18"/>
        <v>60000</v>
      </c>
      <c r="G119" s="185">
        <f t="shared" si="18"/>
        <v>5000</v>
      </c>
      <c r="H119" s="699">
        <f t="shared" si="18"/>
        <v>5000</v>
      </c>
      <c r="I119" s="217">
        <f t="shared" si="18"/>
        <v>0</v>
      </c>
      <c r="J119" s="185">
        <f t="shared" si="18"/>
        <v>0</v>
      </c>
      <c r="K119" s="699">
        <f t="shared" si="18"/>
        <v>0</v>
      </c>
      <c r="L119" s="888"/>
    </row>
    <row r="120" spans="1:12" s="877" customFormat="1" ht="13.5" x14ac:dyDescent="0.25">
      <c r="A120" s="744" t="s">
        <v>2352</v>
      </c>
      <c r="B120" s="55"/>
      <c r="C120" s="1316"/>
      <c r="D120" s="1316"/>
      <c r="E120" s="1317"/>
      <c r="F120" s="1318"/>
      <c r="G120" s="1316"/>
      <c r="H120" s="1319"/>
      <c r="I120" s="1318"/>
      <c r="J120" s="1316"/>
      <c r="K120" s="1319"/>
      <c r="L120" s="25"/>
    </row>
    <row r="121" spans="1:12" s="877" customFormat="1" ht="13.5" x14ac:dyDescent="0.25">
      <c r="A121" s="744" t="s">
        <v>2353</v>
      </c>
      <c r="B121" s="55"/>
      <c r="C121" s="1316"/>
      <c r="D121" s="1316"/>
      <c r="E121" s="1317"/>
      <c r="F121" s="1318"/>
      <c r="G121" s="1316"/>
      <c r="H121" s="1319"/>
      <c r="I121" s="1318"/>
      <c r="J121" s="1316"/>
      <c r="K121" s="1319"/>
      <c r="L121" s="25"/>
    </row>
    <row r="122" spans="1:12" s="877" customFormat="1" ht="13.5" x14ac:dyDescent="0.25">
      <c r="A122" s="744" t="s">
        <v>2354</v>
      </c>
      <c r="B122" s="55"/>
      <c r="C122" s="1316"/>
      <c r="D122" s="1316"/>
      <c r="E122" s="1317"/>
      <c r="F122" s="1318"/>
      <c r="G122" s="1316"/>
      <c r="H122" s="1319"/>
      <c r="I122" s="1318"/>
      <c r="J122" s="1316"/>
      <c r="K122" s="1319"/>
      <c r="L122" s="25"/>
    </row>
    <row r="123" spans="1:12" s="877" customFormat="1" ht="13.5" x14ac:dyDescent="0.25">
      <c r="A123" s="744" t="s">
        <v>2355</v>
      </c>
      <c r="B123" s="55"/>
      <c r="C123" s="1316"/>
      <c r="D123" s="1316"/>
      <c r="E123" s="1317"/>
      <c r="F123" s="1318">
        <v>60000</v>
      </c>
      <c r="G123" s="1316">
        <v>5000</v>
      </c>
      <c r="H123" s="1319">
        <v>5000</v>
      </c>
      <c r="I123" s="1318"/>
      <c r="J123" s="1316"/>
      <c r="K123" s="1319"/>
      <c r="L123" s="25"/>
    </row>
    <row r="124" spans="1:12" s="877" customFormat="1" ht="13.5" x14ac:dyDescent="0.25">
      <c r="A124" s="744" t="s">
        <v>2356</v>
      </c>
      <c r="B124" s="55"/>
      <c r="C124" s="1316"/>
      <c r="D124" s="1316"/>
      <c r="E124" s="1317"/>
      <c r="F124" s="1318"/>
      <c r="G124" s="1316"/>
      <c r="H124" s="1319"/>
      <c r="I124" s="1318"/>
      <c r="J124" s="1316"/>
      <c r="K124" s="1319"/>
      <c r="L124" s="25"/>
    </row>
    <row r="125" spans="1:12" s="877" customFormat="1" ht="13.5" x14ac:dyDescent="0.25">
      <c r="A125" s="744" t="s">
        <v>2357</v>
      </c>
      <c r="B125" s="55"/>
      <c r="C125" s="1316"/>
      <c r="D125" s="1316"/>
      <c r="E125" s="1317"/>
      <c r="F125" s="1318"/>
      <c r="G125" s="1316"/>
      <c r="H125" s="1319"/>
      <c r="I125" s="1318"/>
      <c r="J125" s="1316"/>
      <c r="K125" s="1319"/>
      <c r="L125" s="25"/>
    </row>
    <row r="126" spans="1:12" s="877" customFormat="1" ht="13.5" x14ac:dyDescent="0.25">
      <c r="A126" s="744" t="s">
        <v>2358</v>
      </c>
      <c r="B126" s="55"/>
      <c r="C126" s="1316"/>
      <c r="D126" s="1316"/>
      <c r="E126" s="1317"/>
      <c r="F126" s="1318"/>
      <c r="G126" s="1316"/>
      <c r="H126" s="1319"/>
      <c r="I126" s="1318"/>
      <c r="J126" s="1316"/>
      <c r="K126" s="1319"/>
      <c r="L126" s="25"/>
    </row>
    <row r="127" spans="1:12" s="877" customFormat="1" ht="13.5" x14ac:dyDescent="0.25">
      <c r="A127" s="744" t="s">
        <v>2359</v>
      </c>
      <c r="B127" s="55"/>
      <c r="C127" s="1316"/>
      <c r="D127" s="1316"/>
      <c r="E127" s="1317"/>
      <c r="F127" s="1318"/>
      <c r="G127" s="1316"/>
      <c r="H127" s="1319"/>
      <c r="I127" s="1318"/>
      <c r="J127" s="1316"/>
      <c r="K127" s="1319"/>
      <c r="L127" s="25"/>
    </row>
    <row r="128" spans="1:12" s="877" customFormat="1" ht="13.5" x14ac:dyDescent="0.25">
      <c r="A128" s="744" t="s">
        <v>2360</v>
      </c>
      <c r="B128" s="55"/>
      <c r="C128" s="1316"/>
      <c r="D128" s="1316"/>
      <c r="E128" s="1317"/>
      <c r="F128" s="1318"/>
      <c r="G128" s="1316"/>
      <c r="H128" s="1319"/>
      <c r="I128" s="1318"/>
      <c r="J128" s="1316"/>
      <c r="K128" s="1319"/>
      <c r="L128" s="25"/>
    </row>
    <row r="129" spans="1:12" s="877" customFormat="1" ht="13.5" x14ac:dyDescent="0.25">
      <c r="A129" s="744" t="s">
        <v>2361</v>
      </c>
      <c r="B129" s="55"/>
      <c r="C129" s="1316"/>
      <c r="D129" s="1316"/>
      <c r="E129" s="1317"/>
      <c r="F129" s="1318"/>
      <c r="G129" s="1316"/>
      <c r="H129" s="1319"/>
      <c r="I129" s="1318"/>
      <c r="J129" s="1316"/>
      <c r="K129" s="1319"/>
      <c r="L129" s="25"/>
    </row>
    <row r="130" spans="1:12" s="877" customFormat="1" ht="13.5" x14ac:dyDescent="0.25">
      <c r="A130" s="744" t="s">
        <v>2275</v>
      </c>
      <c r="B130" s="55"/>
      <c r="C130" s="1316"/>
      <c r="D130" s="1316"/>
      <c r="E130" s="1317"/>
      <c r="F130" s="1318"/>
      <c r="G130" s="1316"/>
      <c r="H130" s="1319"/>
      <c r="I130" s="1318"/>
      <c r="J130" s="1316"/>
      <c r="K130" s="1319"/>
      <c r="L130" s="25"/>
    </row>
    <row r="131" spans="1:12" s="877" customFormat="1" ht="13.5" x14ac:dyDescent="0.25">
      <c r="A131" s="63" t="s">
        <v>1513</v>
      </c>
      <c r="B131" s="55"/>
      <c r="C131" s="76">
        <f>SUM(C132:C134)</f>
        <v>0</v>
      </c>
      <c r="D131" s="76">
        <f t="shared" ref="D131:K131" si="19">SUM(D132:D134)</f>
        <v>0</v>
      </c>
      <c r="E131" s="332">
        <f t="shared" si="19"/>
        <v>0</v>
      </c>
      <c r="F131" s="79">
        <f t="shared" si="19"/>
        <v>0</v>
      </c>
      <c r="G131" s="76">
        <f t="shared" si="19"/>
        <v>0</v>
      </c>
      <c r="H131" s="333">
        <f t="shared" si="19"/>
        <v>0</v>
      </c>
      <c r="I131" s="79">
        <f t="shared" si="19"/>
        <v>0</v>
      </c>
      <c r="J131" s="76">
        <f t="shared" si="19"/>
        <v>0</v>
      </c>
      <c r="K131" s="333">
        <f t="shared" si="19"/>
        <v>0</v>
      </c>
      <c r="L131" s="25"/>
    </row>
    <row r="132" spans="1:12" s="877" customFormat="1" ht="13.5" x14ac:dyDescent="0.25">
      <c r="A132" s="744" t="s">
        <v>2362</v>
      </c>
      <c r="B132" s="55"/>
      <c r="C132" s="1316"/>
      <c r="D132" s="1316"/>
      <c r="E132" s="1317"/>
      <c r="F132" s="1318"/>
      <c r="G132" s="1316"/>
      <c r="H132" s="1319"/>
      <c r="I132" s="1318"/>
      <c r="J132" s="1316"/>
      <c r="K132" s="1319"/>
      <c r="L132" s="25"/>
    </row>
    <row r="133" spans="1:12" s="877" customFormat="1" ht="13.5" x14ac:dyDescent="0.25">
      <c r="A133" s="744" t="s">
        <v>2363</v>
      </c>
      <c r="B133" s="55"/>
      <c r="C133" s="1316"/>
      <c r="D133" s="1316"/>
      <c r="E133" s="1317"/>
      <c r="F133" s="1318"/>
      <c r="G133" s="1316"/>
      <c r="H133" s="1319"/>
      <c r="I133" s="1318"/>
      <c r="J133" s="1316"/>
      <c r="K133" s="1319"/>
      <c r="L133" s="25"/>
    </row>
    <row r="134" spans="1:12" s="877" customFormat="1" ht="13.5" x14ac:dyDescent="0.25">
      <c r="A134" s="744" t="s">
        <v>2275</v>
      </c>
      <c r="B134" s="55"/>
      <c r="C134" s="1316"/>
      <c r="D134" s="1316"/>
      <c r="E134" s="1317"/>
      <c r="F134" s="1318"/>
      <c r="G134" s="1316"/>
      <c r="H134" s="1319"/>
      <c r="I134" s="1318"/>
      <c r="J134" s="1316"/>
      <c r="K134" s="1319"/>
      <c r="L134" s="25"/>
    </row>
    <row r="135" spans="1:12" ht="4.9000000000000004" customHeight="1" x14ac:dyDescent="0.25">
      <c r="A135" s="525"/>
      <c r="B135" s="55"/>
      <c r="C135" s="76"/>
      <c r="D135" s="76"/>
      <c r="E135" s="75"/>
      <c r="F135" s="78"/>
      <c r="G135" s="76"/>
      <c r="H135" s="77"/>
      <c r="I135" s="78"/>
      <c r="J135" s="76"/>
      <c r="K135" s="77"/>
    </row>
    <row r="136" spans="1:12" ht="13.5" customHeight="1" x14ac:dyDescent="0.25">
      <c r="A136" s="54" t="s">
        <v>2364</v>
      </c>
      <c r="B136" s="55"/>
      <c r="C136" s="76">
        <f t="shared" ref="C136:K136" si="20">SUM(C137:C137)</f>
        <v>0</v>
      </c>
      <c r="D136" s="76">
        <f t="shared" si="20"/>
        <v>0</v>
      </c>
      <c r="E136" s="75">
        <f t="shared" si="20"/>
        <v>0</v>
      </c>
      <c r="F136" s="78">
        <f t="shared" si="20"/>
        <v>0</v>
      </c>
      <c r="G136" s="76">
        <f t="shared" si="20"/>
        <v>0</v>
      </c>
      <c r="H136" s="77">
        <f t="shared" si="20"/>
        <v>0</v>
      </c>
      <c r="I136" s="78">
        <f t="shared" si="20"/>
        <v>0</v>
      </c>
      <c r="J136" s="76">
        <f t="shared" si="20"/>
        <v>0</v>
      </c>
      <c r="K136" s="77">
        <f t="shared" si="20"/>
        <v>0</v>
      </c>
    </row>
    <row r="137" spans="1:12" ht="11.25" customHeight="1" x14ac:dyDescent="0.25">
      <c r="A137" s="63" t="s">
        <v>2364</v>
      </c>
      <c r="B137" s="55"/>
      <c r="C137" s="1316"/>
      <c r="D137" s="1316"/>
      <c r="E137" s="1317"/>
      <c r="F137" s="1318"/>
      <c r="G137" s="1316"/>
      <c r="H137" s="1319"/>
      <c r="I137" s="1318"/>
      <c r="J137" s="1316"/>
      <c r="K137" s="1319"/>
    </row>
    <row r="138" spans="1:12" ht="4.9000000000000004" customHeight="1" x14ac:dyDescent="0.25">
      <c r="A138" s="74"/>
      <c r="B138" s="55"/>
      <c r="C138" s="76"/>
      <c r="D138" s="76"/>
      <c r="E138" s="75"/>
      <c r="F138" s="78"/>
      <c r="G138" s="76"/>
      <c r="H138" s="77"/>
      <c r="I138" s="78"/>
      <c r="J138" s="76"/>
      <c r="K138" s="77"/>
    </row>
    <row r="139" spans="1:12" ht="17.25" customHeight="1" x14ac:dyDescent="0.25">
      <c r="A139" s="54" t="s">
        <v>2367</v>
      </c>
      <c r="B139" s="55"/>
      <c r="C139" s="76">
        <f>+C140+C141</f>
        <v>0</v>
      </c>
      <c r="D139" s="76">
        <f t="shared" ref="D139:K139" si="21">+D140+D141</f>
        <v>0</v>
      </c>
      <c r="E139" s="75">
        <f t="shared" si="21"/>
        <v>0</v>
      </c>
      <c r="F139" s="78">
        <f t="shared" si="21"/>
        <v>0</v>
      </c>
      <c r="G139" s="76">
        <f t="shared" si="21"/>
        <v>0</v>
      </c>
      <c r="H139" s="77">
        <f t="shared" si="21"/>
        <v>0</v>
      </c>
      <c r="I139" s="78">
        <f t="shared" si="21"/>
        <v>0</v>
      </c>
      <c r="J139" s="76">
        <f t="shared" si="21"/>
        <v>0</v>
      </c>
      <c r="K139" s="77">
        <f t="shared" si="21"/>
        <v>0</v>
      </c>
    </row>
    <row r="140" spans="1:12" ht="11.25" customHeight="1" x14ac:dyDescent="0.25">
      <c r="A140" s="63" t="s">
        <v>2365</v>
      </c>
      <c r="B140" s="55"/>
      <c r="C140" s="1316"/>
      <c r="D140" s="1316"/>
      <c r="E140" s="1317"/>
      <c r="F140" s="1318"/>
      <c r="G140" s="1316"/>
      <c r="H140" s="1319"/>
      <c r="I140" s="1318"/>
      <c r="J140" s="1316"/>
      <c r="K140" s="1319"/>
    </row>
    <row r="141" spans="1:12" ht="11.25" customHeight="1" x14ac:dyDescent="0.25">
      <c r="A141" s="63" t="s">
        <v>2366</v>
      </c>
      <c r="B141" s="55"/>
      <c r="C141" s="76">
        <f>SUM(C142:C147)</f>
        <v>0</v>
      </c>
      <c r="D141" s="76">
        <f t="shared" ref="D141:K141" si="22">SUM(D142:D147)</f>
        <v>0</v>
      </c>
      <c r="E141" s="332">
        <f t="shared" si="22"/>
        <v>0</v>
      </c>
      <c r="F141" s="79">
        <f t="shared" si="22"/>
        <v>0</v>
      </c>
      <c r="G141" s="76">
        <f t="shared" si="22"/>
        <v>0</v>
      </c>
      <c r="H141" s="333">
        <f t="shared" si="22"/>
        <v>0</v>
      </c>
      <c r="I141" s="79">
        <f t="shared" si="22"/>
        <v>0</v>
      </c>
      <c r="J141" s="76">
        <f t="shared" si="22"/>
        <v>0</v>
      </c>
      <c r="K141" s="333">
        <f t="shared" si="22"/>
        <v>0</v>
      </c>
    </row>
    <row r="142" spans="1:12" s="877" customFormat="1" ht="13.5" x14ac:dyDescent="0.25">
      <c r="A142" s="744" t="s">
        <v>2368</v>
      </c>
      <c r="B142" s="55"/>
      <c r="C142" s="1316"/>
      <c r="D142" s="1316"/>
      <c r="E142" s="1317"/>
      <c r="F142" s="1318"/>
      <c r="G142" s="1316"/>
      <c r="H142" s="1319"/>
      <c r="I142" s="1318"/>
      <c r="J142" s="1316"/>
      <c r="K142" s="1319"/>
      <c r="L142" s="25"/>
    </row>
    <row r="143" spans="1:12" s="877" customFormat="1" ht="13.5" x14ac:dyDescent="0.25">
      <c r="A143" s="744" t="s">
        <v>2369</v>
      </c>
      <c r="B143" s="55"/>
      <c r="C143" s="1316"/>
      <c r="D143" s="1316"/>
      <c r="E143" s="1317"/>
      <c r="F143" s="1318"/>
      <c r="G143" s="1316"/>
      <c r="H143" s="1319"/>
      <c r="I143" s="1318"/>
      <c r="J143" s="1316"/>
      <c r="K143" s="1319"/>
      <c r="L143" s="25"/>
    </row>
    <row r="144" spans="1:12" s="877" customFormat="1" ht="13.5" x14ac:dyDescent="0.25">
      <c r="A144" s="744" t="s">
        <v>2370</v>
      </c>
      <c r="B144" s="55"/>
      <c r="C144" s="1316"/>
      <c r="D144" s="1316"/>
      <c r="E144" s="1317"/>
      <c r="F144" s="1318"/>
      <c r="G144" s="1316"/>
      <c r="H144" s="1319"/>
      <c r="I144" s="1318"/>
      <c r="J144" s="1316"/>
      <c r="K144" s="1319"/>
      <c r="L144" s="25"/>
    </row>
    <row r="145" spans="1:12" s="877" customFormat="1" ht="13.5" x14ac:dyDescent="0.25">
      <c r="A145" s="744" t="s">
        <v>2371</v>
      </c>
      <c r="B145" s="55"/>
      <c r="C145" s="1316"/>
      <c r="D145" s="1316"/>
      <c r="E145" s="1317"/>
      <c r="F145" s="1318"/>
      <c r="G145" s="1316"/>
      <c r="H145" s="1319"/>
      <c r="I145" s="1318"/>
      <c r="J145" s="1316"/>
      <c r="K145" s="1319"/>
      <c r="L145" s="25"/>
    </row>
    <row r="146" spans="1:12" s="877" customFormat="1" ht="13.5" x14ac:dyDescent="0.25">
      <c r="A146" s="744" t="s">
        <v>2372</v>
      </c>
      <c r="B146" s="55"/>
      <c r="C146" s="1316"/>
      <c r="D146" s="1316"/>
      <c r="E146" s="1317"/>
      <c r="F146" s="1318"/>
      <c r="G146" s="1316"/>
      <c r="H146" s="1319"/>
      <c r="I146" s="1318"/>
      <c r="J146" s="1316"/>
      <c r="K146" s="1319"/>
      <c r="L146" s="25"/>
    </row>
    <row r="147" spans="1:12" s="877" customFormat="1" ht="13.5" x14ac:dyDescent="0.25">
      <c r="A147" s="744" t="s">
        <v>2373</v>
      </c>
      <c r="B147" s="55"/>
      <c r="C147" s="1316"/>
      <c r="D147" s="1316"/>
      <c r="E147" s="1317"/>
      <c r="F147" s="1318"/>
      <c r="G147" s="1316"/>
      <c r="H147" s="1319"/>
      <c r="I147" s="1318"/>
      <c r="J147" s="1316"/>
      <c r="K147" s="1319"/>
      <c r="L147" s="25"/>
    </row>
    <row r="148" spans="1:12" ht="4.9000000000000004" customHeight="1" x14ac:dyDescent="0.25">
      <c r="A148" s="74"/>
      <c r="B148" s="55"/>
      <c r="C148" s="86"/>
      <c r="D148" s="86"/>
      <c r="E148" s="85"/>
      <c r="F148" s="88"/>
      <c r="G148" s="86"/>
      <c r="H148" s="87"/>
      <c r="I148" s="88"/>
      <c r="J148" s="86"/>
      <c r="K148" s="87"/>
    </row>
    <row r="149" spans="1:12" ht="13.5" customHeight="1" x14ac:dyDescent="0.25">
      <c r="A149" s="54" t="s">
        <v>2374</v>
      </c>
      <c r="B149" s="55"/>
      <c r="C149" s="76">
        <f t="shared" ref="C149:K149" si="23">SUM(C150:C150)</f>
        <v>0</v>
      </c>
      <c r="D149" s="76">
        <f t="shared" si="23"/>
        <v>0</v>
      </c>
      <c r="E149" s="75">
        <f t="shared" si="23"/>
        <v>0</v>
      </c>
      <c r="F149" s="78">
        <f t="shared" si="23"/>
        <v>0</v>
      </c>
      <c r="G149" s="76">
        <f t="shared" si="23"/>
        <v>0</v>
      </c>
      <c r="H149" s="77">
        <f t="shared" si="23"/>
        <v>0</v>
      </c>
      <c r="I149" s="78">
        <f t="shared" si="23"/>
        <v>0</v>
      </c>
      <c r="J149" s="76">
        <f t="shared" si="23"/>
        <v>0</v>
      </c>
      <c r="K149" s="77">
        <f t="shared" si="23"/>
        <v>0</v>
      </c>
    </row>
    <row r="150" spans="1:12" ht="11.25" customHeight="1" x14ac:dyDescent="0.25">
      <c r="A150" s="63" t="s">
        <v>2374</v>
      </c>
      <c r="B150" s="55"/>
      <c r="C150" s="1316"/>
      <c r="D150" s="1316"/>
      <c r="E150" s="1317"/>
      <c r="F150" s="1318"/>
      <c r="G150" s="1316"/>
      <c r="H150" s="1319"/>
      <c r="I150" s="1318"/>
      <c r="J150" s="1316"/>
      <c r="K150" s="1319"/>
    </row>
    <row r="151" spans="1:12" ht="4.9000000000000004" customHeight="1" x14ac:dyDescent="0.25">
      <c r="A151" s="74"/>
      <c r="B151" s="55"/>
      <c r="C151" s="76"/>
      <c r="D151" s="76"/>
      <c r="E151" s="75"/>
      <c r="F151" s="78"/>
      <c r="G151" s="76"/>
      <c r="H151" s="77"/>
      <c r="I151" s="78"/>
      <c r="J151" s="76"/>
      <c r="K151" s="77"/>
    </row>
    <row r="152" spans="1:12" ht="13.5" customHeight="1" x14ac:dyDescent="0.25">
      <c r="A152" s="54" t="s">
        <v>2375</v>
      </c>
      <c r="B152" s="55"/>
      <c r="C152" s="76">
        <f t="shared" ref="C152:K152" si="24">SUM(C153:C153)</f>
        <v>0</v>
      </c>
      <c r="D152" s="76">
        <f t="shared" si="24"/>
        <v>0</v>
      </c>
      <c r="E152" s="75">
        <f t="shared" si="24"/>
        <v>0</v>
      </c>
      <c r="F152" s="78">
        <f t="shared" si="24"/>
        <v>0</v>
      </c>
      <c r="G152" s="76">
        <f t="shared" si="24"/>
        <v>0</v>
      </c>
      <c r="H152" s="77">
        <f t="shared" si="24"/>
        <v>0</v>
      </c>
      <c r="I152" s="78">
        <f t="shared" si="24"/>
        <v>0</v>
      </c>
      <c r="J152" s="76">
        <f t="shared" si="24"/>
        <v>0</v>
      </c>
      <c r="K152" s="77">
        <f t="shared" si="24"/>
        <v>0</v>
      </c>
    </row>
    <row r="153" spans="1:12" ht="11.25" customHeight="1" x14ac:dyDescent="0.25">
      <c r="A153" s="63" t="s">
        <v>2375</v>
      </c>
      <c r="B153" s="55"/>
      <c r="C153" s="1316"/>
      <c r="D153" s="1316"/>
      <c r="E153" s="1317"/>
      <c r="F153" s="1318"/>
      <c r="G153" s="1316"/>
      <c r="H153" s="1319"/>
      <c r="I153" s="1318"/>
      <c r="J153" s="1316"/>
      <c r="K153" s="1319"/>
    </row>
    <row r="154" spans="1:12" ht="4.9000000000000004" customHeight="1" x14ac:dyDescent="0.25">
      <c r="A154" s="74"/>
      <c r="B154" s="55"/>
      <c r="C154" s="76"/>
      <c r="D154" s="76"/>
      <c r="E154" s="75"/>
      <c r="F154" s="78"/>
      <c r="G154" s="76"/>
      <c r="H154" s="77"/>
      <c r="I154" s="78"/>
      <c r="J154" s="76"/>
      <c r="K154" s="77"/>
    </row>
    <row r="155" spans="1:12" ht="13.5" customHeight="1" x14ac:dyDescent="0.25">
      <c r="A155" s="54" t="s">
        <v>2376</v>
      </c>
      <c r="B155" s="55"/>
      <c r="C155" s="76">
        <f t="shared" ref="C155:K155" si="25">SUM(C156:C156)</f>
        <v>0</v>
      </c>
      <c r="D155" s="76">
        <f t="shared" si="25"/>
        <v>0</v>
      </c>
      <c r="E155" s="75">
        <f t="shared" si="25"/>
        <v>0</v>
      </c>
      <c r="F155" s="78">
        <f t="shared" si="25"/>
        <v>0</v>
      </c>
      <c r="G155" s="76">
        <f t="shared" si="25"/>
        <v>0</v>
      </c>
      <c r="H155" s="77">
        <f t="shared" si="25"/>
        <v>0</v>
      </c>
      <c r="I155" s="78">
        <f t="shared" si="25"/>
        <v>0</v>
      </c>
      <c r="J155" s="76">
        <f t="shared" si="25"/>
        <v>0</v>
      </c>
      <c r="K155" s="77">
        <f t="shared" si="25"/>
        <v>0</v>
      </c>
    </row>
    <row r="156" spans="1:12" ht="11.25" customHeight="1" x14ac:dyDescent="0.25">
      <c r="A156" s="63" t="s">
        <v>2376</v>
      </c>
      <c r="B156" s="55"/>
      <c r="C156" s="1316"/>
      <c r="D156" s="1316"/>
      <c r="E156" s="1317"/>
      <c r="F156" s="1318"/>
      <c r="G156" s="1316"/>
      <c r="H156" s="1319"/>
      <c r="I156" s="1318"/>
      <c r="J156" s="1316"/>
      <c r="K156" s="1319"/>
    </row>
    <row r="157" spans="1:12" ht="4.9000000000000004" customHeight="1" x14ac:dyDescent="0.25">
      <c r="A157" s="74"/>
      <c r="B157" s="55"/>
      <c r="C157" s="76"/>
      <c r="D157" s="76"/>
      <c r="E157" s="75"/>
      <c r="F157" s="78"/>
      <c r="G157" s="76"/>
      <c r="H157" s="77"/>
      <c r="I157" s="78"/>
      <c r="J157" s="76"/>
      <c r="K157" s="77"/>
    </row>
    <row r="158" spans="1:12" ht="13.5" customHeight="1" x14ac:dyDescent="0.25">
      <c r="A158" s="54" t="s">
        <v>2377</v>
      </c>
      <c r="B158" s="55"/>
      <c r="C158" s="76">
        <f t="shared" ref="C158:K158" si="26">SUM(C159:C159)</f>
        <v>0</v>
      </c>
      <c r="D158" s="76">
        <f t="shared" si="26"/>
        <v>0</v>
      </c>
      <c r="E158" s="75">
        <f t="shared" si="26"/>
        <v>0</v>
      </c>
      <c r="F158" s="78">
        <f t="shared" si="26"/>
        <v>0</v>
      </c>
      <c r="G158" s="76">
        <f t="shared" si="26"/>
        <v>0</v>
      </c>
      <c r="H158" s="77">
        <f t="shared" si="26"/>
        <v>0</v>
      </c>
      <c r="I158" s="78">
        <f t="shared" si="26"/>
        <v>0</v>
      </c>
      <c r="J158" s="76">
        <f t="shared" si="26"/>
        <v>0</v>
      </c>
      <c r="K158" s="77">
        <f t="shared" si="26"/>
        <v>0</v>
      </c>
    </row>
    <row r="159" spans="1:12" ht="11.25" customHeight="1" x14ac:dyDescent="0.25">
      <c r="A159" s="63" t="s">
        <v>2377</v>
      </c>
      <c r="B159" s="55"/>
      <c r="C159" s="1316"/>
      <c r="D159" s="1316"/>
      <c r="E159" s="1317"/>
      <c r="F159" s="1318"/>
      <c r="G159" s="1316"/>
      <c r="H159" s="1319"/>
      <c r="I159" s="1318"/>
      <c r="J159" s="1316"/>
      <c r="K159" s="1319"/>
    </row>
    <row r="160" spans="1:12" ht="4.9000000000000004" customHeight="1" x14ac:dyDescent="0.25">
      <c r="A160" s="74"/>
      <c r="B160" s="55"/>
      <c r="C160" s="76"/>
      <c r="D160" s="76"/>
      <c r="E160" s="75"/>
      <c r="F160" s="78"/>
      <c r="G160" s="76"/>
      <c r="H160" s="77"/>
      <c r="I160" s="78"/>
      <c r="J160" s="76"/>
      <c r="K160" s="77"/>
    </row>
    <row r="161" spans="1:12" ht="13.5" customHeight="1" x14ac:dyDescent="0.25">
      <c r="A161" s="54" t="s">
        <v>2514</v>
      </c>
      <c r="B161" s="55"/>
      <c r="C161" s="76">
        <f t="shared" ref="C161:K161" si="27">SUM(C162:C162)</f>
        <v>0</v>
      </c>
      <c r="D161" s="76">
        <f t="shared" si="27"/>
        <v>0</v>
      </c>
      <c r="E161" s="75">
        <f t="shared" si="27"/>
        <v>0</v>
      </c>
      <c r="F161" s="78">
        <f t="shared" si="27"/>
        <v>0</v>
      </c>
      <c r="G161" s="76">
        <f t="shared" si="27"/>
        <v>0</v>
      </c>
      <c r="H161" s="77">
        <f t="shared" si="27"/>
        <v>0</v>
      </c>
      <c r="I161" s="78">
        <f t="shared" si="27"/>
        <v>0</v>
      </c>
      <c r="J161" s="76">
        <f t="shared" si="27"/>
        <v>0</v>
      </c>
      <c r="K161" s="77">
        <f t="shared" si="27"/>
        <v>0</v>
      </c>
    </row>
    <row r="162" spans="1:12" ht="11.25" customHeight="1" x14ac:dyDescent="0.25">
      <c r="A162" s="63" t="s">
        <v>2514</v>
      </c>
      <c r="B162" s="55"/>
      <c r="C162" s="1316"/>
      <c r="D162" s="1316"/>
      <c r="E162" s="1317"/>
      <c r="F162" s="1318"/>
      <c r="G162" s="1316"/>
      <c r="H162" s="1319"/>
      <c r="I162" s="1318"/>
      <c r="J162" s="1316"/>
      <c r="K162" s="1319"/>
    </row>
    <row r="163" spans="1:12" ht="4.9000000000000004" customHeight="1" x14ac:dyDescent="0.25">
      <c r="A163" s="74"/>
      <c r="B163" s="55"/>
      <c r="C163" s="76"/>
      <c r="D163" s="76"/>
      <c r="E163" s="75"/>
      <c r="F163" s="78"/>
      <c r="G163" s="76"/>
      <c r="H163" s="77"/>
      <c r="I163" s="78"/>
      <c r="J163" s="76"/>
      <c r="K163" s="77"/>
    </row>
    <row r="164" spans="1:12" ht="13.5" customHeight="1" x14ac:dyDescent="0.25">
      <c r="A164" s="54" t="s">
        <v>2378</v>
      </c>
      <c r="B164" s="55"/>
      <c r="C164" s="76">
        <f t="shared" ref="C164:K164" si="28">SUM(C165:C165)</f>
        <v>0</v>
      </c>
      <c r="D164" s="76">
        <f t="shared" si="28"/>
        <v>0</v>
      </c>
      <c r="E164" s="75">
        <f t="shared" si="28"/>
        <v>0</v>
      </c>
      <c r="F164" s="78">
        <f t="shared" si="28"/>
        <v>0</v>
      </c>
      <c r="G164" s="76">
        <f t="shared" si="28"/>
        <v>0</v>
      </c>
      <c r="H164" s="77">
        <f t="shared" si="28"/>
        <v>0</v>
      </c>
      <c r="I164" s="78">
        <f t="shared" si="28"/>
        <v>0</v>
      </c>
      <c r="J164" s="76">
        <f t="shared" si="28"/>
        <v>0</v>
      </c>
      <c r="K164" s="77">
        <f t="shared" si="28"/>
        <v>0</v>
      </c>
    </row>
    <row r="165" spans="1:12" ht="11.25" customHeight="1" x14ac:dyDescent="0.25">
      <c r="A165" s="63" t="s">
        <v>2378</v>
      </c>
      <c r="B165" s="55"/>
      <c r="C165" s="1316"/>
      <c r="D165" s="1316"/>
      <c r="E165" s="1317"/>
      <c r="F165" s="1318"/>
      <c r="G165" s="1316"/>
      <c r="H165" s="1319"/>
      <c r="I165" s="1318"/>
      <c r="J165" s="1316"/>
      <c r="K165" s="1319"/>
    </row>
    <row r="166" spans="1:12" ht="4.9000000000000004" customHeight="1" x14ac:dyDescent="0.25">
      <c r="A166" s="74"/>
      <c r="B166" s="55"/>
      <c r="C166" s="76"/>
      <c r="D166" s="76"/>
      <c r="E166" s="75"/>
      <c r="F166" s="78"/>
      <c r="G166" s="76"/>
      <c r="H166" s="77"/>
      <c r="I166" s="78"/>
      <c r="J166" s="76"/>
      <c r="K166" s="77"/>
    </row>
    <row r="167" spans="1:12" x14ac:dyDescent="0.25">
      <c r="A167" s="92" t="s">
        <v>2391</v>
      </c>
      <c r="B167" s="93">
        <v>1</v>
      </c>
      <c r="C167" s="95">
        <f>C6+C74+C103+C110+C118+C136+C139+C149+C152+C155+C158+C161+C164</f>
        <v>0</v>
      </c>
      <c r="D167" s="95">
        <f t="shared" ref="D167:K167" si="29">D6+D74+D103+D110+D118+D136+D139+D149+D152+D155+D158+D161+D164</f>
        <v>0</v>
      </c>
      <c r="E167" s="94">
        <f t="shared" si="29"/>
        <v>0</v>
      </c>
      <c r="F167" s="97">
        <f t="shared" si="29"/>
        <v>25040427</v>
      </c>
      <c r="G167" s="95">
        <f t="shared" si="29"/>
        <v>20330548</v>
      </c>
      <c r="H167" s="96">
        <f t="shared" si="29"/>
        <v>20330548</v>
      </c>
      <c r="I167" s="97">
        <f t="shared" si="29"/>
        <v>16340973</v>
      </c>
      <c r="J167" s="95">
        <f t="shared" si="29"/>
        <v>18922359</v>
      </c>
      <c r="K167" s="96">
        <f t="shared" si="29"/>
        <v>0</v>
      </c>
    </row>
    <row r="168" spans="1:12" ht="3.75" customHeight="1" x14ac:dyDescent="0.25">
      <c r="A168" s="63"/>
      <c r="C168" s="770"/>
      <c r="D168" s="770"/>
      <c r="E168" s="770"/>
      <c r="F168" s="769"/>
      <c r="G168" s="770"/>
      <c r="H168" s="768"/>
      <c r="I168" s="769"/>
      <c r="J168" s="770"/>
      <c r="K168" s="768"/>
    </row>
    <row r="169" spans="1:12" s="464" customFormat="1" x14ac:dyDescent="0.25">
      <c r="A169" s="1196" t="s">
        <v>2392</v>
      </c>
      <c r="B169" s="598"/>
      <c r="C169" s="1197">
        <f>IF(ISERROR(C167/'A9-Asset'!C67),0,(C167/'A9-Asset'!C67))</f>
        <v>0</v>
      </c>
      <c r="D169" s="1197">
        <f>IF(ISERROR(D167/'A9-Asset'!D132),0,(D167/'A9-Asset'!D132))</f>
        <v>0</v>
      </c>
      <c r="E169" s="1200">
        <f>IF(ISERROR(E167/'A9-Asset'!E132),0,(E167/'A9-Asset'!E132))</f>
        <v>0</v>
      </c>
      <c r="F169" s="1199">
        <f>IF(ISERROR(F167/'A9-Asset'!F132),0,(F167/'A9-Asset'!F132))</f>
        <v>0.55789702697644572</v>
      </c>
      <c r="G169" s="1197">
        <f>IF(ISERROR(G167/'A9-Asset'!G132),0,(G167/'A9-Asset'!G132))</f>
        <v>0.33503485694059393</v>
      </c>
      <c r="H169" s="1198">
        <f>IF(ISERROR(H167/'A9-Asset'!H132),0,(H167/'A9-Asset'!H132))</f>
        <v>0.33503485694059393</v>
      </c>
      <c r="I169" s="1201">
        <f>IF(ISERROR(I167/'A9-Asset'!I132),0,(I167/'A9-Asset'!I132))</f>
        <v>0.50361365817660653</v>
      </c>
      <c r="J169" s="1197">
        <f>IF(ISERROR(J167/'A9-Asset'!J132),0,(J167/'A9-Asset'!J132))</f>
        <v>0.37865544049227073</v>
      </c>
      <c r="K169" s="1198">
        <f>IF(ISERROR(K167/'A9-Asset'!K132),0,(K167/'A9-Asset'!K132))</f>
        <v>0</v>
      </c>
      <c r="L169" s="770"/>
    </row>
    <row r="170" spans="1:12" s="464" customFormat="1" ht="11.25" customHeight="1" x14ac:dyDescent="0.25">
      <c r="A170" s="1189" t="s">
        <v>2393</v>
      </c>
      <c r="B170" s="1190"/>
      <c r="C170" s="1191">
        <f>IF(ISERROR(C167/'A9-Asset'!C168),0,(C167/'A9-Asset'!C168))</f>
        <v>0</v>
      </c>
      <c r="D170" s="1191">
        <f>IF(ISERROR(D167/'A9-Asset'!D168),0,(D167/'A9-Asset'!D168))</f>
        <v>0</v>
      </c>
      <c r="E170" s="1194">
        <f>IF(ISERROR(E167/'A9-Asset'!E168),0,(E167/'A9-Asset'!E168))</f>
        <v>0</v>
      </c>
      <c r="F170" s="1193">
        <f>IF(ISERROR(F167/'A9-Asset'!F168),0,(F167/'A9-Asset'!F168))</f>
        <v>0.70630438374574711</v>
      </c>
      <c r="G170" s="1191">
        <f>IF(ISERROR(G167/'A9-Asset'!G168),0,(G167/'A9-Asset'!G168))</f>
        <v>0.30874703085702865</v>
      </c>
      <c r="H170" s="1192">
        <f>IF(ISERROR(H167/'A9-Asset'!H168),0,(H167/'A9-Asset'!H168))</f>
        <v>0.30874703085702865</v>
      </c>
      <c r="I170" s="1195">
        <f>IF(ISERROR(I167/'A9-Asset'!I168),0,(I167/'A9-Asset'!I168))</f>
        <v>0.24815990289719761</v>
      </c>
      <c r="J170" s="1191">
        <f>IF(ISERROR(J167/'A9-Asset'!J168),0,(J167/'A9-Asset'!J168))</f>
        <v>0.28736175803233466</v>
      </c>
      <c r="K170" s="1192">
        <f>IF(ISERROR(K167/'A9-Asset'!K168),0,(K167/'A9-Asset'!K168))</f>
        <v>0</v>
      </c>
    </row>
    <row r="171" spans="1:12" s="464" customFormat="1" ht="11.25" customHeight="1" x14ac:dyDescent="0.25">
      <c r="A171" s="101" t="str">
        <f>head27a</f>
        <v>References</v>
      </c>
      <c r="B171" s="645"/>
      <c r="C171" s="647"/>
      <c r="D171" s="647"/>
      <c r="E171" s="647"/>
      <c r="F171" s="647"/>
      <c r="G171" s="647"/>
      <c r="H171" s="647"/>
      <c r="I171" s="647"/>
      <c r="J171" s="647"/>
      <c r="K171" s="647"/>
    </row>
    <row r="172" spans="1:12" s="464" customFormat="1" ht="16.149999999999999" customHeight="1" x14ac:dyDescent="0.25">
      <c r="A172" s="132" t="s">
        <v>2394</v>
      </c>
      <c r="B172" s="645"/>
      <c r="C172" s="648"/>
      <c r="D172" s="648"/>
      <c r="E172" s="647"/>
      <c r="F172" s="647"/>
      <c r="G172" s="647"/>
      <c r="H172" s="647"/>
      <c r="I172" s="647"/>
      <c r="J172" s="647"/>
      <c r="K172" s="647"/>
    </row>
    <row r="173" spans="1:12" ht="11.25" customHeight="1" x14ac:dyDescent="0.25">
      <c r="A173" s="646"/>
      <c r="B173" s="645"/>
      <c r="C173" s="648"/>
      <c r="D173" s="648"/>
      <c r="E173" s="647"/>
      <c r="F173" s="647"/>
      <c r="G173" s="647"/>
      <c r="H173" s="647"/>
      <c r="I173" s="647"/>
      <c r="J173" s="647"/>
      <c r="K173" s="647"/>
    </row>
    <row r="174" spans="1:12" ht="11.25" customHeight="1" x14ac:dyDescent="0.25">
      <c r="C174" s="103"/>
      <c r="D174" s="103"/>
      <c r="E174" s="104"/>
      <c r="F174" s="104"/>
      <c r="G174" s="104"/>
      <c r="H174" s="104"/>
      <c r="I174" s="104"/>
      <c r="J174" s="104"/>
      <c r="K174" s="104"/>
    </row>
    <row r="175" spans="1:12" ht="11.25" customHeight="1" x14ac:dyDescent="0.25">
      <c r="A175" s="133" t="s">
        <v>249</v>
      </c>
      <c r="B175" s="107"/>
      <c r="C175" s="109">
        <f>SUM(C167+SA34a!C167++SA34b!C167)-'A5-Capex'!C40</f>
        <v>0</v>
      </c>
      <c r="D175" s="109">
        <f>SUM(D167+SA34a!D167++SA34b!D167)-'A5-Capex'!D40</f>
        <v>0.28999999910593033</v>
      </c>
      <c r="E175" s="109">
        <f>SUM(E167+SA34a!E167++SA34b!E167)-'A5-Capex'!E40</f>
        <v>0</v>
      </c>
      <c r="F175" s="109">
        <f>SUM(F167+SA34a!F167++SA34b!F167)-'A5-Capex'!F40</f>
        <v>0</v>
      </c>
      <c r="G175" s="109">
        <f>SUM(G167+SA34a!G167++SA34b!G167)-'A5-Capex'!G40</f>
        <v>0</v>
      </c>
      <c r="H175" s="109">
        <f>SUM(H167+SA34a!H167++SA34b!H167)-'A5-Capex'!H40</f>
        <v>0</v>
      </c>
      <c r="I175" s="109">
        <f>SUM(I167+SA34a!I167++SA34b!I167)-'A5-Capex'!I40</f>
        <v>-28234450.899999999</v>
      </c>
      <c r="J175" s="109">
        <f>SUM(J167+SA34a!J167++SA34b!J167)-'A5-Capex'!J40</f>
        <v>17525061.899999999</v>
      </c>
      <c r="K175" s="109">
        <f>SUM(K167+SA34a!K167++SA34b!K167)-'A5-Capex'!K40</f>
        <v>-49972500</v>
      </c>
    </row>
    <row r="176" spans="1:12"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sheetData>
  <mergeCells count="2">
    <mergeCell ref="F2:H2"/>
    <mergeCell ref="I2:K2"/>
  </mergeCells>
  <pageMargins left="0.75" right="0.75" top="1" bottom="1" header="0.5" footer="0.5"/>
  <pageSetup paperSize="9" scale="6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Y1582"/>
  <sheetViews>
    <sheetView showGridLines="0" topLeftCell="A79" zoomScaleNormal="100" workbookViewId="0">
      <selection activeCell="B4" sqref="B4"/>
    </sheetView>
  </sheetViews>
  <sheetFormatPr defaultRowHeight="12.75" x14ac:dyDescent="0.2"/>
  <cols>
    <col min="1" max="1" width="20.7109375" style="1777" customWidth="1"/>
    <col min="2" max="2" width="40.7109375" style="1777" customWidth="1"/>
    <col min="3" max="3" width="20.7109375" style="1777" customWidth="1"/>
    <col min="4" max="4" width="40.7109375" style="1777" customWidth="1"/>
    <col min="5" max="5" width="8.7109375" style="831" customWidth="1"/>
    <col min="6" max="10" width="8.7109375" style="832" customWidth="1"/>
    <col min="11" max="15" width="12.7109375" style="832" customWidth="1"/>
    <col min="16" max="17" width="30.7109375" style="832" customWidth="1"/>
    <col min="18" max="16384" width="9.140625" style="832"/>
  </cols>
  <sheetData>
    <row r="1" spans="1:17" ht="13.5" customHeight="1" x14ac:dyDescent="0.3">
      <c r="A1" s="1775" t="str">
        <f>muni&amp;" - "&amp;" Contact Information"</f>
        <v>EC101 Dr Beyers Naude -  Contact Information</v>
      </c>
      <c r="B1" s="1776"/>
    </row>
    <row r="2" spans="1:17" ht="13.5" customHeight="1" x14ac:dyDescent="0.2">
      <c r="B2" s="1778"/>
    </row>
    <row r="3" spans="1:17" ht="13.5" customHeight="1" thickBot="1" x14ac:dyDescent="0.3">
      <c r="A3" s="1779" t="s">
        <v>905</v>
      </c>
      <c r="B3" s="1780"/>
    </row>
    <row r="4" spans="1:17" ht="13.5" customHeight="1" thickTop="1" x14ac:dyDescent="0.2">
      <c r="A4" s="1781" t="s">
        <v>906</v>
      </c>
      <c r="B4" s="1847" t="str">
        <f>muni</f>
        <v>EC101 Dr Beyers Naude</v>
      </c>
      <c r="C4" s="1782" t="str">
        <f>IF(B4="Choose name from List","Set name on 'Instructions' sheet", "")</f>
        <v/>
      </c>
      <c r="D4" s="1783"/>
      <c r="F4" s="833"/>
      <c r="G4" s="833"/>
      <c r="H4" s="833"/>
      <c r="I4" s="833"/>
      <c r="J4" s="833"/>
      <c r="K4" s="834"/>
      <c r="L4" s="834"/>
      <c r="M4" s="834"/>
      <c r="N4" s="834"/>
      <c r="O4" s="834"/>
      <c r="P4" s="871"/>
      <c r="Q4" s="835"/>
    </row>
    <row r="5" spans="1:17" ht="13.5" customHeight="1" x14ac:dyDescent="0.2">
      <c r="A5" s="1784"/>
      <c r="B5" s="1785"/>
      <c r="C5" s="1783"/>
      <c r="D5" s="1783"/>
      <c r="F5" s="833"/>
      <c r="G5" s="833"/>
      <c r="H5" s="833"/>
      <c r="I5" s="833"/>
      <c r="J5" s="833"/>
      <c r="K5" s="834"/>
      <c r="L5" s="834"/>
      <c r="M5" s="834"/>
      <c r="N5" s="834"/>
      <c r="O5" s="834"/>
      <c r="P5" s="871"/>
      <c r="Q5" s="837"/>
    </row>
    <row r="6" spans="1:17" s="838" customFormat="1" ht="13.5" customHeight="1" x14ac:dyDescent="0.25">
      <c r="A6" s="1786" t="s">
        <v>99</v>
      </c>
      <c r="B6" s="1787"/>
      <c r="C6" s="1788" t="s">
        <v>100</v>
      </c>
      <c r="D6" s="1789"/>
      <c r="E6" s="836"/>
      <c r="F6" s="833"/>
      <c r="G6" s="833"/>
      <c r="H6" s="833"/>
      <c r="I6" s="833"/>
      <c r="J6" s="833"/>
      <c r="K6" s="834"/>
      <c r="L6" s="834"/>
      <c r="M6" s="834"/>
      <c r="N6" s="834"/>
      <c r="O6" s="834"/>
      <c r="P6" s="871"/>
      <c r="Q6" s="835"/>
    </row>
    <row r="7" spans="1:17" s="838" customFormat="1" ht="13.5" customHeight="1" x14ac:dyDescent="0.2">
      <c r="A7" s="1790"/>
      <c r="B7" s="1791"/>
      <c r="C7" s="1789"/>
      <c r="D7" s="1789"/>
      <c r="E7" s="836"/>
      <c r="F7" s="833"/>
      <c r="G7" s="833"/>
      <c r="H7" s="833"/>
      <c r="I7" s="833"/>
      <c r="J7" s="833"/>
      <c r="K7" s="834"/>
      <c r="L7" s="834"/>
      <c r="M7" s="834"/>
      <c r="N7" s="834"/>
      <c r="O7" s="834"/>
      <c r="P7" s="871"/>
      <c r="Q7" s="835"/>
    </row>
    <row r="8" spans="1:17" s="838" customFormat="1" ht="13.5" customHeight="1" x14ac:dyDescent="0.2">
      <c r="A8" s="1792" t="s">
        <v>101</v>
      </c>
      <c r="B8" s="1793" t="str">
        <f>IF(B4&gt;" ",VLOOKUP(B4,'Lookup and lists'!B29:C307,2, FALSE)," ")</f>
        <v>EC EASTERN CAPE</v>
      </c>
      <c r="C8" s="1896"/>
      <c r="D8" s="1896"/>
      <c r="E8" s="836"/>
      <c r="F8" s="833"/>
      <c r="G8" s="833"/>
      <c r="H8" s="833"/>
      <c r="I8" s="833"/>
      <c r="J8" s="833"/>
      <c r="K8" s="834"/>
      <c r="L8" s="834"/>
      <c r="M8" s="834"/>
      <c r="N8" s="834"/>
      <c r="O8" s="834"/>
      <c r="P8" s="871"/>
      <c r="Q8" s="835"/>
    </row>
    <row r="9" spans="1:17" s="838" customFormat="1" ht="13.5" customHeight="1" x14ac:dyDescent="0.2">
      <c r="A9" s="1795"/>
      <c r="B9" s="1796"/>
      <c r="C9" s="1794"/>
      <c r="D9" s="1794"/>
      <c r="E9" s="836"/>
      <c r="F9" s="833"/>
      <c r="G9" s="833"/>
      <c r="H9" s="833"/>
      <c r="I9" s="833"/>
      <c r="J9" s="833"/>
      <c r="K9" s="834"/>
      <c r="L9" s="834"/>
      <c r="M9" s="834"/>
      <c r="N9" s="834"/>
      <c r="O9" s="834"/>
      <c r="P9" s="871"/>
      <c r="Q9" s="835"/>
    </row>
    <row r="10" spans="1:17" ht="13.5" customHeight="1" x14ac:dyDescent="0.2">
      <c r="A10" s="1797" t="s">
        <v>102</v>
      </c>
      <c r="B10" s="1798"/>
      <c r="C10" s="1799"/>
      <c r="D10" s="1800"/>
      <c r="F10" s="833"/>
      <c r="G10" s="833"/>
      <c r="H10" s="833"/>
      <c r="I10" s="833"/>
      <c r="J10" s="833"/>
      <c r="K10" s="834"/>
      <c r="L10" s="834"/>
      <c r="M10" s="834"/>
      <c r="N10" s="834"/>
      <c r="O10" s="834"/>
      <c r="P10" s="871"/>
      <c r="Q10" s="835"/>
    </row>
    <row r="11" spans="1:17" ht="13.5" customHeight="1" x14ac:dyDescent="0.2">
      <c r="A11" s="1801"/>
      <c r="B11" s="1802"/>
      <c r="C11" s="1901"/>
      <c r="D11" s="1902"/>
      <c r="F11" s="833"/>
      <c r="G11" s="833"/>
      <c r="H11" s="833"/>
      <c r="I11" s="833"/>
      <c r="J11" s="833"/>
      <c r="K11" s="834"/>
      <c r="L11" s="834"/>
      <c r="M11" s="834"/>
      <c r="N11" s="834"/>
      <c r="O11" s="834"/>
      <c r="P11" s="871"/>
      <c r="Q11" s="837"/>
    </row>
    <row r="12" spans="1:17" ht="13.5" customHeight="1" x14ac:dyDescent="0.2">
      <c r="A12" s="1797" t="s">
        <v>1539</v>
      </c>
      <c r="B12" s="1803"/>
      <c r="C12" s="1794"/>
      <c r="D12" s="1794"/>
      <c r="F12" s="833"/>
      <c r="G12" s="833"/>
      <c r="H12" s="833"/>
      <c r="I12" s="833"/>
      <c r="J12" s="833"/>
      <c r="K12" s="834"/>
      <c r="L12" s="834"/>
      <c r="M12" s="834"/>
      <c r="N12" s="834"/>
      <c r="O12" s="834"/>
      <c r="P12" s="871"/>
      <c r="Q12" s="835"/>
    </row>
    <row r="13" spans="1:17" ht="13.5" customHeight="1" x14ac:dyDescent="0.2">
      <c r="A13" s="1804"/>
      <c r="B13" s="1805"/>
      <c r="C13" s="1903"/>
      <c r="D13" s="1903"/>
      <c r="F13" s="833"/>
      <c r="G13" s="833"/>
      <c r="H13" s="833"/>
      <c r="I13" s="839"/>
      <c r="J13" s="833"/>
      <c r="K13" s="834"/>
      <c r="L13" s="834"/>
      <c r="M13" s="834"/>
      <c r="N13" s="834"/>
      <c r="O13" s="834"/>
      <c r="P13" s="871"/>
    </row>
    <row r="14" spans="1:17" ht="13.5" customHeight="1" thickBot="1" x14ac:dyDescent="0.25">
      <c r="A14" s="1897" t="s">
        <v>1543</v>
      </c>
      <c r="B14" s="1898"/>
      <c r="C14" s="1806"/>
      <c r="D14" s="1806"/>
      <c r="F14" s="833"/>
      <c r="G14" s="833"/>
      <c r="H14" s="839"/>
      <c r="I14" s="840"/>
      <c r="J14" s="833"/>
      <c r="K14" s="834"/>
      <c r="L14" s="834"/>
      <c r="M14" s="834"/>
      <c r="N14" s="834"/>
      <c r="O14" s="834"/>
      <c r="P14" s="871"/>
    </row>
    <row r="15" spans="1:17" ht="13.5" customHeight="1" thickTop="1" x14ac:dyDescent="0.2">
      <c r="A15" s="1807" t="s">
        <v>1544</v>
      </c>
      <c r="B15" s="1808"/>
      <c r="F15" s="839"/>
      <c r="G15" s="833"/>
      <c r="H15" s="840"/>
      <c r="I15" s="840"/>
      <c r="J15" s="833"/>
      <c r="K15" s="834"/>
      <c r="L15" s="834"/>
      <c r="M15" s="834"/>
      <c r="N15" s="834"/>
      <c r="O15" s="834"/>
      <c r="P15" s="871"/>
    </row>
    <row r="16" spans="1:17" s="838" customFormat="1" ht="13.5" customHeight="1" x14ac:dyDescent="0.2">
      <c r="A16" s="1809" t="s">
        <v>1546</v>
      </c>
      <c r="B16" s="1810"/>
      <c r="C16" s="1777"/>
      <c r="D16" s="1777"/>
      <c r="E16" s="836"/>
      <c r="F16" s="840"/>
      <c r="G16" s="839"/>
      <c r="H16" s="840"/>
      <c r="I16" s="840"/>
      <c r="J16" s="833"/>
      <c r="K16" s="834"/>
      <c r="L16" s="834"/>
      <c r="M16" s="834"/>
      <c r="N16" s="834"/>
      <c r="O16" s="834"/>
      <c r="P16" s="871"/>
      <c r="Q16" s="832"/>
    </row>
    <row r="17" spans="1:17" ht="13.5" customHeight="1" x14ac:dyDescent="0.2">
      <c r="A17" s="1809" t="s">
        <v>1548</v>
      </c>
      <c r="B17" s="1810"/>
      <c r="F17" s="840"/>
      <c r="G17" s="840"/>
      <c r="H17" s="840"/>
      <c r="I17" s="840"/>
      <c r="J17" s="839"/>
      <c r="K17" s="834"/>
      <c r="L17" s="834"/>
      <c r="M17" s="834"/>
      <c r="N17" s="834"/>
      <c r="O17" s="834"/>
      <c r="P17" s="871"/>
    </row>
    <row r="18" spans="1:17" ht="13.5" customHeight="1" x14ac:dyDescent="0.2">
      <c r="A18" s="1811" t="s">
        <v>1549</v>
      </c>
      <c r="B18" s="1812"/>
      <c r="F18" s="840"/>
      <c r="G18" s="840"/>
      <c r="H18" s="840"/>
      <c r="I18" s="840"/>
      <c r="J18" s="840"/>
      <c r="K18" s="834"/>
      <c r="L18" s="834"/>
      <c r="M18" s="834"/>
      <c r="N18" s="834"/>
      <c r="O18" s="834"/>
      <c r="P18" s="871"/>
    </row>
    <row r="19" spans="1:17" ht="13.5" customHeight="1" x14ac:dyDescent="0.2">
      <c r="A19" s="1813"/>
      <c r="B19" s="1814"/>
      <c r="F19" s="840"/>
      <c r="G19" s="840"/>
      <c r="H19" s="840"/>
      <c r="I19" s="840"/>
      <c r="J19" s="840"/>
      <c r="K19" s="834"/>
      <c r="L19" s="834"/>
      <c r="M19" s="834"/>
      <c r="N19" s="834"/>
      <c r="O19" s="834"/>
      <c r="P19" s="871"/>
    </row>
    <row r="20" spans="1:17" ht="13.5" customHeight="1" x14ac:dyDescent="0.2">
      <c r="A20" s="1815" t="s">
        <v>1003</v>
      </c>
      <c r="B20" s="1816"/>
      <c r="F20" s="840"/>
      <c r="G20" s="840"/>
      <c r="H20" s="840"/>
      <c r="I20" s="840"/>
      <c r="J20" s="840"/>
      <c r="K20" s="834"/>
      <c r="L20" s="834"/>
      <c r="M20" s="834"/>
      <c r="N20" s="834"/>
      <c r="O20" s="834"/>
      <c r="P20" s="871"/>
    </row>
    <row r="21" spans="1:17" ht="13.5" customHeight="1" x14ac:dyDescent="0.2">
      <c r="A21" s="1809" t="s">
        <v>1005</v>
      </c>
      <c r="B21" s="1810"/>
      <c r="F21" s="840"/>
      <c r="G21" s="840"/>
      <c r="H21" s="840"/>
      <c r="I21" s="840"/>
      <c r="J21" s="840"/>
      <c r="K21" s="834"/>
      <c r="L21" s="834"/>
      <c r="M21" s="834"/>
      <c r="N21" s="834"/>
      <c r="O21" s="834"/>
      <c r="P21" s="871"/>
    </row>
    <row r="22" spans="1:17" ht="13.5" customHeight="1" x14ac:dyDescent="0.2">
      <c r="A22" s="1809" t="s">
        <v>1007</v>
      </c>
      <c r="B22" s="1810"/>
      <c r="F22" s="840"/>
      <c r="G22" s="840"/>
      <c r="H22" s="840"/>
      <c r="I22" s="840"/>
      <c r="J22" s="840"/>
      <c r="K22" s="834"/>
      <c r="L22" s="834"/>
      <c r="M22" s="834"/>
      <c r="N22" s="834"/>
      <c r="O22" s="834"/>
      <c r="P22" s="871"/>
    </row>
    <row r="23" spans="1:17" ht="13.5" customHeight="1" x14ac:dyDescent="0.2">
      <c r="A23" s="1809" t="s">
        <v>1548</v>
      </c>
      <c r="B23" s="1810"/>
      <c r="F23" s="840"/>
      <c r="G23" s="840"/>
      <c r="H23" s="840"/>
      <c r="I23" s="840"/>
      <c r="J23" s="840"/>
      <c r="K23" s="834"/>
      <c r="L23" s="834"/>
      <c r="M23" s="834"/>
      <c r="N23" s="834"/>
      <c r="O23" s="834"/>
      <c r="P23" s="871"/>
    </row>
    <row r="24" spans="1:17" ht="13.5" customHeight="1" x14ac:dyDescent="0.2">
      <c r="A24" s="1811" t="s">
        <v>1549</v>
      </c>
      <c r="B24" s="1812"/>
      <c r="F24" s="840"/>
      <c r="G24" s="840"/>
      <c r="H24" s="840"/>
      <c r="I24" s="840"/>
      <c r="J24" s="840"/>
      <c r="K24" s="834"/>
      <c r="L24" s="834"/>
      <c r="M24" s="834"/>
      <c r="N24" s="834"/>
      <c r="O24" s="834"/>
      <c r="P24" s="871"/>
    </row>
    <row r="25" spans="1:17" ht="13.5" customHeight="1" x14ac:dyDescent="0.2">
      <c r="A25" s="1813"/>
      <c r="B25" s="1814"/>
      <c r="F25" s="840"/>
      <c r="G25" s="840"/>
      <c r="H25" s="840"/>
      <c r="I25" s="840"/>
      <c r="J25" s="840"/>
      <c r="K25" s="834"/>
      <c r="L25" s="834"/>
      <c r="M25" s="834"/>
      <c r="N25" s="834"/>
      <c r="O25" s="834"/>
      <c r="P25" s="871"/>
    </row>
    <row r="26" spans="1:17" ht="13.5" customHeight="1" x14ac:dyDescent="0.2">
      <c r="A26" s="1815" t="s">
        <v>1011</v>
      </c>
      <c r="B26" s="1816"/>
      <c r="F26" s="840"/>
      <c r="G26" s="840"/>
      <c r="H26" s="840"/>
      <c r="I26" s="840"/>
      <c r="J26" s="840"/>
      <c r="K26" s="834"/>
      <c r="L26" s="834"/>
      <c r="M26" s="834"/>
      <c r="N26" s="834"/>
      <c r="O26" s="834"/>
      <c r="P26" s="871"/>
    </row>
    <row r="27" spans="1:17" ht="13.5" customHeight="1" x14ac:dyDescent="0.2">
      <c r="A27" s="1809" t="s">
        <v>1013</v>
      </c>
      <c r="B27" s="1810"/>
      <c r="F27" s="840"/>
      <c r="G27" s="840"/>
      <c r="H27" s="840"/>
      <c r="I27" s="840"/>
      <c r="J27" s="840"/>
      <c r="K27" s="834"/>
      <c r="L27" s="834"/>
      <c r="M27" s="834"/>
      <c r="N27" s="834"/>
      <c r="O27" s="834"/>
      <c r="P27" s="871"/>
    </row>
    <row r="28" spans="1:17" ht="13.5" customHeight="1" x14ac:dyDescent="0.2">
      <c r="A28" s="1811" t="s">
        <v>1015</v>
      </c>
      <c r="B28" s="1812"/>
      <c r="I28"/>
      <c r="J28" s="840"/>
      <c r="K28" s="840"/>
      <c r="L28" s="840"/>
      <c r="M28" s="840"/>
      <c r="N28" s="840"/>
      <c r="O28" s="840"/>
      <c r="P28" s="871"/>
    </row>
    <row r="29" spans="1:17" ht="13.5" customHeight="1" x14ac:dyDescent="0.2">
      <c r="A29" s="1813"/>
      <c r="B29" s="1814"/>
      <c r="I29"/>
      <c r="J29"/>
      <c r="K29"/>
      <c r="L29"/>
      <c r="M29"/>
      <c r="N29"/>
      <c r="O29"/>
      <c r="P29" s="871"/>
    </row>
    <row r="30" spans="1:17" ht="13.5" customHeight="1" thickBot="1" x14ac:dyDescent="0.25">
      <c r="A30" s="1899" t="s">
        <v>1016</v>
      </c>
      <c r="B30" s="1900"/>
      <c r="C30" s="1894"/>
      <c r="D30" s="1895"/>
      <c r="I30"/>
      <c r="J30"/>
      <c r="K30"/>
      <c r="L30"/>
      <c r="M30"/>
      <c r="N30"/>
      <c r="O30"/>
      <c r="P30" s="871"/>
    </row>
    <row r="31" spans="1:17" ht="13.5" customHeight="1" thickTop="1" x14ac:dyDescent="0.2">
      <c r="A31" s="1815" t="s">
        <v>1017</v>
      </c>
      <c r="B31" s="1816"/>
      <c r="C31" s="1892" t="s">
        <v>1018</v>
      </c>
      <c r="D31" s="1893"/>
      <c r="I31"/>
      <c r="J31"/>
      <c r="K31"/>
      <c r="L31"/>
      <c r="M31"/>
      <c r="N31"/>
      <c r="O31"/>
      <c r="P31" s="871"/>
      <c r="Q31" s="835"/>
    </row>
    <row r="32" spans="1:17" ht="13.5" customHeight="1" x14ac:dyDescent="0.2">
      <c r="A32" s="1809" t="s">
        <v>2271</v>
      </c>
      <c r="B32" s="1810"/>
      <c r="C32" s="1809" t="s">
        <v>2271</v>
      </c>
      <c r="D32" s="1810"/>
      <c r="I32"/>
      <c r="J32"/>
      <c r="K32"/>
      <c r="L32"/>
      <c r="M32"/>
      <c r="N32"/>
      <c r="O32"/>
      <c r="P32" s="871"/>
      <c r="Q32"/>
    </row>
    <row r="33" spans="1:17" ht="13.5" customHeight="1" x14ac:dyDescent="0.2">
      <c r="A33" s="1809" t="s">
        <v>2255</v>
      </c>
      <c r="B33" s="1810"/>
      <c r="C33" s="1809" t="s">
        <v>2255</v>
      </c>
      <c r="D33" s="1810"/>
      <c r="I33"/>
      <c r="J33"/>
      <c r="K33"/>
      <c r="L33"/>
      <c r="M33"/>
      <c r="N33"/>
      <c r="O33"/>
      <c r="P33" s="871"/>
      <c r="Q33"/>
    </row>
    <row r="34" spans="1:17" ht="13.5" customHeight="1" x14ac:dyDescent="0.2">
      <c r="A34" s="1809" t="s">
        <v>1020</v>
      </c>
      <c r="B34" s="1810"/>
      <c r="C34" s="1809" t="s">
        <v>1020</v>
      </c>
      <c r="D34" s="1810"/>
      <c r="I34"/>
      <c r="J34"/>
      <c r="K34"/>
      <c r="L34"/>
      <c r="M34"/>
      <c r="N34"/>
      <c r="O34"/>
      <c r="P34" s="871"/>
      <c r="Q34"/>
    </row>
    <row r="35" spans="1:17" ht="13.5" customHeight="1" x14ac:dyDescent="0.2">
      <c r="A35" s="1809" t="s">
        <v>1013</v>
      </c>
      <c r="B35" s="1810"/>
      <c r="C35" s="1809" t="s">
        <v>1013</v>
      </c>
      <c r="D35" s="1810"/>
      <c r="F35" s="833"/>
      <c r="G35" s="834"/>
      <c r="I35"/>
      <c r="J35"/>
      <c r="K35"/>
      <c r="L35"/>
      <c r="M35"/>
      <c r="N35"/>
      <c r="O35"/>
      <c r="P35" s="871"/>
      <c r="Q35"/>
    </row>
    <row r="36" spans="1:17" ht="13.5" customHeight="1" x14ac:dyDescent="0.2">
      <c r="A36" s="1809" t="s">
        <v>1024</v>
      </c>
      <c r="B36" s="1810"/>
      <c r="C36" s="1809" t="s">
        <v>1024</v>
      </c>
      <c r="D36" s="1810"/>
      <c r="F36" s="833"/>
      <c r="G36" s="834"/>
      <c r="I36"/>
      <c r="J36"/>
      <c r="K36"/>
      <c r="L36"/>
      <c r="M36"/>
      <c r="N36"/>
      <c r="O36"/>
      <c r="P36" s="871"/>
    </row>
    <row r="37" spans="1:17" ht="13.5" customHeight="1" x14ac:dyDescent="0.2">
      <c r="A37" s="1809" t="s">
        <v>1015</v>
      </c>
      <c r="B37" s="1810"/>
      <c r="C37" s="1809" t="s">
        <v>1015</v>
      </c>
      <c r="D37" s="1810"/>
      <c r="F37" s="833"/>
      <c r="G37" s="834"/>
      <c r="I37"/>
      <c r="J37"/>
      <c r="K37"/>
      <c r="L37"/>
      <c r="M37"/>
      <c r="N37"/>
      <c r="O37"/>
      <c r="P37" s="871"/>
    </row>
    <row r="38" spans="1:17" ht="13.5" customHeight="1" x14ac:dyDescent="0.2">
      <c r="A38" s="1809" t="s">
        <v>1027</v>
      </c>
      <c r="B38" s="1810"/>
      <c r="C38" s="1809" t="s">
        <v>1027</v>
      </c>
      <c r="D38" s="1810"/>
      <c r="F38" s="833"/>
      <c r="G38" s="834"/>
      <c r="I38"/>
      <c r="J38"/>
      <c r="K38"/>
      <c r="L38"/>
      <c r="M38"/>
      <c r="N38"/>
      <c r="O38"/>
      <c r="P38" s="871"/>
    </row>
    <row r="39" spans="1:17" ht="13.5" customHeight="1" x14ac:dyDescent="0.2">
      <c r="A39" s="1809"/>
      <c r="B39" s="1810"/>
      <c r="C39" s="1809"/>
      <c r="D39" s="1810"/>
      <c r="F39" s="833"/>
      <c r="G39" s="834"/>
      <c r="I39"/>
      <c r="J39"/>
      <c r="K39"/>
      <c r="L39"/>
      <c r="M39"/>
      <c r="N39"/>
      <c r="O39"/>
      <c r="P39" s="871"/>
    </row>
    <row r="40" spans="1:17" ht="13.5" customHeight="1" x14ac:dyDescent="0.2">
      <c r="A40" s="1884" t="s">
        <v>1029</v>
      </c>
      <c r="B40" s="1885"/>
      <c r="C40" s="1884" t="s">
        <v>1030</v>
      </c>
      <c r="D40" s="1885"/>
      <c r="F40" s="833"/>
      <c r="G40" s="834"/>
      <c r="I40"/>
      <c r="J40"/>
      <c r="K40"/>
      <c r="L40"/>
      <c r="M40"/>
      <c r="N40"/>
      <c r="O40"/>
      <c r="P40" s="871"/>
    </row>
    <row r="41" spans="1:17" ht="13.5" customHeight="1" x14ac:dyDescent="0.2">
      <c r="A41" s="1809" t="s">
        <v>2271</v>
      </c>
      <c r="B41" s="1810"/>
      <c r="C41" s="1809" t="s">
        <v>2271</v>
      </c>
      <c r="D41" s="1810"/>
      <c r="I41"/>
      <c r="J41"/>
      <c r="K41"/>
      <c r="L41"/>
      <c r="M41"/>
      <c r="N41"/>
      <c r="O41"/>
      <c r="P41" s="871"/>
      <c r="Q41"/>
    </row>
    <row r="42" spans="1:17" ht="13.5" customHeight="1" x14ac:dyDescent="0.2">
      <c r="A42" s="1809" t="s">
        <v>2255</v>
      </c>
      <c r="B42" s="1810"/>
      <c r="C42" s="1809" t="s">
        <v>2255</v>
      </c>
      <c r="D42" s="1810"/>
      <c r="I42"/>
      <c r="J42"/>
      <c r="K42"/>
      <c r="L42"/>
      <c r="M42"/>
      <c r="N42"/>
      <c r="O42"/>
      <c r="P42" s="871"/>
      <c r="Q42"/>
    </row>
    <row r="43" spans="1:17" ht="13.5" customHeight="1" x14ac:dyDescent="0.2">
      <c r="A43" s="1809" t="s">
        <v>1020</v>
      </c>
      <c r="B43" s="1810"/>
      <c r="C43" s="1809" t="s">
        <v>1020</v>
      </c>
      <c r="D43" s="1810"/>
      <c r="F43" s="833"/>
      <c r="G43" s="834"/>
      <c r="I43"/>
      <c r="J43"/>
      <c r="K43"/>
      <c r="L43"/>
      <c r="M43"/>
      <c r="N43"/>
      <c r="O43"/>
      <c r="P43" s="871"/>
    </row>
    <row r="44" spans="1:17" ht="13.5" customHeight="1" x14ac:dyDescent="0.2">
      <c r="A44" s="1809" t="s">
        <v>1013</v>
      </c>
      <c r="B44" s="1810"/>
      <c r="C44" s="1809" t="s">
        <v>1013</v>
      </c>
      <c r="D44" s="1810"/>
      <c r="F44" s="839"/>
      <c r="G44" s="834"/>
      <c r="I44"/>
      <c r="J44"/>
      <c r="K44"/>
      <c r="L44"/>
      <c r="M44"/>
      <c r="N44"/>
      <c r="O44"/>
      <c r="P44" s="871"/>
    </row>
    <row r="45" spans="1:17" ht="13.5" customHeight="1" x14ac:dyDescent="0.2">
      <c r="A45" s="1809" t="s">
        <v>1024</v>
      </c>
      <c r="B45" s="1810"/>
      <c r="C45" s="1809" t="s">
        <v>1024</v>
      </c>
      <c r="D45" s="1810"/>
      <c r="F45" s="840"/>
      <c r="G45" s="834"/>
      <c r="I45"/>
      <c r="J45"/>
      <c r="K45"/>
      <c r="L45"/>
      <c r="M45"/>
      <c r="N45"/>
      <c r="O45"/>
      <c r="P45" s="871"/>
    </row>
    <row r="46" spans="1:17" ht="13.5" customHeight="1" x14ac:dyDescent="0.2">
      <c r="A46" s="1809" t="s">
        <v>1015</v>
      </c>
      <c r="B46" s="1810"/>
      <c r="C46" s="1809" t="s">
        <v>1015</v>
      </c>
      <c r="D46" s="1810"/>
      <c r="F46" s="840"/>
      <c r="G46" s="834"/>
      <c r="I46"/>
      <c r="J46"/>
      <c r="K46"/>
      <c r="L46"/>
      <c r="M46"/>
      <c r="N46"/>
      <c r="O46"/>
      <c r="P46" s="871"/>
    </row>
    <row r="47" spans="1:17" ht="13.5" customHeight="1" x14ac:dyDescent="0.2">
      <c r="A47" s="1817" t="s">
        <v>1027</v>
      </c>
      <c r="B47" s="1818"/>
      <c r="C47" s="1817" t="s">
        <v>1027</v>
      </c>
      <c r="D47" s="1818"/>
      <c r="F47" s="840"/>
      <c r="G47" s="834"/>
      <c r="I47"/>
      <c r="J47"/>
      <c r="K47"/>
      <c r="L47"/>
      <c r="M47"/>
      <c r="N47"/>
      <c r="O47"/>
      <c r="P47" s="871"/>
    </row>
    <row r="48" spans="1:17" ht="13.5" customHeight="1" x14ac:dyDescent="0.2">
      <c r="A48" s="1813"/>
      <c r="B48" s="1814"/>
      <c r="C48" s="1813"/>
      <c r="D48" s="1814"/>
      <c r="F48" s="840"/>
      <c r="G48" s="834"/>
      <c r="I48"/>
      <c r="J48"/>
      <c r="K48"/>
      <c r="L48"/>
      <c r="M48"/>
      <c r="N48"/>
      <c r="O48"/>
      <c r="P48" s="871"/>
    </row>
    <row r="49" spans="1:17" ht="13.5" customHeight="1" x14ac:dyDescent="0.2">
      <c r="A49" s="1884" t="s">
        <v>1037</v>
      </c>
      <c r="B49" s="1885"/>
      <c r="C49" s="1884" t="s">
        <v>1038</v>
      </c>
      <c r="D49" s="1885"/>
      <c r="F49" s="840"/>
      <c r="G49" s="834"/>
      <c r="I49"/>
      <c r="J49"/>
      <c r="K49"/>
      <c r="L49"/>
      <c r="M49"/>
      <c r="N49"/>
      <c r="O49"/>
      <c r="P49" s="871"/>
    </row>
    <row r="50" spans="1:17" ht="13.5" customHeight="1" x14ac:dyDescent="0.2">
      <c r="A50" s="1809" t="s">
        <v>2271</v>
      </c>
      <c r="B50" s="1810"/>
      <c r="C50" s="1809" t="s">
        <v>2271</v>
      </c>
      <c r="D50" s="1810"/>
      <c r="I50"/>
      <c r="J50"/>
      <c r="K50"/>
      <c r="L50"/>
      <c r="M50"/>
      <c r="N50"/>
      <c r="O50"/>
      <c r="P50" s="871"/>
      <c r="Q50"/>
    </row>
    <row r="51" spans="1:17" ht="13.5" customHeight="1" x14ac:dyDescent="0.2">
      <c r="A51" s="1809" t="s">
        <v>2255</v>
      </c>
      <c r="B51" s="1810"/>
      <c r="C51" s="1809" t="s">
        <v>2255</v>
      </c>
      <c r="D51" s="1810"/>
      <c r="I51"/>
      <c r="J51"/>
      <c r="K51"/>
      <c r="L51"/>
      <c r="M51"/>
      <c r="N51"/>
      <c r="O51"/>
      <c r="P51" s="871"/>
      <c r="Q51"/>
    </row>
    <row r="52" spans="1:17" ht="13.5" customHeight="1" x14ac:dyDescent="0.2">
      <c r="A52" s="1809" t="s">
        <v>1020</v>
      </c>
      <c r="B52" s="1810"/>
      <c r="C52" s="1809" t="s">
        <v>1020</v>
      </c>
      <c r="D52" s="1810"/>
      <c r="F52" s="840"/>
      <c r="G52" s="834"/>
      <c r="I52"/>
      <c r="J52"/>
      <c r="K52"/>
      <c r="L52"/>
      <c r="M52"/>
      <c r="N52"/>
      <c r="O52"/>
      <c r="P52" s="871"/>
    </row>
    <row r="53" spans="1:17" ht="13.5" customHeight="1" x14ac:dyDescent="0.2">
      <c r="A53" s="1809" t="s">
        <v>1013</v>
      </c>
      <c r="B53" s="1810"/>
      <c r="C53" s="1809" t="s">
        <v>1013</v>
      </c>
      <c r="D53" s="1810"/>
      <c r="F53" s="840"/>
      <c r="G53" s="834"/>
      <c r="I53"/>
      <c r="J53"/>
      <c r="K53"/>
      <c r="L53"/>
      <c r="M53"/>
      <c r="N53"/>
      <c r="O53"/>
      <c r="P53" s="871"/>
    </row>
    <row r="54" spans="1:17" ht="13.5" customHeight="1" x14ac:dyDescent="0.2">
      <c r="A54" s="1809" t="s">
        <v>1024</v>
      </c>
      <c r="B54" s="1810"/>
      <c r="C54" s="1809" t="s">
        <v>1024</v>
      </c>
      <c r="D54" s="1810"/>
      <c r="F54" s="840"/>
      <c r="G54" s="834"/>
      <c r="I54"/>
      <c r="J54"/>
      <c r="K54"/>
      <c r="L54"/>
      <c r="M54"/>
      <c r="N54"/>
      <c r="O54"/>
      <c r="P54" s="871"/>
    </row>
    <row r="55" spans="1:17" ht="13.5" customHeight="1" x14ac:dyDescent="0.2">
      <c r="A55" s="1809" t="s">
        <v>1015</v>
      </c>
      <c r="B55" s="1810"/>
      <c r="C55" s="1809" t="s">
        <v>1015</v>
      </c>
      <c r="D55" s="1810"/>
      <c r="F55" s="840"/>
      <c r="G55" s="834"/>
      <c r="I55"/>
      <c r="J55"/>
      <c r="K55"/>
      <c r="L55"/>
      <c r="M55"/>
      <c r="N55"/>
      <c r="O55"/>
      <c r="P55" s="871"/>
    </row>
    <row r="56" spans="1:17" ht="13.5" customHeight="1" x14ac:dyDescent="0.2">
      <c r="A56" s="1811" t="s">
        <v>1027</v>
      </c>
      <c r="B56" s="1812"/>
      <c r="C56" s="1811" t="s">
        <v>1027</v>
      </c>
      <c r="D56" s="1812"/>
      <c r="F56" s="840"/>
      <c r="G56" s="834"/>
      <c r="I56"/>
      <c r="J56"/>
      <c r="K56"/>
      <c r="L56"/>
      <c r="M56"/>
      <c r="N56"/>
      <c r="O56"/>
      <c r="P56" s="871"/>
    </row>
    <row r="57" spans="1:17" ht="13.5" customHeight="1" x14ac:dyDescent="0.2">
      <c r="A57" s="1813"/>
      <c r="B57" s="1814"/>
      <c r="C57" s="1813"/>
      <c r="D57" s="1814"/>
      <c r="F57" s="840"/>
      <c r="G57" s="834"/>
      <c r="I57"/>
      <c r="J57"/>
      <c r="K57"/>
      <c r="L57"/>
      <c r="M57"/>
      <c r="N57"/>
      <c r="O57"/>
      <c r="P57" s="871"/>
    </row>
    <row r="58" spans="1:17" ht="13.5" customHeight="1" thickBot="1" x14ac:dyDescent="0.25">
      <c r="A58" s="1888" t="s">
        <v>1039</v>
      </c>
      <c r="B58" s="1889"/>
      <c r="C58" s="1890"/>
      <c r="D58" s="1891"/>
      <c r="F58" s="840"/>
      <c r="G58" s="834"/>
      <c r="I58"/>
      <c r="J58"/>
      <c r="K58"/>
      <c r="L58"/>
      <c r="M58"/>
      <c r="N58"/>
      <c r="O58"/>
      <c r="P58" s="871"/>
    </row>
    <row r="59" spans="1:17" ht="13.5" customHeight="1" thickTop="1" x14ac:dyDescent="0.2">
      <c r="A59" s="1815" t="s">
        <v>1040</v>
      </c>
      <c r="B59" s="1816"/>
      <c r="C59" s="1884" t="s">
        <v>1041</v>
      </c>
      <c r="D59" s="1885"/>
      <c r="F59" s="840"/>
      <c r="G59" s="834"/>
      <c r="I59"/>
      <c r="J59"/>
      <c r="K59"/>
      <c r="L59"/>
      <c r="M59"/>
      <c r="N59"/>
      <c r="O59"/>
      <c r="P59" s="871"/>
    </row>
    <row r="60" spans="1:17" ht="13.5" customHeight="1" x14ac:dyDescent="0.2">
      <c r="A60" s="1809" t="s">
        <v>2271</v>
      </c>
      <c r="B60" s="1810"/>
      <c r="C60" s="1809" t="s">
        <v>2271</v>
      </c>
      <c r="D60" s="1810"/>
      <c r="I60"/>
      <c r="J60"/>
      <c r="K60"/>
      <c r="L60"/>
      <c r="M60"/>
      <c r="N60"/>
      <c r="O60"/>
      <c r="P60" s="871"/>
      <c r="Q60"/>
    </row>
    <row r="61" spans="1:17" ht="13.5" customHeight="1" x14ac:dyDescent="0.2">
      <c r="A61" s="1809" t="s">
        <v>2255</v>
      </c>
      <c r="B61" s="1810"/>
      <c r="C61" s="1809" t="s">
        <v>2255</v>
      </c>
      <c r="D61" s="1810"/>
      <c r="I61"/>
      <c r="J61"/>
      <c r="K61"/>
      <c r="L61"/>
      <c r="M61"/>
      <c r="N61"/>
      <c r="O61"/>
      <c r="P61" s="871"/>
      <c r="Q61"/>
    </row>
    <row r="62" spans="1:17" ht="13.5" customHeight="1" x14ac:dyDescent="0.2">
      <c r="A62" s="1809" t="s">
        <v>1020</v>
      </c>
      <c r="B62" s="1810"/>
      <c r="C62" s="1809" t="s">
        <v>1020</v>
      </c>
      <c r="D62" s="1810"/>
      <c r="F62" s="840"/>
      <c r="G62" s="834"/>
      <c r="I62"/>
      <c r="J62"/>
      <c r="K62"/>
      <c r="L62"/>
      <c r="M62"/>
      <c r="N62"/>
      <c r="O62"/>
      <c r="P62" s="871"/>
    </row>
    <row r="63" spans="1:17" ht="13.5" customHeight="1" x14ac:dyDescent="0.2">
      <c r="A63" s="1809" t="s">
        <v>1013</v>
      </c>
      <c r="B63" s="1810"/>
      <c r="C63" s="1809" t="s">
        <v>1013</v>
      </c>
      <c r="D63" s="1810"/>
      <c r="F63" s="840"/>
      <c r="G63" s="834"/>
      <c r="I63"/>
      <c r="J63"/>
      <c r="K63"/>
      <c r="L63"/>
      <c r="M63"/>
      <c r="N63"/>
      <c r="O63"/>
      <c r="P63" s="871"/>
    </row>
    <row r="64" spans="1:17" ht="13.5" customHeight="1" x14ac:dyDescent="0.2">
      <c r="A64" s="1809" t="s">
        <v>1024</v>
      </c>
      <c r="B64" s="1810"/>
      <c r="C64" s="1809" t="s">
        <v>1024</v>
      </c>
      <c r="D64" s="1810"/>
      <c r="F64" s="840"/>
      <c r="G64" s="834"/>
      <c r="I64"/>
      <c r="J64"/>
      <c r="K64"/>
      <c r="L64"/>
      <c r="M64"/>
      <c r="N64"/>
      <c r="O64"/>
      <c r="P64" s="871"/>
    </row>
    <row r="65" spans="1:17" ht="13.5" customHeight="1" x14ac:dyDescent="0.2">
      <c r="A65" s="1809" t="s">
        <v>1015</v>
      </c>
      <c r="B65" s="1810"/>
      <c r="C65" s="1809" t="s">
        <v>1015</v>
      </c>
      <c r="D65" s="1810"/>
      <c r="F65" s="840"/>
      <c r="G65" s="834"/>
      <c r="I65"/>
      <c r="J65"/>
      <c r="K65"/>
      <c r="L65"/>
      <c r="M65"/>
      <c r="N65"/>
      <c r="O65"/>
      <c r="P65" s="871"/>
    </row>
    <row r="66" spans="1:17" ht="13.5" customHeight="1" x14ac:dyDescent="0.2">
      <c r="A66" s="1811" t="s">
        <v>1027</v>
      </c>
      <c r="B66" s="1819"/>
      <c r="C66" s="1811" t="s">
        <v>1027</v>
      </c>
      <c r="D66" s="1812"/>
      <c r="F66" s="840"/>
      <c r="G66" s="834"/>
      <c r="I66"/>
      <c r="J66"/>
      <c r="K66"/>
      <c r="L66"/>
      <c r="M66"/>
      <c r="N66"/>
      <c r="O66"/>
      <c r="P66" s="871"/>
    </row>
    <row r="67" spans="1:17" ht="13.5" customHeight="1" x14ac:dyDescent="0.2">
      <c r="A67" s="1813"/>
      <c r="B67" s="1814"/>
      <c r="C67" s="1813"/>
      <c r="D67" s="1814"/>
      <c r="F67" s="840"/>
      <c r="G67" s="834"/>
      <c r="I67"/>
      <c r="J67"/>
      <c r="K67"/>
      <c r="L67"/>
      <c r="M67"/>
      <c r="N67"/>
      <c r="O67"/>
      <c r="P67" s="871"/>
    </row>
    <row r="68" spans="1:17" ht="13.5" customHeight="1" x14ac:dyDescent="0.2">
      <c r="A68" s="1820" t="s">
        <v>1042</v>
      </c>
      <c r="B68" s="1816"/>
      <c r="C68" s="1884" t="s">
        <v>1043</v>
      </c>
      <c r="D68" s="1885"/>
      <c r="F68" s="840"/>
      <c r="G68" s="834"/>
      <c r="I68"/>
      <c r="J68"/>
      <c r="K68"/>
      <c r="L68"/>
      <c r="M68"/>
      <c r="N68"/>
      <c r="O68"/>
      <c r="P68" s="871"/>
    </row>
    <row r="69" spans="1:17" ht="13.5" customHeight="1" x14ac:dyDescent="0.2">
      <c r="A69" s="1809" t="s">
        <v>2271</v>
      </c>
      <c r="B69" s="1810"/>
      <c r="C69" s="1809" t="s">
        <v>2271</v>
      </c>
      <c r="D69" s="1810"/>
      <c r="I69"/>
      <c r="J69"/>
      <c r="K69"/>
      <c r="L69"/>
      <c r="M69"/>
      <c r="N69"/>
      <c r="O69"/>
      <c r="P69" s="871"/>
      <c r="Q69"/>
    </row>
    <row r="70" spans="1:17" ht="13.5" customHeight="1" x14ac:dyDescent="0.2">
      <c r="A70" s="1809" t="s">
        <v>2255</v>
      </c>
      <c r="B70" s="1810"/>
      <c r="C70" s="1809" t="s">
        <v>2255</v>
      </c>
      <c r="D70" s="1810"/>
      <c r="I70"/>
      <c r="J70"/>
      <c r="K70"/>
      <c r="L70"/>
      <c r="M70"/>
      <c r="N70"/>
      <c r="O70"/>
      <c r="P70" s="871"/>
      <c r="Q70"/>
    </row>
    <row r="71" spans="1:17" ht="13.5" customHeight="1" x14ac:dyDescent="0.2">
      <c r="A71" s="1809" t="s">
        <v>1020</v>
      </c>
      <c r="B71" s="1810" t="s">
        <v>2638</v>
      </c>
      <c r="C71" s="1809" t="s">
        <v>1020</v>
      </c>
      <c r="D71" s="1810"/>
      <c r="F71" s="840"/>
      <c r="G71" s="834"/>
      <c r="I71"/>
      <c r="J71"/>
      <c r="K71"/>
      <c r="L71"/>
      <c r="M71"/>
      <c r="N71"/>
      <c r="O71"/>
      <c r="P71" s="871"/>
    </row>
    <row r="72" spans="1:17" ht="13.5" customHeight="1" x14ac:dyDescent="0.2">
      <c r="A72" s="1809" t="s">
        <v>1013</v>
      </c>
      <c r="B72" s="1810" t="s">
        <v>2639</v>
      </c>
      <c r="C72" s="1809" t="s">
        <v>1013</v>
      </c>
      <c r="D72" s="1810"/>
      <c r="F72" s="840"/>
      <c r="G72" s="834"/>
      <c r="I72"/>
      <c r="J72"/>
      <c r="K72"/>
      <c r="L72"/>
      <c r="M72"/>
      <c r="N72"/>
      <c r="O72"/>
      <c r="P72" s="871"/>
    </row>
    <row r="73" spans="1:17" ht="13.5" customHeight="1" x14ac:dyDescent="0.2">
      <c r="A73" s="1809" t="s">
        <v>1024</v>
      </c>
      <c r="B73" s="1810"/>
      <c r="C73" s="1809" t="s">
        <v>1024</v>
      </c>
      <c r="D73" s="1810"/>
      <c r="F73" s="840"/>
      <c r="G73" s="834"/>
      <c r="I73"/>
      <c r="J73"/>
      <c r="K73"/>
      <c r="L73"/>
      <c r="M73"/>
      <c r="N73"/>
      <c r="O73"/>
      <c r="P73" s="871"/>
    </row>
    <row r="74" spans="1:17" ht="13.5" customHeight="1" x14ac:dyDescent="0.2">
      <c r="A74" s="1809" t="s">
        <v>1015</v>
      </c>
      <c r="B74" s="1810"/>
      <c r="C74" s="1809" t="s">
        <v>1015</v>
      </c>
      <c r="D74" s="1810"/>
      <c r="F74" s="840"/>
      <c r="G74" s="834"/>
      <c r="I74"/>
      <c r="J74"/>
      <c r="K74"/>
      <c r="L74"/>
      <c r="M74"/>
      <c r="N74"/>
      <c r="O74"/>
      <c r="P74" s="871"/>
    </row>
    <row r="75" spans="1:17" ht="13.5" customHeight="1" x14ac:dyDescent="0.2">
      <c r="A75" s="1811" t="s">
        <v>1027</v>
      </c>
      <c r="B75" s="1819" t="s">
        <v>2640</v>
      </c>
      <c r="C75" s="1811" t="s">
        <v>1027</v>
      </c>
      <c r="D75" s="1812"/>
      <c r="F75" s="840"/>
      <c r="G75" s="834"/>
      <c r="I75"/>
      <c r="J75"/>
      <c r="K75"/>
      <c r="L75"/>
      <c r="M75"/>
      <c r="N75"/>
      <c r="O75"/>
      <c r="P75" s="871"/>
    </row>
    <row r="76" spans="1:17" ht="13.5" customHeight="1" x14ac:dyDescent="0.2">
      <c r="A76" s="1813"/>
      <c r="B76" s="1814"/>
      <c r="C76" s="1813"/>
      <c r="D76" s="1814"/>
      <c r="F76" s="840"/>
      <c r="G76" s="834"/>
      <c r="I76"/>
      <c r="J76"/>
      <c r="K76"/>
      <c r="L76"/>
      <c r="M76"/>
      <c r="N76"/>
      <c r="O76"/>
      <c r="P76" s="871"/>
    </row>
    <row r="77" spans="1:17" ht="13.5" customHeight="1" x14ac:dyDescent="0.2">
      <c r="A77" s="1884" t="s">
        <v>1044</v>
      </c>
      <c r="B77" s="1885"/>
      <c r="C77" s="1884" t="s">
        <v>1044</v>
      </c>
      <c r="D77" s="1885"/>
      <c r="F77" s="840"/>
      <c r="G77" s="834"/>
      <c r="I77"/>
      <c r="J77"/>
      <c r="K77"/>
      <c r="L77"/>
      <c r="M77"/>
      <c r="N77"/>
      <c r="O77"/>
      <c r="P77" s="871"/>
    </row>
    <row r="78" spans="1:17" ht="13.5" customHeight="1" x14ac:dyDescent="0.2">
      <c r="A78" s="1809" t="s">
        <v>2271</v>
      </c>
      <c r="B78" s="1810"/>
      <c r="C78" s="1809" t="s">
        <v>2271</v>
      </c>
      <c r="D78" s="1810"/>
      <c r="I78"/>
      <c r="J78"/>
      <c r="K78"/>
      <c r="L78"/>
      <c r="M78"/>
      <c r="N78"/>
      <c r="O78"/>
      <c r="P78" s="871"/>
      <c r="Q78"/>
    </row>
    <row r="79" spans="1:17" ht="13.5" customHeight="1" x14ac:dyDescent="0.2">
      <c r="A79" s="1809" t="s">
        <v>2255</v>
      </c>
      <c r="B79" s="1810"/>
      <c r="C79" s="1809" t="s">
        <v>2255</v>
      </c>
      <c r="D79" s="1810"/>
      <c r="I79"/>
      <c r="J79"/>
      <c r="K79"/>
      <c r="L79"/>
      <c r="M79"/>
      <c r="N79"/>
      <c r="O79"/>
      <c r="P79" s="871"/>
      <c r="Q79"/>
    </row>
    <row r="80" spans="1:17" ht="13.5" customHeight="1" x14ac:dyDescent="0.2">
      <c r="A80" s="1809" t="s">
        <v>1020</v>
      </c>
      <c r="B80" s="1810"/>
      <c r="C80" s="1809" t="s">
        <v>1020</v>
      </c>
      <c r="D80" s="1810"/>
      <c r="F80" s="840"/>
      <c r="G80" s="834"/>
      <c r="I80"/>
      <c r="J80"/>
      <c r="K80"/>
      <c r="L80"/>
      <c r="M80"/>
      <c r="N80"/>
      <c r="O80"/>
      <c r="P80" s="871"/>
    </row>
    <row r="81" spans="1:17" ht="13.5" customHeight="1" x14ac:dyDescent="0.2">
      <c r="A81" s="1809" t="s">
        <v>1013</v>
      </c>
      <c r="B81" s="1810"/>
      <c r="C81" s="1809" t="s">
        <v>1013</v>
      </c>
      <c r="D81" s="1810"/>
      <c r="F81" s="840"/>
      <c r="G81" s="834"/>
      <c r="I81"/>
      <c r="J81"/>
      <c r="K81"/>
      <c r="L81"/>
      <c r="M81"/>
      <c r="N81"/>
      <c r="O81"/>
      <c r="P81" s="871"/>
    </row>
    <row r="82" spans="1:17" ht="13.5" customHeight="1" x14ac:dyDescent="0.2">
      <c r="A82" s="1809" t="s">
        <v>1024</v>
      </c>
      <c r="B82" s="1810"/>
      <c r="C82" s="1809" t="s">
        <v>1024</v>
      </c>
      <c r="D82" s="1810"/>
      <c r="F82" s="840"/>
      <c r="G82" s="834"/>
      <c r="I82"/>
      <c r="J82"/>
      <c r="K82"/>
      <c r="L82"/>
      <c r="M82"/>
      <c r="N82"/>
      <c r="O82"/>
      <c r="P82" s="871"/>
    </row>
    <row r="83" spans="1:17" ht="13.5" customHeight="1" x14ac:dyDescent="0.2">
      <c r="A83" s="1809" t="s">
        <v>1015</v>
      </c>
      <c r="B83" s="1810"/>
      <c r="C83" s="1809" t="s">
        <v>1015</v>
      </c>
      <c r="D83" s="1810"/>
      <c r="F83" s="840"/>
      <c r="G83" s="834"/>
      <c r="I83"/>
      <c r="J83"/>
      <c r="K83"/>
      <c r="L83"/>
      <c r="M83"/>
      <c r="N83"/>
      <c r="O83"/>
      <c r="P83" s="871"/>
    </row>
    <row r="84" spans="1:17" ht="13.5" customHeight="1" x14ac:dyDescent="0.2">
      <c r="A84" s="1809" t="s">
        <v>1027</v>
      </c>
      <c r="B84" s="1810"/>
      <c r="C84" s="1809" t="s">
        <v>1027</v>
      </c>
      <c r="D84" s="1810"/>
      <c r="F84" s="840"/>
      <c r="G84" s="834"/>
      <c r="I84"/>
      <c r="J84"/>
      <c r="K84"/>
      <c r="L84"/>
      <c r="M84"/>
      <c r="N84"/>
      <c r="O84"/>
      <c r="P84" s="871"/>
    </row>
    <row r="85" spans="1:17" ht="13.5" customHeight="1" x14ac:dyDescent="0.2">
      <c r="A85" s="1884" t="s">
        <v>1044</v>
      </c>
      <c r="B85" s="1885"/>
      <c r="C85" s="1884" t="s">
        <v>1044</v>
      </c>
      <c r="D85" s="1885"/>
      <c r="F85" s="840"/>
      <c r="G85" s="834"/>
      <c r="I85"/>
      <c r="J85"/>
      <c r="K85"/>
      <c r="L85"/>
      <c r="M85"/>
      <c r="N85"/>
      <c r="O85"/>
      <c r="P85" s="871"/>
    </row>
    <row r="86" spans="1:17" ht="13.5" customHeight="1" x14ac:dyDescent="0.2">
      <c r="A86" s="1809" t="s">
        <v>2271</v>
      </c>
      <c r="B86" s="1810"/>
      <c r="C86" s="1809" t="s">
        <v>2271</v>
      </c>
      <c r="D86" s="1810"/>
      <c r="I86"/>
      <c r="J86"/>
      <c r="K86"/>
      <c r="L86"/>
      <c r="M86"/>
      <c r="N86"/>
      <c r="O86"/>
      <c r="P86" s="871"/>
      <c r="Q86"/>
    </row>
    <row r="87" spans="1:17" ht="13.5" customHeight="1" x14ac:dyDescent="0.2">
      <c r="A87" s="1809" t="s">
        <v>2255</v>
      </c>
      <c r="B87" s="1810"/>
      <c r="C87" s="1809" t="s">
        <v>2255</v>
      </c>
      <c r="D87" s="1810"/>
      <c r="I87"/>
      <c r="J87"/>
      <c r="K87"/>
      <c r="L87"/>
      <c r="M87"/>
      <c r="N87"/>
      <c r="O87"/>
      <c r="P87" s="871"/>
      <c r="Q87"/>
    </row>
    <row r="88" spans="1:17" ht="13.5" customHeight="1" x14ac:dyDescent="0.2">
      <c r="A88" s="1809" t="s">
        <v>1020</v>
      </c>
      <c r="B88" s="1810"/>
      <c r="C88" s="1809" t="s">
        <v>1020</v>
      </c>
      <c r="D88" s="1810"/>
      <c r="F88" s="840"/>
      <c r="G88" s="834"/>
      <c r="I88"/>
      <c r="J88"/>
      <c r="K88"/>
      <c r="L88"/>
      <c r="M88"/>
      <c r="N88"/>
      <c r="O88"/>
      <c r="P88" s="871"/>
    </row>
    <row r="89" spans="1:17" ht="13.5" customHeight="1" x14ac:dyDescent="0.2">
      <c r="A89" s="1809" t="s">
        <v>1013</v>
      </c>
      <c r="B89" s="1810"/>
      <c r="C89" s="1809" t="s">
        <v>1013</v>
      </c>
      <c r="D89" s="1810"/>
      <c r="F89" s="840"/>
      <c r="G89" s="834"/>
      <c r="I89"/>
      <c r="J89"/>
      <c r="K89"/>
      <c r="L89"/>
      <c r="M89"/>
      <c r="N89"/>
      <c r="O89"/>
      <c r="P89" s="871"/>
    </row>
    <row r="90" spans="1:17" ht="13.5" customHeight="1" x14ac:dyDescent="0.2">
      <c r="A90" s="1809" t="s">
        <v>1024</v>
      </c>
      <c r="B90" s="1810"/>
      <c r="C90" s="1809" t="s">
        <v>1024</v>
      </c>
      <c r="D90" s="1810"/>
      <c r="F90" s="840"/>
      <c r="G90" s="834"/>
      <c r="I90"/>
      <c r="J90"/>
      <c r="K90"/>
      <c r="L90"/>
      <c r="M90"/>
      <c r="N90"/>
      <c r="O90"/>
      <c r="P90" s="871"/>
    </row>
    <row r="91" spans="1:17" ht="13.5" customHeight="1" x14ac:dyDescent="0.2">
      <c r="A91" s="1809" t="s">
        <v>1015</v>
      </c>
      <c r="B91" s="1810"/>
      <c r="C91" s="1809" t="s">
        <v>1015</v>
      </c>
      <c r="D91" s="1810"/>
      <c r="F91" s="840"/>
      <c r="G91" s="834"/>
      <c r="I91"/>
      <c r="J91"/>
      <c r="K91"/>
      <c r="L91"/>
      <c r="M91"/>
      <c r="N91"/>
      <c r="O91"/>
      <c r="P91" s="871"/>
    </row>
    <row r="92" spans="1:17" ht="13.5" customHeight="1" x14ac:dyDescent="0.2">
      <c r="A92" s="1809" t="s">
        <v>1027</v>
      </c>
      <c r="B92" s="1810"/>
      <c r="C92" s="1809" t="s">
        <v>1027</v>
      </c>
      <c r="D92" s="1810"/>
      <c r="F92" s="840"/>
      <c r="G92" s="834"/>
      <c r="I92"/>
      <c r="J92"/>
      <c r="K92"/>
      <c r="L92"/>
      <c r="M92"/>
      <c r="N92"/>
      <c r="O92"/>
      <c r="P92" s="871"/>
    </row>
    <row r="93" spans="1:17" ht="13.5" customHeight="1" x14ac:dyDescent="0.2">
      <c r="A93" s="1884" t="s">
        <v>1044</v>
      </c>
      <c r="B93" s="1885"/>
      <c r="C93" s="1884" t="s">
        <v>1044</v>
      </c>
      <c r="D93" s="1885"/>
      <c r="F93" s="840"/>
      <c r="G93" s="834"/>
      <c r="I93"/>
      <c r="J93"/>
      <c r="K93"/>
      <c r="L93"/>
      <c r="M93"/>
      <c r="N93"/>
      <c r="O93"/>
      <c r="P93" s="871"/>
    </row>
    <row r="94" spans="1:17" ht="13.5" customHeight="1" x14ac:dyDescent="0.2">
      <c r="A94" s="1809" t="s">
        <v>2271</v>
      </c>
      <c r="B94" s="1810"/>
      <c r="C94" s="1809" t="s">
        <v>2271</v>
      </c>
      <c r="D94" s="1810"/>
      <c r="I94"/>
      <c r="J94"/>
      <c r="K94"/>
      <c r="L94"/>
      <c r="M94"/>
      <c r="N94"/>
      <c r="O94"/>
      <c r="P94" s="871"/>
      <c r="Q94"/>
    </row>
    <row r="95" spans="1:17" ht="13.5" customHeight="1" x14ac:dyDescent="0.2">
      <c r="A95" s="1809" t="s">
        <v>2255</v>
      </c>
      <c r="B95" s="1810"/>
      <c r="C95" s="1809" t="s">
        <v>2255</v>
      </c>
      <c r="D95" s="1810"/>
      <c r="I95"/>
      <c r="J95"/>
      <c r="K95"/>
      <c r="L95"/>
      <c r="M95"/>
      <c r="N95"/>
      <c r="O95"/>
      <c r="P95" s="871"/>
      <c r="Q95"/>
    </row>
    <row r="96" spans="1:17" ht="13.5" customHeight="1" x14ac:dyDescent="0.2">
      <c r="A96" s="1809" t="s">
        <v>1020</v>
      </c>
      <c r="B96" s="1810"/>
      <c r="C96" s="1809" t="s">
        <v>1020</v>
      </c>
      <c r="D96" s="1810"/>
      <c r="F96" s="840"/>
      <c r="G96" s="834"/>
      <c r="I96"/>
      <c r="J96"/>
      <c r="K96"/>
      <c r="L96"/>
      <c r="M96"/>
      <c r="N96"/>
      <c r="O96"/>
      <c r="P96" s="871"/>
    </row>
    <row r="97" spans="1:17" ht="13.5" customHeight="1" x14ac:dyDescent="0.2">
      <c r="A97" s="1809" t="s">
        <v>1013</v>
      </c>
      <c r="B97" s="1810"/>
      <c r="C97" s="1809" t="s">
        <v>1013</v>
      </c>
      <c r="D97" s="1810"/>
      <c r="F97" s="840"/>
      <c r="G97" s="834"/>
      <c r="I97"/>
      <c r="J97"/>
      <c r="K97"/>
      <c r="L97"/>
      <c r="M97"/>
      <c r="N97"/>
      <c r="O97"/>
      <c r="P97" s="871"/>
    </row>
    <row r="98" spans="1:17" ht="13.5" customHeight="1" x14ac:dyDescent="0.2">
      <c r="A98" s="1809" t="s">
        <v>1024</v>
      </c>
      <c r="B98" s="1810"/>
      <c r="C98" s="1809" t="s">
        <v>1024</v>
      </c>
      <c r="D98" s="1810"/>
      <c r="F98" s="840"/>
      <c r="G98" s="834"/>
      <c r="I98"/>
      <c r="J98"/>
      <c r="K98"/>
      <c r="L98"/>
      <c r="M98"/>
      <c r="N98"/>
      <c r="O98"/>
      <c r="P98" s="871"/>
    </row>
    <row r="99" spans="1:17" ht="13.5" customHeight="1" x14ac:dyDescent="0.2">
      <c r="A99" s="1809" t="s">
        <v>1015</v>
      </c>
      <c r="B99" s="1810"/>
      <c r="C99" s="1809" t="s">
        <v>1015</v>
      </c>
      <c r="D99" s="1810"/>
      <c r="F99" s="840"/>
      <c r="G99" s="834"/>
      <c r="I99"/>
      <c r="J99"/>
      <c r="K99"/>
      <c r="L99"/>
      <c r="M99"/>
      <c r="N99"/>
      <c r="O99"/>
      <c r="P99" s="871"/>
    </row>
    <row r="100" spans="1:17" ht="13.5" customHeight="1" x14ac:dyDescent="0.2">
      <c r="A100" s="1809" t="s">
        <v>1027</v>
      </c>
      <c r="B100" s="1810"/>
      <c r="C100" s="1809" t="s">
        <v>1027</v>
      </c>
      <c r="D100" s="1810"/>
      <c r="F100" s="840"/>
      <c r="G100" s="834"/>
      <c r="I100"/>
      <c r="J100"/>
      <c r="K100"/>
      <c r="L100"/>
      <c r="M100"/>
      <c r="N100"/>
      <c r="O100"/>
      <c r="P100" s="871"/>
    </row>
    <row r="101" spans="1:17" ht="12.75" customHeight="1" x14ac:dyDescent="0.2">
      <c r="A101" s="1884" t="s">
        <v>1044</v>
      </c>
      <c r="B101" s="1885"/>
      <c r="C101" s="1884" t="s">
        <v>1044</v>
      </c>
      <c r="D101" s="1885"/>
      <c r="F101" s="840"/>
      <c r="G101" s="834"/>
      <c r="I101"/>
      <c r="J101"/>
      <c r="K101"/>
      <c r="L101"/>
      <c r="M101"/>
      <c r="N101"/>
      <c r="O101"/>
      <c r="P101" s="871"/>
    </row>
    <row r="102" spans="1:17" ht="13.5" customHeight="1" x14ac:dyDescent="0.2">
      <c r="A102" s="1809" t="s">
        <v>2271</v>
      </c>
      <c r="B102" s="1810"/>
      <c r="C102" s="1809" t="s">
        <v>2271</v>
      </c>
      <c r="D102" s="1810"/>
      <c r="I102"/>
      <c r="J102"/>
      <c r="K102"/>
      <c r="L102"/>
      <c r="M102"/>
      <c r="N102"/>
      <c r="O102"/>
      <c r="P102" s="871"/>
      <c r="Q102"/>
    </row>
    <row r="103" spans="1:17" ht="12.75" customHeight="1" x14ac:dyDescent="0.2">
      <c r="A103" s="1809" t="s">
        <v>2255</v>
      </c>
      <c r="B103" s="1810"/>
      <c r="C103" s="1809" t="s">
        <v>2255</v>
      </c>
      <c r="D103" s="1810"/>
      <c r="F103" s="840"/>
      <c r="G103" s="834"/>
      <c r="I103"/>
      <c r="J103"/>
      <c r="K103"/>
      <c r="L103"/>
      <c r="M103"/>
      <c r="N103"/>
      <c r="O103"/>
      <c r="P103" s="871"/>
    </row>
    <row r="104" spans="1:17" ht="12.75" customHeight="1" x14ac:dyDescent="0.2">
      <c r="A104" s="1809" t="s">
        <v>1020</v>
      </c>
      <c r="B104" s="1810"/>
      <c r="C104" s="1809" t="s">
        <v>1020</v>
      </c>
      <c r="D104" s="1810"/>
      <c r="F104" s="840"/>
      <c r="G104" s="834"/>
      <c r="I104"/>
      <c r="J104"/>
      <c r="K104"/>
      <c r="L104"/>
      <c r="M104"/>
      <c r="N104"/>
      <c r="O104"/>
      <c r="P104" s="871"/>
    </row>
    <row r="105" spans="1:17" ht="12.75" customHeight="1" x14ac:dyDescent="0.2">
      <c r="A105" s="1809" t="s">
        <v>1013</v>
      </c>
      <c r="B105" s="1810"/>
      <c r="C105" s="1809" t="s">
        <v>1013</v>
      </c>
      <c r="D105" s="1810"/>
      <c r="F105" s="840"/>
      <c r="G105" s="834"/>
      <c r="I105"/>
      <c r="J105"/>
      <c r="K105"/>
      <c r="L105"/>
      <c r="M105"/>
      <c r="N105"/>
      <c r="O105"/>
      <c r="P105" s="871"/>
    </row>
    <row r="106" spans="1:17" s="841" customFormat="1" ht="12.75" customHeight="1" x14ac:dyDescent="0.2">
      <c r="A106" s="1809" t="s">
        <v>1024</v>
      </c>
      <c r="B106" s="1810"/>
      <c r="C106" s="1809" t="s">
        <v>1024</v>
      </c>
      <c r="D106" s="1810"/>
      <c r="E106" s="842"/>
      <c r="F106" s="840"/>
      <c r="G106" s="834"/>
      <c r="I106"/>
      <c r="J106"/>
      <c r="K106"/>
      <c r="L106"/>
      <c r="M106"/>
      <c r="N106"/>
      <c r="O106"/>
      <c r="P106" s="871"/>
      <c r="Q106" s="832"/>
    </row>
    <row r="107" spans="1:17" customFormat="1" ht="12.75" customHeight="1" x14ac:dyDescent="0.2">
      <c r="A107" s="1809" t="s">
        <v>1015</v>
      </c>
      <c r="B107" s="1810"/>
      <c r="C107" s="1809" t="s">
        <v>1015</v>
      </c>
      <c r="D107" s="1810"/>
      <c r="E107" s="843"/>
      <c r="F107" s="840"/>
      <c r="G107" s="834"/>
      <c r="P107" s="871"/>
      <c r="Q107" s="832"/>
    </row>
    <row r="108" spans="1:17" customFormat="1" ht="12.75" customHeight="1" x14ac:dyDescent="0.2">
      <c r="A108" s="1809" t="s">
        <v>1027</v>
      </c>
      <c r="B108" s="1810"/>
      <c r="C108" s="1809" t="s">
        <v>1027</v>
      </c>
      <c r="D108" s="1810"/>
      <c r="E108" s="843"/>
      <c r="F108" s="840"/>
      <c r="G108" s="834"/>
      <c r="P108" s="871"/>
      <c r="Q108" s="832"/>
    </row>
    <row r="109" spans="1:17" ht="12.75" customHeight="1" x14ac:dyDescent="0.2">
      <c r="A109" s="1884" t="s">
        <v>1044</v>
      </c>
      <c r="B109" s="1885"/>
      <c r="C109" s="1884" t="s">
        <v>1044</v>
      </c>
      <c r="D109" s="1885"/>
      <c r="I109"/>
      <c r="J109"/>
      <c r="K109"/>
      <c r="L109"/>
      <c r="M109"/>
      <c r="N109"/>
      <c r="O109"/>
      <c r="P109" s="871"/>
    </row>
    <row r="110" spans="1:17" ht="13.5" customHeight="1" x14ac:dyDescent="0.2">
      <c r="A110" s="1809" t="s">
        <v>2271</v>
      </c>
      <c r="B110" s="1810"/>
      <c r="C110" s="1809" t="s">
        <v>2271</v>
      </c>
      <c r="D110" s="1810"/>
      <c r="I110"/>
      <c r="J110"/>
      <c r="K110"/>
      <c r="L110"/>
      <c r="M110"/>
      <c r="N110"/>
      <c r="O110"/>
      <c r="P110" s="871"/>
      <c r="Q110"/>
    </row>
    <row r="111" spans="1:17" ht="12.75" customHeight="1" x14ac:dyDescent="0.2">
      <c r="A111" s="1809" t="s">
        <v>2255</v>
      </c>
      <c r="B111" s="1810"/>
      <c r="C111" s="1809" t="s">
        <v>2255</v>
      </c>
      <c r="D111" s="1810"/>
      <c r="I111"/>
      <c r="J111"/>
      <c r="K111"/>
      <c r="L111"/>
      <c r="M111"/>
      <c r="N111"/>
      <c r="O111"/>
      <c r="P111" s="871"/>
    </row>
    <row r="112" spans="1:17" ht="12.75" customHeight="1" x14ac:dyDescent="0.2">
      <c r="A112" s="1809" t="s">
        <v>1020</v>
      </c>
      <c r="B112" s="1810"/>
      <c r="C112" s="1809" t="s">
        <v>1020</v>
      </c>
      <c r="D112" s="1810"/>
      <c r="I112"/>
      <c r="J112"/>
      <c r="K112"/>
      <c r="L112"/>
      <c r="M112"/>
      <c r="N112"/>
      <c r="O112"/>
      <c r="P112" s="871"/>
    </row>
    <row r="113" spans="1:25" ht="12.75" customHeight="1" x14ac:dyDescent="0.2">
      <c r="A113" s="1809" t="s">
        <v>1013</v>
      </c>
      <c r="B113" s="1810"/>
      <c r="C113" s="1809" t="s">
        <v>1013</v>
      </c>
      <c r="D113" s="1810"/>
      <c r="I113"/>
      <c r="J113"/>
      <c r="K113"/>
      <c r="L113"/>
      <c r="M113"/>
      <c r="N113"/>
      <c r="O113"/>
      <c r="P113" s="871"/>
    </row>
    <row r="114" spans="1:25" ht="12.75" customHeight="1" x14ac:dyDescent="0.2">
      <c r="A114" s="1809" t="s">
        <v>1024</v>
      </c>
      <c r="B114" s="1810"/>
      <c r="C114" s="1809" t="s">
        <v>1024</v>
      </c>
      <c r="D114" s="1810"/>
      <c r="E114" s="844"/>
      <c r="I114"/>
      <c r="J114"/>
      <c r="K114"/>
      <c r="L114"/>
      <c r="M114"/>
      <c r="N114"/>
      <c r="O114"/>
      <c r="P114" s="871"/>
      <c r="R114" s="845"/>
      <c r="S114" s="845"/>
      <c r="T114" s="845"/>
      <c r="U114" s="845"/>
      <c r="V114" s="845"/>
      <c r="W114" s="845"/>
      <c r="X114" s="845"/>
      <c r="Y114" s="845"/>
    </row>
    <row r="115" spans="1:25" ht="12.75" customHeight="1" x14ac:dyDescent="0.2">
      <c r="A115" s="1809" t="s">
        <v>1015</v>
      </c>
      <c r="B115" s="1810"/>
      <c r="C115" s="1809" t="s">
        <v>1015</v>
      </c>
      <c r="D115" s="1810"/>
      <c r="E115" s="844"/>
      <c r="I115"/>
      <c r="J115"/>
      <c r="K115"/>
      <c r="L115"/>
      <c r="M115"/>
      <c r="N115"/>
      <c r="O115"/>
      <c r="P115" s="871"/>
      <c r="R115" s="845"/>
      <c r="S115" s="845"/>
      <c r="T115" s="845"/>
      <c r="U115" s="845"/>
      <c r="V115" s="845"/>
      <c r="W115" s="845"/>
      <c r="X115" s="845"/>
      <c r="Y115" s="845"/>
    </row>
    <row r="116" spans="1:25" ht="12.75" customHeight="1" x14ac:dyDescent="0.2">
      <c r="A116" s="1809" t="s">
        <v>1027</v>
      </c>
      <c r="B116" s="1810"/>
      <c r="C116" s="1809" t="s">
        <v>1027</v>
      </c>
      <c r="D116" s="1810"/>
      <c r="E116" s="844"/>
      <c r="I116"/>
      <c r="J116"/>
      <c r="K116"/>
      <c r="L116"/>
      <c r="M116"/>
      <c r="N116"/>
      <c r="O116"/>
      <c r="P116" s="871"/>
      <c r="R116" s="845"/>
      <c r="S116" s="845"/>
      <c r="T116" s="845"/>
      <c r="U116" s="845"/>
      <c r="V116" s="845"/>
      <c r="W116" s="845"/>
      <c r="X116" s="845"/>
      <c r="Y116" s="845"/>
    </row>
    <row r="117" spans="1:25" ht="12.75" customHeight="1" x14ac:dyDescent="0.2">
      <c r="A117" s="1884" t="s">
        <v>1044</v>
      </c>
      <c r="B117" s="1885"/>
      <c r="C117" s="1884" t="s">
        <v>1044</v>
      </c>
      <c r="D117" s="1885"/>
      <c r="E117" s="844"/>
      <c r="I117"/>
      <c r="J117"/>
      <c r="K117"/>
      <c r="L117"/>
      <c r="M117"/>
      <c r="N117"/>
      <c r="O117"/>
      <c r="P117" s="871"/>
      <c r="R117" s="845"/>
      <c r="S117" s="845"/>
      <c r="T117" s="845"/>
      <c r="U117" s="845"/>
      <c r="V117" s="845"/>
      <c r="W117" s="845"/>
      <c r="X117" s="845"/>
      <c r="Y117" s="845"/>
    </row>
    <row r="118" spans="1:25" ht="13.5" customHeight="1" x14ac:dyDescent="0.2">
      <c r="A118" s="1809" t="s">
        <v>2271</v>
      </c>
      <c r="B118" s="1810"/>
      <c r="C118" s="1809" t="s">
        <v>2271</v>
      </c>
      <c r="D118" s="1810"/>
      <c r="I118"/>
      <c r="J118"/>
      <c r="K118"/>
      <c r="L118"/>
      <c r="M118"/>
      <c r="N118"/>
      <c r="O118"/>
      <c r="P118" s="871"/>
      <c r="Q118"/>
    </row>
    <row r="119" spans="1:25" ht="12.75" customHeight="1" x14ac:dyDescent="0.2">
      <c r="A119" s="1809" t="s">
        <v>2255</v>
      </c>
      <c r="B119" s="1810"/>
      <c r="C119" s="1809" t="s">
        <v>2255</v>
      </c>
      <c r="D119" s="1810"/>
      <c r="E119" s="844"/>
      <c r="I119"/>
      <c r="J119"/>
      <c r="K119"/>
      <c r="L119"/>
      <c r="M119"/>
      <c r="N119"/>
      <c r="O119"/>
      <c r="P119" s="871"/>
      <c r="R119" s="845"/>
      <c r="S119" s="845"/>
      <c r="T119" s="845"/>
      <c r="U119" s="845"/>
      <c r="V119" s="845"/>
      <c r="W119" s="845"/>
      <c r="X119" s="845"/>
      <c r="Y119" s="845"/>
    </row>
    <row r="120" spans="1:25" ht="12.75" customHeight="1" x14ac:dyDescent="0.2">
      <c r="A120" s="1809" t="s">
        <v>1020</v>
      </c>
      <c r="B120" s="1810"/>
      <c r="C120" s="1809" t="s">
        <v>1020</v>
      </c>
      <c r="D120" s="1810"/>
      <c r="E120" s="844"/>
      <c r="I120"/>
      <c r="J120"/>
      <c r="K120"/>
      <c r="L120"/>
      <c r="M120"/>
      <c r="N120"/>
      <c r="O120"/>
      <c r="P120" s="871"/>
      <c r="R120" s="845"/>
      <c r="S120" s="845"/>
      <c r="T120" s="845"/>
      <c r="U120" s="845"/>
      <c r="V120" s="845"/>
      <c r="W120" s="845"/>
      <c r="X120" s="845"/>
      <c r="Y120" s="845"/>
    </row>
    <row r="121" spans="1:25" ht="12.75" customHeight="1" x14ac:dyDescent="0.2">
      <c r="A121" s="1809" t="s">
        <v>1013</v>
      </c>
      <c r="B121" s="1810"/>
      <c r="C121" s="1809" t="s">
        <v>1013</v>
      </c>
      <c r="D121" s="1810"/>
      <c r="E121" s="844"/>
      <c r="I121"/>
      <c r="J121"/>
      <c r="K121"/>
      <c r="L121"/>
      <c r="M121"/>
      <c r="N121"/>
      <c r="O121"/>
      <c r="P121" s="871"/>
      <c r="R121" s="845"/>
      <c r="S121" s="845"/>
      <c r="T121" s="845"/>
      <c r="U121" s="845"/>
      <c r="V121" s="845"/>
      <c r="W121" s="845"/>
      <c r="X121" s="845"/>
      <c r="Y121" s="845"/>
    </row>
    <row r="122" spans="1:25" ht="12.75" customHeight="1" x14ac:dyDescent="0.2">
      <c r="A122" s="1809" t="s">
        <v>1024</v>
      </c>
      <c r="B122" s="1810"/>
      <c r="C122" s="1809" t="s">
        <v>1024</v>
      </c>
      <c r="D122" s="1810"/>
      <c r="E122" s="844"/>
      <c r="I122"/>
      <c r="J122"/>
      <c r="K122"/>
      <c r="L122"/>
      <c r="M122"/>
      <c r="N122"/>
      <c r="O122"/>
      <c r="P122" s="871"/>
      <c r="R122" s="845"/>
      <c r="S122" s="845"/>
      <c r="T122" s="845"/>
      <c r="U122" s="845"/>
      <c r="V122" s="845"/>
      <c r="W122" s="845"/>
      <c r="X122" s="845"/>
      <c r="Y122" s="845"/>
    </row>
    <row r="123" spans="1:25" ht="12.75" customHeight="1" x14ac:dyDescent="0.2">
      <c r="A123" s="1809" t="s">
        <v>1015</v>
      </c>
      <c r="B123" s="1810"/>
      <c r="C123" s="1809" t="s">
        <v>1015</v>
      </c>
      <c r="D123" s="1810"/>
      <c r="E123" s="844"/>
      <c r="I123"/>
      <c r="J123"/>
      <c r="K123"/>
      <c r="L123"/>
      <c r="M123"/>
      <c r="N123"/>
      <c r="O123"/>
      <c r="P123" s="871"/>
      <c r="R123" s="845"/>
      <c r="S123" s="845"/>
      <c r="T123" s="845"/>
      <c r="U123" s="845"/>
      <c r="V123" s="845"/>
      <c r="W123" s="845"/>
      <c r="X123" s="845"/>
      <c r="Y123" s="845"/>
    </row>
    <row r="124" spans="1:25" ht="12.75" customHeight="1" x14ac:dyDescent="0.2">
      <c r="A124" s="1809" t="s">
        <v>1027</v>
      </c>
      <c r="B124" s="1810"/>
      <c r="C124" s="1809" t="s">
        <v>1027</v>
      </c>
      <c r="D124" s="1810"/>
      <c r="E124" s="844"/>
      <c r="I124"/>
      <c r="J124"/>
      <c r="K124"/>
      <c r="L124"/>
      <c r="M124"/>
      <c r="N124"/>
      <c r="O124"/>
      <c r="P124" s="871"/>
      <c r="R124" s="845"/>
      <c r="S124" s="845"/>
      <c r="T124" s="845"/>
      <c r="U124" s="845"/>
      <c r="V124" s="845"/>
      <c r="W124" s="845"/>
      <c r="X124" s="845"/>
      <c r="Y124" s="845"/>
    </row>
    <row r="125" spans="1:25" ht="12.75" customHeight="1" x14ac:dyDescent="0.2">
      <c r="A125" s="1884" t="s">
        <v>1044</v>
      </c>
      <c r="B125" s="1885"/>
      <c r="C125" s="1884" t="s">
        <v>1044</v>
      </c>
      <c r="D125" s="1885"/>
      <c r="E125" s="844"/>
      <c r="I125"/>
      <c r="J125"/>
      <c r="K125"/>
      <c r="L125"/>
      <c r="M125"/>
      <c r="N125"/>
      <c r="O125"/>
      <c r="P125" s="871"/>
      <c r="R125" s="845"/>
      <c r="S125" s="845"/>
      <c r="T125" s="845"/>
      <c r="U125" s="845"/>
      <c r="V125" s="845"/>
      <c r="W125" s="845"/>
      <c r="X125" s="845"/>
      <c r="Y125" s="845"/>
    </row>
    <row r="126" spans="1:25" ht="13.5" customHeight="1" x14ac:dyDescent="0.2">
      <c r="A126" s="1809" t="s">
        <v>2271</v>
      </c>
      <c r="B126" s="1810"/>
      <c r="C126" s="1809" t="s">
        <v>2271</v>
      </c>
      <c r="D126" s="1810"/>
      <c r="I126"/>
      <c r="J126"/>
      <c r="K126"/>
      <c r="L126"/>
      <c r="M126"/>
      <c r="N126"/>
      <c r="O126"/>
      <c r="P126" s="871"/>
      <c r="Q126"/>
    </row>
    <row r="127" spans="1:25" ht="12.75" customHeight="1" x14ac:dyDescent="0.2">
      <c r="A127" s="1809" t="s">
        <v>2255</v>
      </c>
      <c r="B127" s="1810"/>
      <c r="C127" s="1809" t="s">
        <v>2255</v>
      </c>
      <c r="D127" s="1810"/>
      <c r="E127" s="844"/>
      <c r="I127"/>
      <c r="J127"/>
      <c r="K127"/>
      <c r="L127"/>
      <c r="M127"/>
      <c r="N127"/>
      <c r="O127"/>
      <c r="P127" s="871"/>
      <c r="R127" s="845"/>
      <c r="S127" s="845"/>
      <c r="T127" s="845"/>
      <c r="U127" s="845"/>
      <c r="V127" s="845"/>
      <c r="W127" s="845"/>
      <c r="X127" s="845"/>
      <c r="Y127" s="845"/>
    </row>
    <row r="128" spans="1:25" ht="12.75" customHeight="1" x14ac:dyDescent="0.2">
      <c r="A128" s="1809" t="s">
        <v>1020</v>
      </c>
      <c r="B128" s="1810"/>
      <c r="C128" s="1809" t="s">
        <v>1020</v>
      </c>
      <c r="D128" s="1810"/>
      <c r="E128" s="844"/>
      <c r="I128"/>
      <c r="J128"/>
      <c r="K128"/>
      <c r="L128"/>
      <c r="M128"/>
      <c r="N128"/>
      <c r="O128"/>
      <c r="P128" s="871"/>
      <c r="R128" s="845"/>
      <c r="S128" s="845"/>
      <c r="T128" s="845"/>
      <c r="U128" s="845"/>
      <c r="V128" s="845"/>
      <c r="W128" s="845"/>
      <c r="X128" s="845"/>
      <c r="Y128" s="845"/>
    </row>
    <row r="129" spans="1:25" ht="12.75" customHeight="1" x14ac:dyDescent="0.2">
      <c r="A129" s="1809" t="s">
        <v>1013</v>
      </c>
      <c r="B129" s="1810"/>
      <c r="C129" s="1809" t="s">
        <v>1013</v>
      </c>
      <c r="D129" s="1810"/>
      <c r="E129" s="844"/>
      <c r="I129"/>
      <c r="J129"/>
      <c r="K129"/>
      <c r="L129"/>
      <c r="M129"/>
      <c r="N129"/>
      <c r="O129"/>
      <c r="P129" s="871"/>
      <c r="R129" s="845"/>
      <c r="S129" s="845"/>
      <c r="T129" s="845"/>
      <c r="U129" s="845"/>
      <c r="V129" s="845"/>
      <c r="W129" s="845"/>
      <c r="X129" s="845"/>
      <c r="Y129" s="845"/>
    </row>
    <row r="130" spans="1:25" ht="12.75" customHeight="1" x14ac:dyDescent="0.2">
      <c r="A130" s="1809" t="s">
        <v>1024</v>
      </c>
      <c r="B130" s="1810"/>
      <c r="C130" s="1809" t="s">
        <v>1024</v>
      </c>
      <c r="D130" s="1810"/>
      <c r="E130" s="844"/>
      <c r="I130"/>
      <c r="J130"/>
      <c r="K130"/>
      <c r="L130"/>
      <c r="M130"/>
      <c r="N130"/>
      <c r="O130"/>
      <c r="P130" s="871"/>
      <c r="R130" s="845"/>
      <c r="S130" s="845"/>
      <c r="T130" s="845"/>
      <c r="U130" s="845"/>
      <c r="V130" s="845"/>
      <c r="W130" s="845"/>
      <c r="X130" s="845"/>
      <c r="Y130" s="845"/>
    </row>
    <row r="131" spans="1:25" ht="12.75" customHeight="1" x14ac:dyDescent="0.2">
      <c r="A131" s="1809" t="s">
        <v>1015</v>
      </c>
      <c r="B131" s="1810"/>
      <c r="C131" s="1809" t="s">
        <v>1015</v>
      </c>
      <c r="D131" s="1810"/>
      <c r="E131" s="844"/>
      <c r="I131"/>
      <c r="J131"/>
      <c r="K131"/>
      <c r="L131"/>
      <c r="M131"/>
      <c r="N131"/>
      <c r="O131"/>
      <c r="P131" s="871"/>
      <c r="R131" s="845"/>
      <c r="S131" s="845"/>
      <c r="T131" s="845"/>
      <c r="U131" s="845"/>
      <c r="V131" s="845"/>
      <c r="W131" s="845"/>
      <c r="X131" s="845"/>
      <c r="Y131" s="845"/>
    </row>
    <row r="132" spans="1:25" ht="12.75" customHeight="1" x14ac:dyDescent="0.2">
      <c r="A132" s="1809" t="s">
        <v>1027</v>
      </c>
      <c r="B132" s="1810"/>
      <c r="C132" s="1809" t="s">
        <v>1027</v>
      </c>
      <c r="D132" s="1810"/>
      <c r="E132" s="844"/>
      <c r="I132"/>
      <c r="J132"/>
      <c r="K132"/>
      <c r="L132"/>
      <c r="M132"/>
      <c r="N132"/>
      <c r="O132"/>
      <c r="P132" s="871"/>
      <c r="R132" s="845"/>
      <c r="S132" s="845"/>
      <c r="T132" s="845"/>
      <c r="U132" s="845"/>
      <c r="V132" s="845"/>
      <c r="W132" s="845"/>
      <c r="X132" s="845"/>
      <c r="Y132" s="845"/>
    </row>
    <row r="133" spans="1:25" ht="12.75" customHeight="1" x14ac:dyDescent="0.2">
      <c r="A133" s="1884" t="s">
        <v>1044</v>
      </c>
      <c r="B133" s="1885"/>
      <c r="C133" s="1886"/>
      <c r="D133" s="1887"/>
      <c r="E133" s="844"/>
      <c r="I133"/>
      <c r="J133"/>
      <c r="K133"/>
      <c r="L133"/>
      <c r="M133"/>
      <c r="N133"/>
      <c r="O133"/>
      <c r="P133" s="871"/>
      <c r="R133" s="845"/>
      <c r="S133" s="845"/>
      <c r="T133" s="845"/>
      <c r="U133" s="845"/>
      <c r="V133" s="845"/>
      <c r="W133" s="845"/>
      <c r="X133" s="845"/>
      <c r="Y133" s="845"/>
    </row>
    <row r="134" spans="1:25" ht="12.75" customHeight="1" x14ac:dyDescent="0.2">
      <c r="A134" s="1809" t="s">
        <v>2271</v>
      </c>
      <c r="B134" s="1810"/>
      <c r="C134" s="1821"/>
      <c r="D134" s="1822"/>
      <c r="E134" s="844"/>
      <c r="I134"/>
      <c r="J134"/>
      <c r="K134"/>
      <c r="L134"/>
      <c r="M134"/>
      <c r="N134"/>
      <c r="O134"/>
      <c r="P134" s="871"/>
      <c r="R134" s="845"/>
      <c r="S134" s="845"/>
      <c r="T134" s="845"/>
      <c r="U134" s="845"/>
      <c r="V134" s="845"/>
      <c r="W134" s="845"/>
      <c r="X134" s="845"/>
      <c r="Y134" s="845"/>
    </row>
    <row r="135" spans="1:25" ht="12.75" customHeight="1" x14ac:dyDescent="0.2">
      <c r="A135" s="1809" t="s">
        <v>2255</v>
      </c>
      <c r="B135" s="1810"/>
      <c r="C135" s="1821"/>
      <c r="D135" s="1822"/>
      <c r="E135" s="844"/>
      <c r="I135"/>
      <c r="J135"/>
      <c r="K135"/>
      <c r="L135"/>
      <c r="M135"/>
      <c r="N135"/>
      <c r="O135"/>
      <c r="P135" s="871"/>
      <c r="R135" s="845"/>
      <c r="S135" s="845"/>
      <c r="T135" s="845"/>
      <c r="U135" s="845"/>
      <c r="V135" s="845"/>
      <c r="W135" s="845"/>
      <c r="X135" s="845"/>
      <c r="Y135" s="845"/>
    </row>
    <row r="136" spans="1:25" ht="12.75" customHeight="1" x14ac:dyDescent="0.2">
      <c r="A136" s="1809" t="s">
        <v>1020</v>
      </c>
      <c r="B136" s="1810"/>
      <c r="C136" s="1821"/>
      <c r="D136" s="1822"/>
      <c r="E136" s="844"/>
      <c r="I136"/>
      <c r="J136"/>
      <c r="K136"/>
      <c r="L136"/>
      <c r="M136"/>
      <c r="N136"/>
      <c r="O136"/>
      <c r="P136" s="871"/>
      <c r="R136" s="845"/>
      <c r="S136" s="845"/>
      <c r="T136" s="845"/>
      <c r="U136" s="845"/>
      <c r="V136" s="845"/>
      <c r="W136" s="845"/>
      <c r="X136" s="845"/>
      <c r="Y136" s="845"/>
    </row>
    <row r="137" spans="1:25" ht="12.75" customHeight="1" x14ac:dyDescent="0.2">
      <c r="A137" s="1809" t="s">
        <v>1013</v>
      </c>
      <c r="B137" s="1810"/>
      <c r="C137" s="1821"/>
      <c r="D137" s="1822"/>
      <c r="E137" s="844"/>
      <c r="I137"/>
      <c r="J137"/>
      <c r="K137"/>
      <c r="L137"/>
      <c r="M137"/>
      <c r="N137"/>
      <c r="O137"/>
      <c r="P137" s="871"/>
      <c r="R137" s="845"/>
      <c r="S137" s="845"/>
      <c r="T137" s="845"/>
      <c r="U137" s="845"/>
      <c r="V137" s="845"/>
      <c r="W137" s="845"/>
      <c r="X137" s="845"/>
      <c r="Y137" s="845"/>
    </row>
    <row r="138" spans="1:25" ht="12.75" customHeight="1" x14ac:dyDescent="0.2">
      <c r="A138" s="1809" t="s">
        <v>1024</v>
      </c>
      <c r="B138" s="1810"/>
      <c r="C138" s="1821"/>
      <c r="D138" s="1822"/>
      <c r="E138" s="844"/>
      <c r="I138"/>
      <c r="J138"/>
      <c r="K138"/>
      <c r="L138"/>
      <c r="M138"/>
      <c r="N138"/>
      <c r="O138"/>
      <c r="P138" s="871"/>
      <c r="R138" s="845"/>
      <c r="S138" s="845"/>
      <c r="T138" s="845"/>
      <c r="U138" s="845"/>
      <c r="V138" s="845"/>
      <c r="W138" s="845"/>
      <c r="X138" s="845"/>
      <c r="Y138" s="845"/>
    </row>
    <row r="139" spans="1:25" ht="12.75" customHeight="1" x14ac:dyDescent="0.2">
      <c r="A139" s="1809" t="s">
        <v>1015</v>
      </c>
      <c r="B139" s="1810"/>
      <c r="C139" s="1821"/>
      <c r="D139" s="1822"/>
      <c r="E139" s="844"/>
      <c r="I139"/>
      <c r="J139"/>
      <c r="K139"/>
      <c r="L139"/>
      <c r="M139"/>
      <c r="N139"/>
      <c r="O139"/>
      <c r="P139" s="871"/>
      <c r="R139" s="845"/>
      <c r="S139" s="845"/>
      <c r="T139" s="845"/>
      <c r="U139" s="845"/>
      <c r="V139" s="845"/>
      <c r="W139" s="845"/>
      <c r="X139" s="845"/>
      <c r="Y139" s="845"/>
    </row>
    <row r="140" spans="1:25" ht="12.75" customHeight="1" x14ac:dyDescent="0.2">
      <c r="A140" s="1809" t="s">
        <v>1027</v>
      </c>
      <c r="B140" s="1810"/>
      <c r="C140" s="1821"/>
      <c r="D140" s="1822"/>
      <c r="E140" s="844"/>
      <c r="I140"/>
      <c r="J140"/>
      <c r="K140"/>
      <c r="L140"/>
      <c r="M140"/>
      <c r="N140"/>
      <c r="O140"/>
      <c r="P140" s="871"/>
      <c r="R140" s="845"/>
      <c r="S140" s="845"/>
      <c r="T140" s="845"/>
      <c r="U140" s="845"/>
      <c r="V140" s="845"/>
      <c r="W140" s="845"/>
      <c r="X140" s="845"/>
      <c r="Y140" s="845"/>
    </row>
    <row r="141" spans="1:25" ht="12.75" customHeight="1" x14ac:dyDescent="0.2">
      <c r="A141" s="1823"/>
      <c r="B141" s="1823"/>
      <c r="E141" s="844"/>
      <c r="I141"/>
      <c r="J141"/>
      <c r="K141"/>
      <c r="L141"/>
      <c r="M141"/>
      <c r="N141"/>
      <c r="O141"/>
      <c r="P141" s="871"/>
      <c r="R141" s="845"/>
      <c r="S141" s="845"/>
      <c r="T141" s="845"/>
      <c r="U141" s="845"/>
      <c r="V141" s="845"/>
      <c r="W141" s="845"/>
      <c r="X141" s="845"/>
      <c r="Y141" s="845"/>
    </row>
    <row r="142" spans="1:25" ht="12.75" customHeight="1" x14ac:dyDescent="0.2">
      <c r="A142" s="1823"/>
      <c r="B142" s="1823"/>
      <c r="C142" s="1823"/>
      <c r="D142" s="1823"/>
      <c r="E142" s="844"/>
      <c r="I142"/>
      <c r="J142"/>
      <c r="K142"/>
      <c r="L142"/>
      <c r="M142"/>
      <c r="N142"/>
      <c r="O142"/>
      <c r="P142" s="871"/>
      <c r="R142" s="845"/>
      <c r="S142" s="845"/>
      <c r="T142" s="845"/>
      <c r="U142" s="845"/>
      <c r="V142" s="845"/>
      <c r="W142" s="845"/>
      <c r="X142" s="845"/>
      <c r="Y142" s="845"/>
    </row>
    <row r="143" spans="1:25" ht="12.75" customHeight="1" x14ac:dyDescent="0.25">
      <c r="A143" s="1788"/>
      <c r="B143" s="1824"/>
      <c r="C143" s="1824"/>
      <c r="D143" s="1824"/>
      <c r="E143" s="844"/>
      <c r="I143"/>
      <c r="J143"/>
      <c r="K143"/>
      <c r="L143"/>
      <c r="M143"/>
      <c r="N143"/>
      <c r="O143"/>
      <c r="P143" s="871"/>
      <c r="R143" s="845"/>
      <c r="S143" s="845"/>
      <c r="T143" s="845"/>
      <c r="U143" s="845"/>
      <c r="V143" s="845"/>
      <c r="W143" s="845"/>
      <c r="X143" s="845"/>
      <c r="Y143" s="845"/>
    </row>
    <row r="144" spans="1:25" ht="12.75" customHeight="1" x14ac:dyDescent="0.2">
      <c r="A144" s="1823"/>
      <c r="B144" s="1823"/>
      <c r="C144" s="1823"/>
      <c r="D144" s="1823"/>
      <c r="E144" s="844"/>
      <c r="I144"/>
      <c r="J144"/>
      <c r="K144"/>
      <c r="L144"/>
      <c r="M144"/>
      <c r="N144"/>
      <c r="O144"/>
      <c r="P144" s="871"/>
      <c r="R144" s="845"/>
      <c r="S144" s="845"/>
      <c r="T144" s="845"/>
      <c r="U144" s="845"/>
      <c r="V144" s="845"/>
      <c r="W144" s="845"/>
      <c r="X144" s="845"/>
      <c r="Y144" s="845"/>
    </row>
    <row r="145" spans="1:25" ht="12.75" customHeight="1" x14ac:dyDescent="0.2">
      <c r="E145" s="844"/>
      <c r="I145"/>
      <c r="J145"/>
      <c r="K145"/>
      <c r="L145"/>
      <c r="M145"/>
      <c r="N145"/>
      <c r="O145"/>
      <c r="P145" s="871"/>
      <c r="R145" s="845"/>
      <c r="S145" s="845"/>
      <c r="T145" s="845"/>
      <c r="U145" s="845"/>
      <c r="V145" s="845"/>
      <c r="W145" s="845"/>
      <c r="X145" s="845"/>
      <c r="Y145" s="845"/>
    </row>
    <row r="146" spans="1:25" ht="12.75" customHeight="1" x14ac:dyDescent="0.2">
      <c r="E146" s="844"/>
      <c r="I146"/>
      <c r="J146"/>
      <c r="K146"/>
      <c r="L146"/>
      <c r="M146"/>
      <c r="N146"/>
      <c r="O146"/>
      <c r="P146" s="871"/>
      <c r="R146" s="845"/>
      <c r="S146" s="845"/>
      <c r="T146" s="845"/>
      <c r="U146" s="845"/>
      <c r="V146" s="845"/>
      <c r="W146" s="845"/>
      <c r="X146" s="845"/>
      <c r="Y146" s="845"/>
    </row>
    <row r="147" spans="1:25" ht="12.75" customHeight="1" x14ac:dyDescent="0.2">
      <c r="E147" s="844"/>
      <c r="I147"/>
      <c r="J147"/>
      <c r="K147"/>
      <c r="L147"/>
      <c r="M147"/>
      <c r="N147"/>
      <c r="O147"/>
      <c r="P147" s="871"/>
      <c r="R147" s="845"/>
      <c r="S147" s="845"/>
      <c r="T147" s="845"/>
      <c r="U147" s="845"/>
      <c r="V147" s="845"/>
      <c r="W147" s="845"/>
      <c r="X147" s="845"/>
      <c r="Y147" s="845"/>
    </row>
    <row r="148" spans="1:25" ht="12.75" customHeight="1" x14ac:dyDescent="0.2">
      <c r="A148" s="1825"/>
      <c r="E148" s="844"/>
      <c r="I148"/>
      <c r="J148"/>
      <c r="K148"/>
      <c r="L148"/>
      <c r="M148"/>
      <c r="N148"/>
      <c r="O148"/>
      <c r="P148" s="871"/>
      <c r="R148" s="845"/>
      <c r="S148" s="845"/>
      <c r="T148" s="845"/>
      <c r="U148" s="845"/>
      <c r="V148" s="845"/>
      <c r="W148" s="845"/>
      <c r="X148" s="845"/>
      <c r="Y148" s="845"/>
    </row>
    <row r="149" spans="1:25" x14ac:dyDescent="0.2">
      <c r="A149" s="1826"/>
      <c r="E149" s="844"/>
      <c r="I149"/>
      <c r="J149"/>
      <c r="K149"/>
      <c r="L149"/>
      <c r="M149"/>
      <c r="N149"/>
      <c r="O149"/>
      <c r="P149" s="871"/>
      <c r="R149" s="845"/>
      <c r="S149" s="845"/>
      <c r="T149" s="845"/>
      <c r="U149" s="845"/>
      <c r="V149" s="845"/>
      <c r="W149" s="845"/>
      <c r="X149" s="845"/>
      <c r="Y149" s="845"/>
    </row>
    <row r="150" spans="1:25" x14ac:dyDescent="0.2">
      <c r="A150" s="1826"/>
      <c r="E150" s="844"/>
      <c r="I150"/>
      <c r="J150"/>
      <c r="K150"/>
      <c r="L150"/>
      <c r="M150"/>
      <c r="N150"/>
      <c r="O150"/>
      <c r="P150" s="871"/>
      <c r="R150" s="845"/>
      <c r="S150" s="845"/>
      <c r="T150" s="845"/>
      <c r="U150" s="845"/>
      <c r="V150" s="845"/>
      <c r="W150" s="845"/>
      <c r="X150" s="845"/>
      <c r="Y150" s="845"/>
    </row>
    <row r="151" spans="1:25" x14ac:dyDescent="0.2">
      <c r="A151" s="1826"/>
      <c r="E151" s="844"/>
      <c r="I151"/>
      <c r="J151"/>
      <c r="K151"/>
      <c r="L151"/>
      <c r="M151"/>
      <c r="N151"/>
      <c r="O151"/>
      <c r="P151" s="871"/>
      <c r="R151" s="845"/>
      <c r="S151" s="845"/>
      <c r="T151" s="845"/>
      <c r="U151" s="845"/>
      <c r="V151" s="845"/>
      <c r="W151" s="845"/>
      <c r="X151" s="845"/>
      <c r="Y151" s="845"/>
    </row>
    <row r="152" spans="1:25" x14ac:dyDescent="0.2">
      <c r="A152" s="1826"/>
      <c r="E152" s="844"/>
      <c r="I152"/>
      <c r="J152"/>
      <c r="K152"/>
      <c r="L152"/>
      <c r="M152"/>
      <c r="N152"/>
      <c r="O152"/>
      <c r="P152" s="871"/>
      <c r="R152" s="845"/>
      <c r="S152" s="845"/>
      <c r="T152" s="845"/>
      <c r="U152" s="845"/>
      <c r="V152" s="845"/>
      <c r="W152" s="845"/>
      <c r="X152" s="845"/>
      <c r="Y152" s="845"/>
    </row>
    <row r="153" spans="1:25" x14ac:dyDescent="0.2">
      <c r="A153" s="1827"/>
      <c r="B153" s="1828"/>
      <c r="C153" s="1828"/>
      <c r="D153" s="1828"/>
      <c r="E153" s="844"/>
      <c r="I153"/>
      <c r="J153"/>
      <c r="K153"/>
      <c r="L153"/>
      <c r="M153"/>
      <c r="N153"/>
      <c r="O153"/>
      <c r="P153" s="871"/>
      <c r="R153" s="845"/>
      <c r="S153" s="845"/>
      <c r="T153" s="845"/>
      <c r="U153" s="845"/>
      <c r="V153" s="845"/>
      <c r="W153" s="845"/>
      <c r="X153" s="845"/>
      <c r="Y153" s="845"/>
    </row>
    <row r="154" spans="1:25" x14ac:dyDescent="0.2">
      <c r="A154" s="1827"/>
      <c r="B154" s="1828"/>
      <c r="C154" s="1828"/>
      <c r="D154" s="1828"/>
      <c r="E154" s="844"/>
      <c r="I154"/>
      <c r="J154"/>
      <c r="K154"/>
      <c r="L154"/>
      <c r="M154"/>
      <c r="N154"/>
      <c r="O154"/>
      <c r="P154" s="871"/>
      <c r="R154" s="845"/>
      <c r="S154" s="845"/>
      <c r="T154" s="845"/>
      <c r="U154" s="845"/>
      <c r="V154" s="845"/>
      <c r="W154" s="845"/>
      <c r="X154" s="845"/>
      <c r="Y154" s="845"/>
    </row>
    <row r="155" spans="1:25" x14ac:dyDescent="0.2">
      <c r="A155" s="1827"/>
      <c r="B155" s="1828"/>
      <c r="C155" s="1828"/>
      <c r="D155" s="1828"/>
      <c r="E155" s="844"/>
      <c r="I155"/>
      <c r="J155"/>
      <c r="K155"/>
      <c r="L155"/>
      <c r="M155"/>
      <c r="N155"/>
      <c r="O155"/>
      <c r="P155" s="871"/>
      <c r="R155" s="845"/>
      <c r="S155" s="845"/>
      <c r="T155" s="845"/>
      <c r="U155" s="845"/>
      <c r="V155" s="845"/>
      <c r="W155" s="845"/>
      <c r="X155" s="845"/>
      <c r="Y155" s="845"/>
    </row>
    <row r="156" spans="1:25" x14ac:dyDescent="0.2">
      <c r="A156" s="1827"/>
      <c r="B156" s="1828"/>
      <c r="C156" s="1828"/>
      <c r="D156" s="1828"/>
      <c r="E156" s="844"/>
      <c r="I156"/>
      <c r="J156"/>
      <c r="K156"/>
      <c r="L156"/>
      <c r="M156"/>
      <c r="N156"/>
      <c r="O156"/>
      <c r="P156" s="871"/>
      <c r="R156" s="845"/>
      <c r="S156" s="845"/>
      <c r="T156" s="845"/>
      <c r="U156" s="845"/>
      <c r="V156" s="845"/>
      <c r="W156" s="845"/>
      <c r="X156" s="845"/>
      <c r="Y156" s="845"/>
    </row>
    <row r="157" spans="1:25" x14ac:dyDescent="0.2">
      <c r="A157" s="1827"/>
      <c r="B157" s="1828"/>
      <c r="C157" s="1828"/>
      <c r="D157" s="1828"/>
      <c r="E157" s="844"/>
      <c r="I157"/>
      <c r="J157"/>
      <c r="K157"/>
      <c r="L157"/>
      <c r="M157"/>
      <c r="N157"/>
      <c r="O157"/>
      <c r="P157" s="871"/>
      <c r="R157" s="845"/>
      <c r="S157" s="845"/>
      <c r="T157" s="845"/>
      <c r="U157" s="845"/>
      <c r="V157" s="845"/>
      <c r="W157" s="845"/>
      <c r="X157" s="845"/>
      <c r="Y157" s="845"/>
    </row>
    <row r="158" spans="1:25" x14ac:dyDescent="0.2">
      <c r="A158" s="1827"/>
      <c r="B158" s="1828"/>
      <c r="C158" s="1828"/>
      <c r="D158" s="1828"/>
      <c r="E158" s="844"/>
      <c r="I158"/>
      <c r="J158"/>
      <c r="K158"/>
      <c r="L158"/>
      <c r="M158"/>
      <c r="N158"/>
      <c r="O158"/>
      <c r="P158" s="871"/>
      <c r="R158" s="845"/>
      <c r="S158" s="845"/>
      <c r="T158" s="845"/>
      <c r="U158" s="845"/>
      <c r="V158" s="845"/>
      <c r="W158" s="845"/>
      <c r="X158" s="845"/>
      <c r="Y158" s="845"/>
    </row>
    <row r="159" spans="1:25" x14ac:dyDescent="0.2">
      <c r="A159" s="1827"/>
      <c r="B159" s="1828"/>
      <c r="C159" s="1828"/>
      <c r="D159" s="1828"/>
      <c r="E159" s="844"/>
      <c r="I159"/>
      <c r="J159"/>
      <c r="K159"/>
      <c r="L159"/>
      <c r="M159"/>
      <c r="N159"/>
      <c r="O159"/>
      <c r="P159" s="871"/>
      <c r="R159" s="845"/>
      <c r="S159" s="845"/>
      <c r="T159" s="845"/>
      <c r="U159" s="845"/>
      <c r="V159" s="845"/>
      <c r="W159" s="845"/>
      <c r="X159" s="845"/>
      <c r="Y159" s="845"/>
    </row>
    <row r="160" spans="1:25" x14ac:dyDescent="0.2">
      <c r="A160" s="1827"/>
      <c r="B160" s="1828"/>
      <c r="C160" s="1828"/>
      <c r="D160" s="1828"/>
      <c r="E160" s="844"/>
      <c r="I160"/>
      <c r="J160"/>
      <c r="K160"/>
      <c r="L160"/>
      <c r="M160"/>
      <c r="N160"/>
      <c r="O160"/>
      <c r="P160" s="871"/>
      <c r="R160" s="845"/>
      <c r="S160" s="845"/>
      <c r="T160" s="845"/>
      <c r="U160" s="845"/>
      <c r="V160" s="845"/>
      <c r="W160" s="845"/>
      <c r="X160" s="845"/>
      <c r="Y160" s="845"/>
    </row>
    <row r="161" spans="1:25" x14ac:dyDescent="0.2">
      <c r="A161" s="1827"/>
      <c r="B161" s="1828"/>
      <c r="C161" s="1828"/>
      <c r="D161" s="1828"/>
      <c r="E161" s="844"/>
      <c r="I161"/>
      <c r="J161"/>
      <c r="K161"/>
      <c r="L161"/>
      <c r="M161"/>
      <c r="N161"/>
      <c r="O161"/>
      <c r="P161" s="871"/>
      <c r="R161" s="845"/>
      <c r="S161" s="845"/>
      <c r="T161" s="845"/>
      <c r="U161" s="845"/>
      <c r="V161" s="845"/>
      <c r="W161" s="845"/>
      <c r="X161" s="845"/>
      <c r="Y161" s="845"/>
    </row>
    <row r="162" spans="1:25" x14ac:dyDescent="0.2">
      <c r="A162" s="1827"/>
      <c r="B162" s="1828"/>
      <c r="C162" s="1828"/>
      <c r="D162" s="1828"/>
      <c r="E162" s="844"/>
      <c r="I162"/>
      <c r="J162"/>
      <c r="K162"/>
      <c r="L162"/>
      <c r="M162"/>
      <c r="N162"/>
      <c r="O162"/>
      <c r="P162" s="871"/>
      <c r="R162" s="845"/>
      <c r="S162" s="845"/>
      <c r="T162" s="845"/>
      <c r="U162" s="845"/>
      <c r="V162" s="845"/>
      <c r="W162" s="845"/>
      <c r="X162" s="845"/>
      <c r="Y162" s="845"/>
    </row>
    <row r="163" spans="1:25" x14ac:dyDescent="0.2">
      <c r="A163" s="1827"/>
      <c r="B163" s="1828"/>
      <c r="C163" s="1828"/>
      <c r="D163" s="1828"/>
      <c r="E163" s="844"/>
      <c r="I163"/>
      <c r="J163"/>
      <c r="K163"/>
      <c r="L163"/>
      <c r="M163"/>
      <c r="N163"/>
      <c r="O163"/>
      <c r="P163" s="871"/>
      <c r="R163" s="845"/>
      <c r="S163" s="845"/>
      <c r="T163" s="845"/>
      <c r="U163" s="845"/>
      <c r="V163" s="845"/>
      <c r="W163" s="845"/>
      <c r="X163" s="845"/>
      <c r="Y163" s="845"/>
    </row>
    <row r="164" spans="1:25" x14ac:dyDescent="0.2">
      <c r="A164" s="1827"/>
      <c r="B164" s="1828"/>
      <c r="C164" s="1828"/>
      <c r="D164" s="1828"/>
      <c r="E164" s="844"/>
      <c r="I164"/>
      <c r="J164"/>
      <c r="K164"/>
      <c r="L164"/>
      <c r="M164"/>
      <c r="N164"/>
      <c r="O164"/>
      <c r="P164" s="871"/>
      <c r="R164" s="845"/>
      <c r="S164" s="845"/>
      <c r="T164" s="845"/>
      <c r="U164" s="845"/>
      <c r="V164" s="845"/>
      <c r="W164" s="845"/>
      <c r="X164" s="845"/>
      <c r="Y164" s="845"/>
    </row>
    <row r="165" spans="1:25" x14ac:dyDescent="0.2">
      <c r="A165" s="1827"/>
      <c r="B165" s="1828"/>
      <c r="C165" s="1828"/>
      <c r="D165" s="1828"/>
      <c r="E165" s="844"/>
      <c r="I165"/>
      <c r="J165"/>
      <c r="K165"/>
      <c r="L165"/>
      <c r="M165"/>
      <c r="N165"/>
      <c r="O165"/>
      <c r="P165" s="871"/>
      <c r="R165" s="845"/>
      <c r="S165" s="845"/>
      <c r="T165" s="845"/>
      <c r="U165" s="845"/>
      <c r="V165" s="845"/>
      <c r="W165" s="845"/>
      <c r="X165" s="845"/>
      <c r="Y165" s="845"/>
    </row>
    <row r="166" spans="1:25" x14ac:dyDescent="0.2">
      <c r="A166" s="1827"/>
      <c r="B166" s="1828"/>
      <c r="C166" s="1828"/>
      <c r="D166" s="1828"/>
      <c r="E166" s="844"/>
      <c r="I166"/>
      <c r="J166"/>
      <c r="K166"/>
      <c r="L166"/>
      <c r="M166"/>
      <c r="N166"/>
      <c r="O166"/>
      <c r="P166" s="871"/>
      <c r="R166" s="845"/>
      <c r="S166" s="845"/>
      <c r="T166" s="845"/>
      <c r="U166" s="845"/>
      <c r="V166" s="845"/>
      <c r="W166" s="845"/>
      <c r="X166" s="845"/>
      <c r="Y166" s="845"/>
    </row>
    <row r="167" spans="1:25" x14ac:dyDescent="0.2">
      <c r="A167" s="1827"/>
      <c r="B167" s="1828"/>
      <c r="C167" s="1828"/>
      <c r="D167" s="1828"/>
      <c r="E167" s="844"/>
      <c r="I167"/>
      <c r="J167"/>
      <c r="K167"/>
      <c r="L167"/>
      <c r="M167"/>
      <c r="N167"/>
      <c r="O167"/>
      <c r="P167" s="871"/>
      <c r="R167" s="845"/>
      <c r="S167" s="845"/>
      <c r="T167" s="845"/>
      <c r="U167" s="845"/>
      <c r="V167" s="845"/>
      <c r="W167" s="845"/>
      <c r="X167" s="845"/>
      <c r="Y167" s="845"/>
    </row>
    <row r="168" spans="1:25" x14ac:dyDescent="0.2">
      <c r="A168" s="1827"/>
      <c r="B168" s="1828"/>
      <c r="C168" s="1828"/>
      <c r="D168" s="1828"/>
      <c r="E168" s="844"/>
      <c r="I168"/>
      <c r="J168"/>
      <c r="K168"/>
      <c r="L168"/>
      <c r="M168"/>
      <c r="N168"/>
      <c r="O168"/>
      <c r="P168" s="871"/>
      <c r="R168" s="845"/>
      <c r="S168" s="845"/>
      <c r="T168" s="845"/>
      <c r="U168" s="845"/>
      <c r="V168" s="845"/>
      <c r="W168" s="845"/>
      <c r="X168" s="845"/>
      <c r="Y168" s="845"/>
    </row>
    <row r="169" spans="1:25" x14ac:dyDescent="0.2">
      <c r="A169" s="1827"/>
      <c r="B169" s="1828"/>
      <c r="C169" s="1828"/>
      <c r="D169" s="1828"/>
      <c r="E169" s="844"/>
      <c r="I169"/>
      <c r="J169"/>
      <c r="K169"/>
      <c r="L169"/>
      <c r="M169"/>
      <c r="N169"/>
      <c r="O169"/>
      <c r="P169" s="871"/>
      <c r="R169" s="845"/>
      <c r="S169" s="845"/>
      <c r="T169" s="845"/>
      <c r="U169" s="845"/>
      <c r="V169" s="845"/>
      <c r="W169" s="845"/>
      <c r="X169" s="845"/>
      <c r="Y169" s="845"/>
    </row>
    <row r="170" spans="1:25" x14ac:dyDescent="0.2">
      <c r="A170" s="1827"/>
      <c r="B170" s="1828"/>
      <c r="C170" s="1828"/>
      <c r="D170" s="1828"/>
      <c r="E170" s="844"/>
      <c r="I170"/>
      <c r="J170"/>
      <c r="K170"/>
      <c r="L170"/>
      <c r="M170"/>
      <c r="N170"/>
      <c r="O170"/>
      <c r="P170" s="871"/>
      <c r="R170" s="845"/>
      <c r="S170" s="845"/>
      <c r="T170" s="845"/>
      <c r="U170" s="845"/>
      <c r="V170" s="845"/>
      <c r="W170" s="845"/>
      <c r="X170" s="845"/>
      <c r="Y170" s="845"/>
    </row>
    <row r="171" spans="1:25" x14ac:dyDescent="0.2">
      <c r="A171" s="1827"/>
      <c r="B171" s="1828"/>
      <c r="C171" s="1828"/>
      <c r="D171" s="1828"/>
      <c r="E171" s="844"/>
      <c r="I171"/>
      <c r="J171"/>
      <c r="K171"/>
      <c r="L171"/>
      <c r="M171"/>
      <c r="N171"/>
      <c r="O171"/>
      <c r="P171" s="871"/>
      <c r="R171" s="845"/>
      <c r="S171" s="845"/>
      <c r="T171" s="845"/>
      <c r="U171" s="845"/>
      <c r="V171" s="845"/>
      <c r="W171" s="845"/>
      <c r="X171" s="845"/>
      <c r="Y171" s="845"/>
    </row>
    <row r="172" spans="1:25" x14ac:dyDescent="0.2">
      <c r="A172" s="1827"/>
      <c r="B172" s="1828"/>
      <c r="C172" s="1828"/>
      <c r="D172" s="1828"/>
      <c r="E172" s="844"/>
      <c r="I172"/>
      <c r="J172"/>
      <c r="K172"/>
      <c r="L172"/>
      <c r="M172"/>
      <c r="N172"/>
      <c r="O172"/>
      <c r="P172" s="871"/>
      <c r="R172" s="845"/>
      <c r="S172" s="845"/>
      <c r="T172" s="845"/>
      <c r="U172" s="845"/>
      <c r="V172" s="845"/>
      <c r="W172" s="845"/>
      <c r="X172" s="845"/>
      <c r="Y172" s="845"/>
    </row>
    <row r="173" spans="1:25" x14ac:dyDescent="0.2">
      <c r="A173" s="1827"/>
      <c r="B173" s="1828"/>
      <c r="C173" s="1828"/>
      <c r="D173" s="1828"/>
      <c r="E173" s="844"/>
      <c r="I173"/>
      <c r="J173"/>
      <c r="K173"/>
      <c r="L173"/>
      <c r="M173"/>
      <c r="N173"/>
      <c r="O173"/>
      <c r="P173" s="871"/>
      <c r="R173" s="845"/>
      <c r="S173" s="845"/>
      <c r="T173" s="845"/>
      <c r="U173" s="845"/>
      <c r="V173" s="845"/>
      <c r="W173" s="845"/>
      <c r="X173" s="845"/>
      <c r="Y173" s="845"/>
    </row>
    <row r="174" spans="1:25" x14ac:dyDescent="0.2">
      <c r="A174" s="1827"/>
      <c r="B174" s="1828"/>
      <c r="C174" s="1828"/>
      <c r="D174" s="1828"/>
      <c r="E174" s="844"/>
      <c r="I174"/>
      <c r="J174"/>
      <c r="K174"/>
      <c r="L174"/>
      <c r="M174"/>
      <c r="N174"/>
      <c r="O174"/>
      <c r="P174" s="871"/>
      <c r="R174" s="845"/>
      <c r="S174" s="845"/>
      <c r="T174" s="845"/>
      <c r="U174" s="845"/>
      <c r="V174" s="845"/>
      <c r="W174" s="845"/>
      <c r="X174" s="845"/>
      <c r="Y174" s="845"/>
    </row>
    <row r="175" spans="1:25" x14ac:dyDescent="0.2">
      <c r="A175" s="1828"/>
      <c r="B175" s="1828"/>
      <c r="C175" s="1828"/>
      <c r="D175" s="1828"/>
      <c r="E175" s="844"/>
      <c r="I175"/>
      <c r="J175"/>
      <c r="K175"/>
      <c r="L175"/>
      <c r="M175"/>
      <c r="N175"/>
      <c r="O175"/>
      <c r="P175" s="871"/>
      <c r="R175" s="845"/>
      <c r="S175" s="845"/>
      <c r="T175" s="845"/>
      <c r="U175" s="845"/>
      <c r="V175" s="845"/>
      <c r="W175" s="845"/>
      <c r="X175" s="845"/>
      <c r="Y175" s="845"/>
    </row>
    <row r="176" spans="1:25" x14ac:dyDescent="0.2">
      <c r="A176" s="1828"/>
      <c r="B176" s="1828"/>
      <c r="C176" s="1828"/>
      <c r="D176" s="1828"/>
      <c r="E176" s="844"/>
      <c r="I176"/>
      <c r="J176"/>
      <c r="K176"/>
      <c r="L176"/>
      <c r="M176"/>
      <c r="N176"/>
      <c r="O176"/>
      <c r="P176" s="871"/>
      <c r="R176" s="845"/>
      <c r="S176" s="845"/>
      <c r="T176" s="845"/>
      <c r="U176" s="845"/>
      <c r="V176" s="845"/>
      <c r="W176" s="845"/>
      <c r="X176" s="845"/>
      <c r="Y176" s="845"/>
    </row>
    <row r="177" spans="1:25" x14ac:dyDescent="0.2">
      <c r="A177" s="1828"/>
      <c r="B177" s="1828"/>
      <c r="C177" s="1828"/>
      <c r="D177" s="1828"/>
      <c r="E177" s="844"/>
      <c r="I177"/>
      <c r="J177"/>
      <c r="K177"/>
      <c r="L177"/>
      <c r="M177"/>
      <c r="N177"/>
      <c r="O177"/>
      <c r="P177" s="871"/>
      <c r="R177" s="845"/>
      <c r="S177" s="845"/>
      <c r="T177" s="845"/>
      <c r="U177" s="845"/>
      <c r="V177" s="845"/>
      <c r="W177" s="845"/>
      <c r="X177" s="845"/>
      <c r="Y177" s="845"/>
    </row>
    <row r="178" spans="1:25" x14ac:dyDescent="0.2">
      <c r="A178" s="1828"/>
      <c r="B178" s="1828"/>
      <c r="C178" s="1828"/>
      <c r="D178" s="1828"/>
      <c r="E178" s="844"/>
      <c r="I178"/>
      <c r="J178"/>
      <c r="K178"/>
      <c r="L178"/>
      <c r="M178"/>
      <c r="N178"/>
      <c r="O178"/>
      <c r="P178" s="871"/>
      <c r="R178" s="845"/>
      <c r="S178" s="845"/>
      <c r="T178" s="845"/>
      <c r="U178" s="845"/>
      <c r="V178" s="845"/>
      <c r="W178" s="845"/>
      <c r="X178" s="845"/>
      <c r="Y178" s="845"/>
    </row>
    <row r="179" spans="1:25" x14ac:dyDescent="0.2">
      <c r="A179" s="1828"/>
      <c r="B179" s="1828"/>
      <c r="C179" s="1828"/>
      <c r="D179" s="1828"/>
      <c r="E179" s="844"/>
      <c r="I179"/>
      <c r="J179"/>
      <c r="K179"/>
      <c r="L179"/>
      <c r="M179"/>
      <c r="N179"/>
      <c r="O179"/>
      <c r="P179" s="871"/>
      <c r="R179" s="845"/>
      <c r="S179" s="845"/>
      <c r="T179" s="845"/>
      <c r="U179" s="845"/>
      <c r="V179" s="845"/>
      <c r="W179" s="845"/>
      <c r="X179" s="845"/>
      <c r="Y179" s="845"/>
    </row>
    <row r="180" spans="1:25" x14ac:dyDescent="0.2">
      <c r="A180" s="1828"/>
      <c r="B180" s="1828"/>
      <c r="C180" s="1828"/>
      <c r="D180" s="1828"/>
      <c r="E180" s="844"/>
      <c r="I180"/>
      <c r="J180"/>
      <c r="K180"/>
      <c r="L180"/>
      <c r="M180"/>
      <c r="N180"/>
      <c r="O180"/>
      <c r="P180" s="871"/>
      <c r="R180" s="845"/>
      <c r="S180" s="845"/>
      <c r="T180" s="845"/>
      <c r="U180" s="845"/>
      <c r="V180" s="845"/>
      <c r="W180" s="845"/>
      <c r="X180" s="845"/>
      <c r="Y180" s="845"/>
    </row>
    <row r="181" spans="1:25" x14ac:dyDescent="0.2">
      <c r="A181" s="1828"/>
      <c r="B181" s="1828"/>
      <c r="C181" s="1828"/>
      <c r="D181" s="1828"/>
      <c r="E181" s="844"/>
      <c r="I181"/>
      <c r="J181"/>
      <c r="K181"/>
      <c r="L181"/>
      <c r="M181"/>
      <c r="N181"/>
      <c r="O181"/>
      <c r="P181" s="871"/>
      <c r="R181" s="845"/>
      <c r="S181" s="845"/>
      <c r="T181" s="845"/>
      <c r="U181" s="845"/>
      <c r="V181" s="845"/>
      <c r="W181" s="845"/>
      <c r="X181" s="845"/>
      <c r="Y181" s="845"/>
    </row>
    <row r="182" spans="1:25" x14ac:dyDescent="0.2">
      <c r="A182" s="1828"/>
      <c r="B182" s="1828"/>
      <c r="C182" s="1828"/>
      <c r="D182" s="1828"/>
      <c r="E182" s="844"/>
      <c r="I182"/>
      <c r="J182"/>
      <c r="K182"/>
      <c r="L182"/>
      <c r="M182"/>
      <c r="N182"/>
      <c r="O182"/>
      <c r="P182" s="871"/>
      <c r="R182" s="845"/>
      <c r="S182" s="845"/>
      <c r="T182" s="845"/>
      <c r="U182" s="845"/>
      <c r="V182" s="845"/>
      <c r="W182" s="845"/>
      <c r="X182" s="845"/>
      <c r="Y182" s="845"/>
    </row>
    <row r="183" spans="1:25" x14ac:dyDescent="0.2">
      <c r="A183" s="1828"/>
      <c r="B183" s="1828"/>
      <c r="C183" s="1828"/>
      <c r="D183" s="1828"/>
      <c r="E183" s="844"/>
      <c r="I183"/>
      <c r="J183"/>
      <c r="K183"/>
      <c r="L183"/>
      <c r="M183"/>
      <c r="N183"/>
      <c r="O183"/>
      <c r="P183" s="871"/>
      <c r="R183" s="845"/>
      <c r="S183" s="845"/>
      <c r="T183" s="845"/>
      <c r="U183" s="845"/>
      <c r="V183" s="845"/>
      <c r="W183" s="845"/>
      <c r="X183" s="845"/>
      <c r="Y183" s="845"/>
    </row>
    <row r="184" spans="1:25" x14ac:dyDescent="0.2">
      <c r="A184" s="1828"/>
      <c r="B184" s="1828"/>
      <c r="C184" s="1828"/>
      <c r="D184" s="1828"/>
      <c r="E184" s="844"/>
      <c r="I184"/>
      <c r="J184"/>
      <c r="K184"/>
      <c r="L184"/>
      <c r="M184"/>
      <c r="N184"/>
      <c r="O184"/>
      <c r="P184" s="871"/>
      <c r="R184" s="845"/>
      <c r="S184" s="845"/>
      <c r="T184" s="845"/>
      <c r="U184" s="845"/>
      <c r="V184" s="845"/>
      <c r="W184" s="845"/>
      <c r="X184" s="845"/>
      <c r="Y184" s="845"/>
    </row>
    <row r="185" spans="1:25" x14ac:dyDescent="0.2">
      <c r="A185" s="1828"/>
      <c r="B185" s="1828"/>
      <c r="C185" s="1828"/>
      <c r="D185" s="1828"/>
      <c r="E185" s="844"/>
      <c r="I185"/>
      <c r="J185"/>
      <c r="K185"/>
      <c r="L185"/>
      <c r="M185"/>
      <c r="N185"/>
      <c r="O185"/>
      <c r="P185" s="871"/>
      <c r="R185" s="845"/>
      <c r="S185" s="845"/>
      <c r="T185" s="845"/>
      <c r="U185" s="845"/>
      <c r="V185" s="845"/>
      <c r="W185" s="845"/>
      <c r="X185" s="845"/>
      <c r="Y185" s="845"/>
    </row>
    <row r="186" spans="1:25" x14ac:dyDescent="0.2">
      <c r="A186" s="1828"/>
      <c r="B186" s="1828"/>
      <c r="C186" s="1828"/>
      <c r="D186" s="1828"/>
      <c r="E186" s="844"/>
      <c r="I186"/>
      <c r="J186"/>
      <c r="K186"/>
      <c r="L186"/>
      <c r="M186"/>
      <c r="N186"/>
      <c r="O186"/>
      <c r="P186" s="871"/>
      <c r="R186" s="845"/>
      <c r="S186" s="845"/>
      <c r="T186" s="845"/>
      <c r="U186" s="845"/>
      <c r="V186" s="845"/>
      <c r="W186" s="845"/>
      <c r="X186" s="845"/>
      <c r="Y186" s="845"/>
    </row>
    <row r="187" spans="1:25" x14ac:dyDescent="0.2">
      <c r="A187" s="1828"/>
      <c r="B187" s="1828"/>
      <c r="C187" s="1828"/>
      <c r="D187" s="1828"/>
      <c r="E187" s="844"/>
      <c r="I187"/>
      <c r="J187"/>
      <c r="K187"/>
      <c r="L187"/>
      <c r="M187"/>
      <c r="N187"/>
      <c r="O187"/>
      <c r="P187" s="871"/>
      <c r="R187" s="845"/>
      <c r="S187" s="845"/>
      <c r="T187" s="845"/>
      <c r="U187" s="845"/>
      <c r="V187" s="845"/>
      <c r="W187" s="845"/>
      <c r="X187" s="845"/>
      <c r="Y187" s="845"/>
    </row>
    <row r="188" spans="1:25" x14ac:dyDescent="0.2">
      <c r="A188" s="1828"/>
      <c r="B188" s="1828"/>
      <c r="C188" s="1828"/>
      <c r="D188" s="1828"/>
      <c r="E188" s="844"/>
      <c r="I188"/>
      <c r="J188"/>
      <c r="K188"/>
      <c r="L188"/>
      <c r="M188"/>
      <c r="N188"/>
      <c r="O188"/>
      <c r="P188" s="871"/>
      <c r="R188" s="845"/>
      <c r="S188" s="845"/>
      <c r="T188" s="845"/>
      <c r="U188" s="845"/>
      <c r="V188" s="845"/>
      <c r="W188" s="845"/>
      <c r="X188" s="845"/>
      <c r="Y188" s="845"/>
    </row>
    <row r="189" spans="1:25" x14ac:dyDescent="0.2">
      <c r="A189" s="1828"/>
      <c r="B189" s="1828"/>
      <c r="C189" s="1828"/>
      <c r="D189" s="1828"/>
      <c r="E189" s="844"/>
      <c r="I189"/>
      <c r="J189"/>
      <c r="K189"/>
      <c r="L189"/>
      <c r="M189"/>
      <c r="N189"/>
      <c r="O189"/>
      <c r="P189" s="871"/>
      <c r="R189" s="845"/>
      <c r="S189" s="845"/>
      <c r="T189" s="845"/>
      <c r="U189" s="845"/>
      <c r="V189" s="845"/>
      <c r="W189" s="845"/>
      <c r="X189" s="845"/>
      <c r="Y189" s="845"/>
    </row>
    <row r="190" spans="1:25" x14ac:dyDescent="0.2">
      <c r="A190" s="1828"/>
      <c r="B190" s="1828"/>
      <c r="C190" s="1828"/>
      <c r="D190" s="1828"/>
      <c r="E190" s="844"/>
      <c r="I190"/>
      <c r="J190"/>
      <c r="K190"/>
      <c r="L190"/>
      <c r="M190"/>
      <c r="N190"/>
      <c r="O190"/>
      <c r="P190" s="871"/>
      <c r="R190" s="845"/>
      <c r="S190" s="845"/>
      <c r="T190" s="845"/>
      <c r="U190" s="845"/>
      <c r="V190" s="845"/>
      <c r="W190" s="845"/>
      <c r="X190" s="845"/>
      <c r="Y190" s="845"/>
    </row>
    <row r="191" spans="1:25" x14ac:dyDescent="0.2">
      <c r="A191" s="1828"/>
      <c r="B191" s="1828"/>
      <c r="C191" s="1828"/>
      <c r="D191" s="1828"/>
      <c r="E191" s="844"/>
      <c r="I191"/>
      <c r="J191"/>
      <c r="K191"/>
      <c r="L191"/>
      <c r="M191"/>
      <c r="N191"/>
      <c r="O191"/>
      <c r="P191" s="871"/>
      <c r="R191" s="845"/>
      <c r="S191" s="845"/>
      <c r="T191" s="845"/>
      <c r="U191" s="845"/>
      <c r="V191" s="845"/>
      <c r="W191" s="845"/>
      <c r="X191" s="845"/>
      <c r="Y191" s="845"/>
    </row>
    <row r="192" spans="1:25" x14ac:dyDescent="0.2">
      <c r="A192" s="1828"/>
      <c r="B192" s="1828"/>
      <c r="C192" s="1828"/>
      <c r="D192" s="1828"/>
      <c r="E192" s="844"/>
      <c r="I192"/>
      <c r="J192"/>
      <c r="K192"/>
      <c r="L192"/>
      <c r="M192"/>
      <c r="N192"/>
      <c r="O192"/>
      <c r="P192" s="871"/>
      <c r="R192" s="845"/>
      <c r="S192" s="845"/>
      <c r="T192" s="845"/>
      <c r="U192" s="845"/>
      <c r="V192" s="845"/>
      <c r="W192" s="845"/>
      <c r="X192" s="845"/>
      <c r="Y192" s="845"/>
    </row>
    <row r="193" spans="1:25" x14ac:dyDescent="0.2">
      <c r="A193" s="1828"/>
      <c r="B193" s="1828"/>
      <c r="C193" s="1828"/>
      <c r="D193" s="1828"/>
      <c r="E193" s="844"/>
      <c r="I193"/>
      <c r="J193"/>
      <c r="K193"/>
      <c r="L193"/>
      <c r="M193"/>
      <c r="N193"/>
      <c r="O193"/>
      <c r="P193" s="871"/>
      <c r="R193" s="845"/>
      <c r="S193" s="845"/>
      <c r="T193" s="845"/>
      <c r="U193" s="845"/>
      <c r="V193" s="845"/>
      <c r="W193" s="845"/>
      <c r="X193" s="845"/>
      <c r="Y193" s="845"/>
    </row>
    <row r="194" spans="1:25" x14ac:dyDescent="0.2">
      <c r="A194" s="1828"/>
      <c r="B194" s="1828"/>
      <c r="C194" s="1828"/>
      <c r="D194" s="1828"/>
      <c r="E194" s="844"/>
      <c r="I194"/>
      <c r="J194"/>
      <c r="K194"/>
      <c r="L194"/>
      <c r="M194"/>
      <c r="N194"/>
      <c r="O194"/>
      <c r="P194" s="871"/>
      <c r="R194" s="845"/>
      <c r="S194" s="845"/>
      <c r="T194" s="845"/>
      <c r="U194" s="845"/>
      <c r="V194" s="845"/>
      <c r="W194" s="845"/>
      <c r="X194" s="845"/>
      <c r="Y194" s="845"/>
    </row>
    <row r="195" spans="1:25" x14ac:dyDescent="0.2">
      <c r="A195" s="1828"/>
      <c r="B195" s="1828"/>
      <c r="C195" s="1828"/>
      <c r="D195" s="1828"/>
      <c r="E195" s="844"/>
      <c r="I195"/>
      <c r="J195"/>
      <c r="K195"/>
      <c r="L195"/>
      <c r="M195"/>
      <c r="N195"/>
      <c r="O195"/>
      <c r="P195" s="871"/>
      <c r="R195" s="845"/>
      <c r="S195" s="845"/>
      <c r="T195" s="845"/>
      <c r="U195" s="845"/>
      <c r="V195" s="845"/>
      <c r="W195" s="845"/>
      <c r="X195" s="845"/>
      <c r="Y195" s="845"/>
    </row>
    <row r="196" spans="1:25" x14ac:dyDescent="0.2">
      <c r="A196" s="1828"/>
      <c r="B196" s="1828"/>
      <c r="C196" s="1828"/>
      <c r="D196" s="1828"/>
      <c r="E196" s="844"/>
      <c r="I196"/>
      <c r="J196"/>
      <c r="K196"/>
      <c r="L196"/>
      <c r="M196"/>
      <c r="N196"/>
      <c r="O196"/>
      <c r="P196" s="871"/>
      <c r="R196" s="845"/>
      <c r="S196" s="845"/>
      <c r="T196" s="845"/>
      <c r="U196" s="845"/>
      <c r="V196" s="845"/>
      <c r="W196" s="845"/>
      <c r="X196" s="845"/>
      <c r="Y196" s="845"/>
    </row>
    <row r="197" spans="1:25" x14ac:dyDescent="0.2">
      <c r="A197" s="1828"/>
      <c r="B197" s="1828"/>
      <c r="C197" s="1828"/>
      <c r="D197" s="1828"/>
      <c r="E197" s="844"/>
      <c r="I197"/>
      <c r="J197"/>
      <c r="K197"/>
      <c r="L197"/>
      <c r="M197"/>
      <c r="N197"/>
      <c r="O197"/>
      <c r="P197" s="871"/>
      <c r="R197" s="845"/>
      <c r="S197" s="845"/>
      <c r="T197" s="845"/>
      <c r="U197" s="845"/>
      <c r="V197" s="845"/>
      <c r="W197" s="845"/>
      <c r="X197" s="845"/>
      <c r="Y197" s="845"/>
    </row>
    <row r="198" spans="1:25" x14ac:dyDescent="0.2">
      <c r="A198" s="1828"/>
      <c r="B198" s="1828"/>
      <c r="C198" s="1828"/>
      <c r="D198" s="1828"/>
      <c r="E198" s="844"/>
      <c r="I198"/>
      <c r="J198"/>
      <c r="K198"/>
      <c r="L198"/>
      <c r="M198"/>
      <c r="N198"/>
      <c r="O198"/>
      <c r="P198" s="871"/>
      <c r="R198" s="845"/>
      <c r="S198" s="845"/>
      <c r="T198" s="845"/>
      <c r="U198" s="845"/>
      <c r="V198" s="845"/>
      <c r="W198" s="845"/>
      <c r="X198" s="845"/>
      <c r="Y198" s="845"/>
    </row>
    <row r="199" spans="1:25" x14ac:dyDescent="0.2">
      <c r="A199" s="1828"/>
      <c r="B199" s="1828"/>
      <c r="C199" s="1828"/>
      <c r="D199" s="1828"/>
      <c r="E199" s="844"/>
      <c r="I199"/>
      <c r="J199"/>
      <c r="K199"/>
      <c r="L199"/>
      <c r="M199"/>
      <c r="N199"/>
      <c r="O199"/>
      <c r="P199" s="871"/>
      <c r="R199" s="845"/>
      <c r="S199" s="845"/>
      <c r="T199" s="845"/>
      <c r="U199" s="845"/>
      <c r="V199" s="845"/>
      <c r="W199" s="845"/>
      <c r="X199" s="845"/>
      <c r="Y199" s="845"/>
    </row>
    <row r="200" spans="1:25" x14ac:dyDescent="0.2">
      <c r="A200" s="1828"/>
      <c r="B200" s="1828"/>
      <c r="C200" s="1828"/>
      <c r="D200" s="1828"/>
      <c r="E200" s="844"/>
      <c r="I200"/>
      <c r="J200"/>
      <c r="K200"/>
      <c r="L200"/>
      <c r="M200"/>
      <c r="N200"/>
      <c r="O200"/>
      <c r="P200" s="871"/>
      <c r="R200" s="845"/>
      <c r="S200" s="845"/>
      <c r="T200" s="845"/>
      <c r="U200" s="845"/>
      <c r="V200" s="845"/>
      <c r="W200" s="845"/>
      <c r="X200" s="845"/>
      <c r="Y200" s="845"/>
    </row>
    <row r="201" spans="1:25" x14ac:dyDescent="0.2">
      <c r="A201" s="1828"/>
      <c r="B201" s="1828"/>
      <c r="C201" s="1828"/>
      <c r="D201" s="1828"/>
      <c r="E201" s="844"/>
      <c r="I201"/>
      <c r="J201"/>
      <c r="K201"/>
      <c r="L201"/>
      <c r="M201"/>
      <c r="N201"/>
      <c r="O201"/>
      <c r="P201" s="871"/>
      <c r="R201" s="845"/>
      <c r="S201" s="845"/>
      <c r="T201" s="845"/>
      <c r="U201" s="845"/>
      <c r="V201" s="845"/>
      <c r="W201" s="845"/>
      <c r="X201" s="845"/>
      <c r="Y201" s="845"/>
    </row>
    <row r="202" spans="1:25" x14ac:dyDescent="0.2">
      <c r="A202" s="1828"/>
      <c r="B202" s="1828"/>
      <c r="C202" s="1828"/>
      <c r="D202" s="1828"/>
      <c r="E202" s="844"/>
      <c r="I202"/>
      <c r="J202"/>
      <c r="K202"/>
      <c r="L202"/>
      <c r="M202"/>
      <c r="N202"/>
      <c r="O202"/>
      <c r="P202" s="871"/>
      <c r="R202" s="845"/>
      <c r="S202" s="845"/>
      <c r="T202" s="845"/>
      <c r="U202" s="845"/>
      <c r="V202" s="845"/>
      <c r="W202" s="845"/>
      <c r="X202" s="845"/>
      <c r="Y202" s="845"/>
    </row>
    <row r="203" spans="1:25" x14ac:dyDescent="0.2">
      <c r="A203" s="1828"/>
      <c r="B203" s="1828"/>
      <c r="C203" s="1828"/>
      <c r="D203" s="1828"/>
      <c r="E203" s="844"/>
      <c r="I203"/>
      <c r="J203"/>
      <c r="K203"/>
      <c r="L203"/>
      <c r="M203"/>
      <c r="N203"/>
      <c r="O203"/>
      <c r="P203" s="871"/>
      <c r="R203" s="845"/>
      <c r="S203" s="845"/>
      <c r="T203" s="845"/>
      <c r="U203" s="845"/>
      <c r="V203" s="845"/>
      <c r="W203" s="845"/>
      <c r="X203" s="845"/>
      <c r="Y203" s="845"/>
    </row>
    <row r="204" spans="1:25" x14ac:dyDescent="0.2">
      <c r="A204" s="1828"/>
      <c r="B204" s="1828"/>
      <c r="C204" s="1828"/>
      <c r="D204" s="1828"/>
      <c r="E204" s="844"/>
      <c r="I204"/>
      <c r="J204"/>
      <c r="K204"/>
      <c r="L204"/>
      <c r="M204"/>
      <c r="N204"/>
      <c r="O204"/>
      <c r="P204" s="871"/>
      <c r="R204" s="845"/>
      <c r="S204" s="845"/>
      <c r="T204" s="845"/>
      <c r="U204" s="845"/>
      <c r="V204" s="845"/>
      <c r="W204" s="845"/>
      <c r="X204" s="845"/>
      <c r="Y204" s="845"/>
    </row>
    <row r="205" spans="1:25" x14ac:dyDescent="0.2">
      <c r="A205" s="1828"/>
      <c r="B205" s="1828"/>
      <c r="C205" s="1828"/>
      <c r="D205" s="1828"/>
      <c r="E205" s="844"/>
      <c r="I205"/>
      <c r="J205"/>
      <c r="K205"/>
      <c r="L205"/>
      <c r="M205"/>
      <c r="N205"/>
      <c r="O205"/>
      <c r="P205" s="871"/>
      <c r="R205" s="845"/>
      <c r="S205" s="845"/>
      <c r="T205" s="845"/>
      <c r="U205" s="845"/>
      <c r="V205" s="845"/>
      <c r="W205" s="845"/>
      <c r="X205" s="845"/>
      <c r="Y205" s="845"/>
    </row>
    <row r="206" spans="1:25" x14ac:dyDescent="0.2">
      <c r="A206" s="1828"/>
      <c r="B206" s="1828"/>
      <c r="C206" s="1828"/>
      <c r="D206" s="1828"/>
      <c r="E206" s="844"/>
      <c r="I206"/>
      <c r="J206"/>
      <c r="K206"/>
      <c r="L206"/>
      <c r="M206"/>
      <c r="N206"/>
      <c r="O206"/>
      <c r="P206" s="871"/>
      <c r="R206" s="845"/>
      <c r="S206" s="845"/>
      <c r="T206" s="845"/>
      <c r="U206" s="845"/>
      <c r="V206" s="845"/>
      <c r="W206" s="845"/>
      <c r="X206" s="845"/>
      <c r="Y206" s="845"/>
    </row>
    <row r="207" spans="1:25" x14ac:dyDescent="0.2">
      <c r="A207" s="1828"/>
      <c r="B207" s="1828"/>
      <c r="C207" s="1828"/>
      <c r="D207" s="1828"/>
      <c r="E207" s="844"/>
      <c r="I207"/>
      <c r="J207"/>
      <c r="K207"/>
      <c r="L207"/>
      <c r="M207"/>
      <c r="N207"/>
      <c r="O207"/>
      <c r="P207" s="871"/>
      <c r="R207" s="845"/>
      <c r="S207" s="845"/>
      <c r="T207" s="845"/>
      <c r="U207" s="845"/>
      <c r="V207" s="845"/>
      <c r="W207" s="845"/>
      <c r="X207" s="845"/>
      <c r="Y207" s="845"/>
    </row>
    <row r="208" spans="1:25" x14ac:dyDescent="0.2">
      <c r="A208" s="1828"/>
      <c r="B208" s="1828"/>
      <c r="C208" s="1828"/>
      <c r="D208" s="1828"/>
      <c r="E208" s="844"/>
      <c r="I208"/>
      <c r="J208"/>
      <c r="K208"/>
      <c r="L208"/>
      <c r="M208"/>
      <c r="N208"/>
      <c r="O208"/>
      <c r="P208" s="871"/>
      <c r="R208" s="845"/>
      <c r="S208" s="845"/>
      <c r="T208" s="845"/>
      <c r="U208" s="845"/>
      <c r="V208" s="845"/>
      <c r="W208" s="845"/>
      <c r="X208" s="845"/>
      <c r="Y208" s="845"/>
    </row>
    <row r="209" spans="1:25" x14ac:dyDescent="0.2">
      <c r="A209" s="1828"/>
      <c r="B209" s="1828"/>
      <c r="C209" s="1828"/>
      <c r="D209" s="1828"/>
      <c r="E209" s="844"/>
      <c r="I209"/>
      <c r="J209"/>
      <c r="K209"/>
      <c r="L209"/>
      <c r="M209"/>
      <c r="N209"/>
      <c r="O209"/>
      <c r="P209" s="871"/>
      <c r="R209" s="845"/>
      <c r="S209" s="845"/>
      <c r="T209" s="845"/>
      <c r="U209" s="845"/>
      <c r="V209" s="845"/>
      <c r="W209" s="845"/>
      <c r="X209" s="845"/>
      <c r="Y209" s="845"/>
    </row>
    <row r="210" spans="1:25" x14ac:dyDescent="0.2">
      <c r="A210" s="1828"/>
      <c r="B210" s="1828"/>
      <c r="C210" s="1828"/>
      <c r="D210" s="1828"/>
      <c r="E210" s="844"/>
      <c r="I210"/>
      <c r="J210"/>
      <c r="K210"/>
      <c r="L210"/>
      <c r="M210"/>
      <c r="N210"/>
      <c r="O210"/>
      <c r="P210" s="871"/>
      <c r="R210" s="845"/>
      <c r="S210" s="845"/>
      <c r="T210" s="845"/>
      <c r="U210" s="845"/>
      <c r="V210" s="845"/>
      <c r="W210" s="845"/>
      <c r="X210" s="845"/>
      <c r="Y210" s="845"/>
    </row>
    <row r="211" spans="1:25" x14ac:dyDescent="0.2">
      <c r="A211" s="1828"/>
      <c r="B211" s="1828"/>
      <c r="C211" s="1828"/>
      <c r="D211" s="1828"/>
      <c r="E211" s="844"/>
      <c r="I211"/>
      <c r="J211"/>
      <c r="K211"/>
      <c r="L211"/>
      <c r="M211"/>
      <c r="N211"/>
      <c r="O211"/>
      <c r="P211" s="871"/>
      <c r="R211" s="845"/>
      <c r="S211" s="845"/>
      <c r="T211" s="845"/>
      <c r="U211" s="845"/>
      <c r="V211" s="845"/>
      <c r="W211" s="845"/>
      <c r="X211" s="845"/>
      <c r="Y211" s="845"/>
    </row>
    <row r="212" spans="1:25" x14ac:dyDescent="0.2">
      <c r="A212" s="1828"/>
      <c r="B212" s="1828"/>
      <c r="C212" s="1828"/>
      <c r="D212" s="1828"/>
      <c r="E212" s="844"/>
      <c r="I212"/>
      <c r="J212"/>
      <c r="K212"/>
      <c r="L212"/>
      <c r="M212"/>
      <c r="N212"/>
      <c r="O212"/>
      <c r="P212" s="871"/>
      <c r="R212" s="845"/>
      <c r="S212" s="845"/>
      <c r="T212" s="845"/>
      <c r="U212" s="845"/>
      <c r="V212" s="845"/>
      <c r="W212" s="845"/>
      <c r="X212" s="845"/>
      <c r="Y212" s="845"/>
    </row>
    <row r="213" spans="1:25" x14ac:dyDescent="0.2">
      <c r="A213" s="1828"/>
      <c r="B213" s="1828"/>
      <c r="C213" s="1828"/>
      <c r="D213" s="1828"/>
      <c r="E213" s="844"/>
      <c r="I213"/>
      <c r="J213"/>
      <c r="K213"/>
      <c r="L213"/>
      <c r="M213"/>
      <c r="N213"/>
      <c r="O213"/>
      <c r="P213" s="871"/>
      <c r="R213" s="845"/>
      <c r="S213" s="845"/>
      <c r="T213" s="845"/>
      <c r="U213" s="845"/>
      <c r="V213" s="845"/>
      <c r="W213" s="845"/>
      <c r="X213" s="845"/>
      <c r="Y213" s="845"/>
    </row>
    <row r="214" spans="1:25" x14ac:dyDescent="0.2">
      <c r="A214" s="1828"/>
      <c r="B214" s="1828"/>
      <c r="C214" s="1828"/>
      <c r="D214" s="1828"/>
      <c r="E214" s="844"/>
      <c r="I214"/>
      <c r="J214"/>
      <c r="K214"/>
      <c r="L214"/>
      <c r="M214"/>
      <c r="N214"/>
      <c r="O214"/>
      <c r="P214" s="871"/>
      <c r="R214" s="845"/>
      <c r="S214" s="845"/>
      <c r="T214" s="845"/>
      <c r="U214" s="845"/>
      <c r="V214" s="845"/>
      <c r="W214" s="845"/>
      <c r="X214" s="845"/>
      <c r="Y214" s="845"/>
    </row>
    <row r="215" spans="1:25" x14ac:dyDescent="0.2">
      <c r="A215" s="1828"/>
      <c r="B215" s="1828"/>
      <c r="C215" s="1828"/>
      <c r="D215" s="1828"/>
      <c r="E215" s="844"/>
      <c r="I215"/>
      <c r="J215"/>
      <c r="K215"/>
      <c r="L215"/>
      <c r="M215"/>
      <c r="N215"/>
      <c r="O215"/>
      <c r="P215" s="871"/>
      <c r="R215" s="845"/>
      <c r="S215" s="845"/>
      <c r="T215" s="845"/>
      <c r="U215" s="845"/>
      <c r="V215" s="845"/>
      <c r="W215" s="845"/>
      <c r="X215" s="845"/>
      <c r="Y215" s="845"/>
    </row>
    <row r="216" spans="1:25" x14ac:dyDescent="0.2">
      <c r="A216" s="1828"/>
      <c r="B216" s="1828"/>
      <c r="C216" s="1828"/>
      <c r="D216" s="1828"/>
      <c r="E216" s="844"/>
      <c r="I216"/>
      <c r="J216"/>
      <c r="K216"/>
      <c r="L216"/>
      <c r="M216"/>
      <c r="N216"/>
      <c r="O216"/>
      <c r="P216" s="871"/>
      <c r="R216" s="845"/>
      <c r="S216" s="845"/>
      <c r="T216" s="845"/>
      <c r="U216" s="845"/>
      <c r="V216" s="845"/>
      <c r="W216" s="845"/>
      <c r="X216" s="845"/>
      <c r="Y216" s="845"/>
    </row>
    <row r="217" spans="1:25" x14ac:dyDescent="0.2">
      <c r="A217" s="1828"/>
      <c r="B217" s="1828"/>
      <c r="C217" s="1828"/>
      <c r="D217" s="1828"/>
      <c r="E217" s="844"/>
      <c r="I217"/>
      <c r="J217"/>
      <c r="K217"/>
      <c r="L217"/>
      <c r="M217"/>
      <c r="N217"/>
      <c r="O217"/>
      <c r="P217" s="871"/>
      <c r="R217" s="845"/>
      <c r="S217" s="845"/>
      <c r="T217" s="845"/>
      <c r="U217" s="845"/>
      <c r="V217" s="845"/>
      <c r="W217" s="845"/>
      <c r="X217" s="845"/>
      <c r="Y217" s="845"/>
    </row>
    <row r="218" spans="1:25" x14ac:dyDescent="0.2">
      <c r="A218" s="1828"/>
      <c r="B218" s="1828"/>
      <c r="C218" s="1828"/>
      <c r="D218" s="1828"/>
      <c r="E218" s="844"/>
      <c r="I218"/>
      <c r="J218"/>
      <c r="K218"/>
      <c r="L218"/>
      <c r="M218"/>
      <c r="N218"/>
      <c r="O218"/>
      <c r="P218" s="871"/>
      <c r="R218" s="845"/>
      <c r="S218" s="845"/>
      <c r="T218" s="845"/>
      <c r="U218" s="845"/>
      <c r="V218" s="845"/>
      <c r="W218" s="845"/>
      <c r="X218" s="845"/>
      <c r="Y218" s="845"/>
    </row>
    <row r="219" spans="1:25" x14ac:dyDescent="0.2">
      <c r="A219" s="1828"/>
      <c r="B219" s="1828"/>
      <c r="C219" s="1828"/>
      <c r="D219" s="1828"/>
      <c r="E219" s="844"/>
      <c r="I219"/>
      <c r="J219"/>
      <c r="K219"/>
      <c r="L219"/>
      <c r="M219"/>
      <c r="N219"/>
      <c r="O219"/>
      <c r="P219" s="871"/>
      <c r="R219" s="845"/>
      <c r="S219" s="845"/>
      <c r="T219" s="845"/>
      <c r="U219" s="845"/>
      <c r="V219" s="845"/>
      <c r="W219" s="845"/>
      <c r="X219" s="845"/>
      <c r="Y219" s="845"/>
    </row>
    <row r="220" spans="1:25" x14ac:dyDescent="0.2">
      <c r="A220" s="1828"/>
      <c r="B220" s="1828"/>
      <c r="C220" s="1828"/>
      <c r="D220" s="1828"/>
      <c r="E220" s="844"/>
      <c r="I220"/>
      <c r="J220"/>
      <c r="K220"/>
      <c r="L220"/>
      <c r="M220"/>
      <c r="N220"/>
      <c r="O220"/>
      <c r="P220" s="871"/>
      <c r="R220" s="845"/>
      <c r="S220" s="845"/>
      <c r="T220" s="845"/>
      <c r="U220" s="845"/>
      <c r="V220" s="845"/>
      <c r="W220" s="845"/>
      <c r="X220" s="845"/>
      <c r="Y220" s="845"/>
    </row>
    <row r="221" spans="1:25" x14ac:dyDescent="0.2">
      <c r="A221" s="1828"/>
      <c r="B221" s="1828"/>
      <c r="C221" s="1828"/>
      <c r="D221" s="1828"/>
      <c r="E221" s="844"/>
      <c r="I221"/>
      <c r="J221"/>
      <c r="K221"/>
      <c r="L221"/>
      <c r="M221"/>
      <c r="N221"/>
      <c r="O221"/>
      <c r="P221" s="871"/>
      <c r="R221" s="845"/>
      <c r="S221" s="845"/>
      <c r="T221" s="845"/>
      <c r="U221" s="845"/>
      <c r="V221" s="845"/>
      <c r="W221" s="845"/>
      <c r="X221" s="845"/>
      <c r="Y221" s="845"/>
    </row>
    <row r="222" spans="1:25" x14ac:dyDescent="0.2">
      <c r="A222" s="1828"/>
      <c r="B222" s="1828"/>
      <c r="C222" s="1828"/>
      <c r="D222" s="1828"/>
      <c r="E222" s="844"/>
      <c r="I222"/>
      <c r="J222"/>
      <c r="K222"/>
      <c r="L222"/>
      <c r="M222"/>
      <c r="N222"/>
      <c r="O222"/>
      <c r="P222" s="871"/>
      <c r="R222" s="845"/>
      <c r="S222" s="845"/>
      <c r="T222" s="845"/>
      <c r="U222" s="845"/>
      <c r="V222" s="845"/>
      <c r="W222" s="845"/>
      <c r="X222" s="845"/>
      <c r="Y222" s="845"/>
    </row>
    <row r="223" spans="1:25" x14ac:dyDescent="0.2">
      <c r="A223" s="1828"/>
      <c r="B223" s="1828"/>
      <c r="C223" s="1828"/>
      <c r="D223" s="1828"/>
      <c r="E223" s="844"/>
      <c r="I223"/>
      <c r="J223"/>
      <c r="K223"/>
      <c r="L223"/>
      <c r="M223"/>
      <c r="N223"/>
      <c r="O223"/>
      <c r="P223" s="871"/>
      <c r="R223" s="845"/>
      <c r="S223" s="845"/>
      <c r="T223" s="845"/>
      <c r="U223" s="845"/>
      <c r="V223" s="845"/>
      <c r="W223" s="845"/>
      <c r="X223" s="845"/>
      <c r="Y223" s="845"/>
    </row>
    <row r="224" spans="1:25" x14ac:dyDescent="0.2">
      <c r="A224" s="1828"/>
      <c r="B224" s="1828"/>
      <c r="C224" s="1828"/>
      <c r="D224" s="1828"/>
      <c r="E224" s="844"/>
      <c r="I224"/>
      <c r="J224"/>
      <c r="K224"/>
      <c r="L224"/>
      <c r="M224"/>
      <c r="N224"/>
      <c r="O224"/>
      <c r="P224" s="871"/>
      <c r="R224" s="845"/>
      <c r="S224" s="845"/>
      <c r="T224" s="845"/>
      <c r="U224" s="845"/>
      <c r="V224" s="845"/>
      <c r="W224" s="845"/>
      <c r="X224" s="845"/>
      <c r="Y224" s="845"/>
    </row>
    <row r="225" spans="1:25" x14ac:dyDescent="0.2">
      <c r="A225" s="1828"/>
      <c r="B225" s="1828"/>
      <c r="C225" s="1828"/>
      <c r="D225" s="1828"/>
      <c r="E225" s="844"/>
      <c r="I225"/>
      <c r="J225"/>
      <c r="K225"/>
      <c r="L225"/>
      <c r="M225"/>
      <c r="N225"/>
      <c r="O225"/>
      <c r="P225" s="871"/>
      <c r="R225" s="845"/>
      <c r="S225" s="845"/>
      <c r="T225" s="845"/>
      <c r="U225" s="845"/>
      <c r="V225" s="845"/>
      <c r="W225" s="845"/>
      <c r="X225" s="845"/>
      <c r="Y225" s="845"/>
    </row>
    <row r="226" spans="1:25" x14ac:dyDescent="0.2">
      <c r="A226" s="1828"/>
      <c r="B226" s="1828"/>
      <c r="C226" s="1828"/>
      <c r="D226" s="1828"/>
      <c r="E226" s="844"/>
      <c r="I226"/>
      <c r="J226"/>
      <c r="K226"/>
      <c r="L226"/>
      <c r="M226"/>
      <c r="N226"/>
      <c r="O226"/>
      <c r="P226" s="871"/>
      <c r="R226" s="845"/>
      <c r="S226" s="845"/>
      <c r="T226" s="845"/>
      <c r="U226" s="845"/>
      <c r="V226" s="845"/>
      <c r="W226" s="845"/>
      <c r="X226" s="845"/>
      <c r="Y226" s="845"/>
    </row>
    <row r="227" spans="1:25" x14ac:dyDescent="0.2">
      <c r="A227" s="1828"/>
      <c r="B227" s="1828"/>
      <c r="C227" s="1828"/>
      <c r="D227" s="1828"/>
      <c r="E227" s="844"/>
      <c r="I227"/>
      <c r="J227"/>
      <c r="K227"/>
      <c r="L227"/>
      <c r="M227"/>
      <c r="N227"/>
      <c r="O227"/>
      <c r="P227" s="871"/>
      <c r="R227" s="845"/>
      <c r="S227" s="845"/>
      <c r="T227" s="845"/>
      <c r="U227" s="845"/>
      <c r="V227" s="845"/>
      <c r="W227" s="845"/>
      <c r="X227" s="845"/>
      <c r="Y227" s="845"/>
    </row>
    <row r="228" spans="1:25" x14ac:dyDescent="0.2">
      <c r="A228" s="1828"/>
      <c r="B228" s="1828"/>
      <c r="C228" s="1828"/>
      <c r="D228" s="1828"/>
      <c r="E228" s="844"/>
      <c r="I228"/>
      <c r="J228"/>
      <c r="K228"/>
      <c r="L228"/>
      <c r="M228"/>
      <c r="N228"/>
      <c r="O228"/>
      <c r="P228" s="871"/>
      <c r="R228" s="845"/>
      <c r="S228" s="845"/>
      <c r="T228" s="845"/>
      <c r="U228" s="845"/>
      <c r="V228" s="845"/>
      <c r="W228" s="845"/>
      <c r="X228" s="845"/>
      <c r="Y228" s="845"/>
    </row>
    <row r="229" spans="1:25" x14ac:dyDescent="0.2">
      <c r="A229" s="1828"/>
      <c r="B229" s="1828"/>
      <c r="C229" s="1828"/>
      <c r="D229" s="1828"/>
      <c r="E229" s="844"/>
      <c r="I229"/>
      <c r="J229"/>
      <c r="K229"/>
      <c r="L229"/>
      <c r="M229"/>
      <c r="N229"/>
      <c r="O229"/>
      <c r="P229" s="871"/>
      <c r="R229" s="845"/>
      <c r="S229" s="845"/>
      <c r="T229" s="845"/>
      <c r="U229" s="845"/>
      <c r="V229" s="845"/>
      <c r="W229" s="845"/>
      <c r="X229" s="845"/>
      <c r="Y229" s="845"/>
    </row>
    <row r="230" spans="1:25" x14ac:dyDescent="0.2">
      <c r="A230" s="1828"/>
      <c r="B230" s="1828"/>
      <c r="C230" s="1828"/>
      <c r="D230" s="1828"/>
      <c r="E230" s="844"/>
      <c r="I230"/>
      <c r="J230"/>
      <c r="K230"/>
      <c r="L230"/>
      <c r="M230"/>
      <c r="N230"/>
      <c r="O230"/>
      <c r="P230" s="871"/>
      <c r="R230" s="845"/>
      <c r="S230" s="845"/>
      <c r="T230" s="845"/>
      <c r="U230" s="845"/>
      <c r="V230" s="845"/>
      <c r="W230" s="845"/>
      <c r="X230" s="845"/>
      <c r="Y230" s="845"/>
    </row>
    <row r="231" spans="1:25" x14ac:dyDescent="0.2">
      <c r="A231" s="1828"/>
      <c r="B231" s="1828"/>
      <c r="C231" s="1828"/>
      <c r="D231" s="1828"/>
      <c r="E231" s="844"/>
      <c r="I231"/>
      <c r="J231"/>
      <c r="K231"/>
      <c r="L231"/>
      <c r="M231"/>
      <c r="N231"/>
      <c r="O231"/>
      <c r="P231" s="871"/>
      <c r="R231" s="845"/>
      <c r="S231" s="845"/>
      <c r="T231" s="845"/>
      <c r="U231" s="845"/>
      <c r="V231" s="845"/>
      <c r="W231" s="845"/>
      <c r="X231" s="845"/>
      <c r="Y231" s="845"/>
    </row>
    <row r="232" spans="1:25" x14ac:dyDescent="0.2">
      <c r="A232" s="1828"/>
      <c r="B232" s="1828"/>
      <c r="C232" s="1828"/>
      <c r="D232" s="1828"/>
      <c r="E232" s="844"/>
      <c r="I232"/>
      <c r="J232"/>
      <c r="K232"/>
      <c r="L232"/>
      <c r="M232"/>
      <c r="N232"/>
      <c r="O232"/>
      <c r="P232" s="871"/>
      <c r="R232" s="845"/>
      <c r="S232" s="845"/>
      <c r="T232" s="845"/>
      <c r="U232" s="845"/>
      <c r="V232" s="845"/>
      <c r="W232" s="845"/>
      <c r="X232" s="845"/>
      <c r="Y232" s="845"/>
    </row>
    <row r="233" spans="1:25" x14ac:dyDescent="0.2">
      <c r="A233" s="1828"/>
      <c r="B233" s="1828"/>
      <c r="C233" s="1828"/>
      <c r="D233" s="1828"/>
      <c r="E233" s="844"/>
      <c r="I233"/>
      <c r="J233"/>
      <c r="K233"/>
      <c r="L233"/>
      <c r="M233"/>
      <c r="N233"/>
      <c r="O233"/>
      <c r="P233" s="871"/>
      <c r="R233" s="845"/>
      <c r="S233" s="845"/>
      <c r="T233" s="845"/>
      <c r="U233" s="845"/>
      <c r="V233" s="845"/>
      <c r="W233" s="845"/>
      <c r="X233" s="845"/>
      <c r="Y233" s="845"/>
    </row>
    <row r="234" spans="1:25" x14ac:dyDescent="0.2">
      <c r="A234" s="1828"/>
      <c r="B234" s="1828"/>
      <c r="C234" s="1828"/>
      <c r="D234" s="1828"/>
      <c r="E234" s="844"/>
      <c r="I234"/>
      <c r="J234"/>
      <c r="K234"/>
      <c r="L234"/>
      <c r="M234"/>
      <c r="N234"/>
      <c r="O234"/>
      <c r="P234" s="871"/>
      <c r="R234" s="845"/>
      <c r="S234" s="845"/>
      <c r="T234" s="845"/>
      <c r="U234" s="845"/>
      <c r="V234" s="845"/>
      <c r="W234" s="845"/>
      <c r="X234" s="845"/>
      <c r="Y234" s="845"/>
    </row>
    <row r="235" spans="1:25" x14ac:dyDescent="0.2">
      <c r="A235" s="1828"/>
      <c r="B235" s="1828"/>
      <c r="C235" s="1828"/>
      <c r="D235" s="1828"/>
      <c r="E235" s="844"/>
      <c r="I235"/>
      <c r="J235"/>
      <c r="K235"/>
      <c r="L235"/>
      <c r="M235"/>
      <c r="N235"/>
      <c r="O235"/>
      <c r="P235" s="871"/>
      <c r="R235" s="845"/>
      <c r="S235" s="845"/>
      <c r="T235" s="845"/>
      <c r="U235" s="845"/>
      <c r="V235" s="845"/>
      <c r="W235" s="845"/>
      <c r="X235" s="845"/>
      <c r="Y235" s="845"/>
    </row>
    <row r="236" spans="1:25" x14ac:dyDescent="0.2">
      <c r="A236" s="1828"/>
      <c r="B236" s="1828"/>
      <c r="C236" s="1828"/>
      <c r="D236" s="1828"/>
      <c r="E236" s="844"/>
      <c r="I236"/>
      <c r="J236"/>
      <c r="K236"/>
      <c r="L236"/>
      <c r="M236"/>
      <c r="N236"/>
      <c r="O236"/>
      <c r="P236" s="871"/>
      <c r="R236" s="845"/>
      <c r="S236" s="845"/>
      <c r="T236" s="845"/>
      <c r="U236" s="845"/>
      <c r="V236" s="845"/>
      <c r="W236" s="845"/>
      <c r="X236" s="845"/>
      <c r="Y236" s="845"/>
    </row>
    <row r="237" spans="1:25" x14ac:dyDescent="0.2">
      <c r="A237" s="1828"/>
      <c r="B237" s="1828"/>
      <c r="C237" s="1828"/>
      <c r="D237" s="1828"/>
      <c r="E237" s="844"/>
      <c r="I237"/>
      <c r="J237"/>
      <c r="K237"/>
      <c r="L237"/>
      <c r="M237"/>
      <c r="N237"/>
      <c r="O237"/>
      <c r="P237" s="871"/>
      <c r="R237" s="845"/>
      <c r="S237" s="845"/>
      <c r="T237" s="845"/>
      <c r="U237" s="845"/>
      <c r="V237" s="845"/>
      <c r="W237" s="845"/>
      <c r="X237" s="845"/>
      <c r="Y237" s="845"/>
    </row>
    <row r="238" spans="1:25" x14ac:dyDescent="0.2">
      <c r="A238" s="1828"/>
      <c r="B238" s="1828"/>
      <c r="C238" s="1828"/>
      <c r="D238" s="1828"/>
      <c r="E238" s="844"/>
      <c r="I238"/>
      <c r="J238"/>
      <c r="K238"/>
      <c r="L238"/>
      <c r="M238"/>
      <c r="N238"/>
      <c r="O238"/>
      <c r="P238" s="871"/>
      <c r="R238" s="845"/>
      <c r="S238" s="845"/>
      <c r="T238" s="845"/>
      <c r="U238" s="845"/>
      <c r="V238" s="845"/>
      <c r="W238" s="845"/>
      <c r="X238" s="845"/>
      <c r="Y238" s="845"/>
    </row>
    <row r="239" spans="1:25" x14ac:dyDescent="0.2">
      <c r="A239" s="1828"/>
      <c r="B239" s="1828"/>
      <c r="C239" s="1828"/>
      <c r="D239" s="1828"/>
      <c r="E239" s="844"/>
      <c r="I239"/>
      <c r="J239"/>
      <c r="K239"/>
      <c r="L239"/>
      <c r="M239"/>
      <c r="N239"/>
      <c r="O239"/>
      <c r="P239" s="871"/>
      <c r="R239" s="845"/>
      <c r="S239" s="845"/>
      <c r="T239" s="845"/>
      <c r="U239" s="845"/>
      <c r="V239" s="845"/>
      <c r="W239" s="845"/>
      <c r="X239" s="845"/>
      <c r="Y239" s="845"/>
    </row>
    <row r="240" spans="1:25" x14ac:dyDescent="0.2">
      <c r="A240" s="1828"/>
      <c r="B240" s="1828"/>
      <c r="C240" s="1828"/>
      <c r="D240" s="1828"/>
      <c r="E240" s="844"/>
      <c r="I240"/>
      <c r="J240"/>
      <c r="K240"/>
      <c r="L240"/>
      <c r="M240"/>
      <c r="N240"/>
      <c r="O240"/>
      <c r="P240" s="871"/>
      <c r="R240" s="845"/>
      <c r="S240" s="845"/>
      <c r="T240" s="845"/>
      <c r="U240" s="845"/>
      <c r="V240" s="845"/>
      <c r="W240" s="845"/>
      <c r="X240" s="845"/>
      <c r="Y240" s="845"/>
    </row>
    <row r="241" spans="1:25" x14ac:dyDescent="0.2">
      <c r="A241" s="1828"/>
      <c r="B241" s="1828"/>
      <c r="C241" s="1828"/>
      <c r="D241" s="1828"/>
      <c r="E241" s="844"/>
      <c r="I241"/>
      <c r="J241"/>
      <c r="K241"/>
      <c r="L241"/>
      <c r="M241"/>
      <c r="N241"/>
      <c r="O241"/>
      <c r="P241" s="871"/>
      <c r="R241" s="845"/>
      <c r="S241" s="845"/>
      <c r="T241" s="845"/>
      <c r="U241" s="845"/>
      <c r="V241" s="845"/>
      <c r="W241" s="845"/>
      <c r="X241" s="845"/>
      <c r="Y241" s="845"/>
    </row>
    <row r="242" spans="1:25" x14ac:dyDescent="0.2">
      <c r="A242" s="1828"/>
      <c r="B242" s="1828"/>
      <c r="C242" s="1828"/>
      <c r="D242" s="1828"/>
      <c r="E242" s="844"/>
      <c r="I242"/>
      <c r="J242"/>
      <c r="K242"/>
      <c r="L242"/>
      <c r="M242"/>
      <c r="N242"/>
      <c r="O242"/>
      <c r="P242" s="871"/>
      <c r="R242" s="845"/>
      <c r="S242" s="845"/>
      <c r="T242" s="845"/>
      <c r="U242" s="845"/>
      <c r="V242" s="845"/>
      <c r="W242" s="845"/>
      <c r="X242" s="845"/>
      <c r="Y242" s="845"/>
    </row>
    <row r="243" spans="1:25" x14ac:dyDescent="0.2">
      <c r="A243" s="1828"/>
      <c r="B243" s="1828"/>
      <c r="C243" s="1828"/>
      <c r="D243" s="1828"/>
      <c r="E243" s="844"/>
      <c r="I243"/>
      <c r="J243"/>
      <c r="K243"/>
      <c r="L243"/>
      <c r="M243"/>
      <c r="N243"/>
      <c r="O243"/>
      <c r="P243" s="871"/>
      <c r="R243" s="845"/>
      <c r="S243" s="845"/>
      <c r="T243" s="845"/>
      <c r="U243" s="845"/>
      <c r="V243" s="845"/>
      <c r="W243" s="845"/>
      <c r="X243" s="845"/>
      <c r="Y243" s="845"/>
    </row>
    <row r="244" spans="1:25" x14ac:dyDescent="0.2">
      <c r="A244" s="1828"/>
      <c r="B244" s="1828"/>
      <c r="C244" s="1828"/>
      <c r="D244" s="1828"/>
      <c r="E244" s="844"/>
      <c r="I244"/>
      <c r="J244"/>
      <c r="K244"/>
      <c r="L244"/>
      <c r="M244"/>
      <c r="N244"/>
      <c r="O244"/>
      <c r="P244" s="871"/>
      <c r="R244" s="845"/>
      <c r="S244" s="845"/>
      <c r="T244" s="845"/>
      <c r="U244" s="845"/>
      <c r="V244" s="845"/>
      <c r="W244" s="845"/>
      <c r="X244" s="845"/>
      <c r="Y244" s="845"/>
    </row>
    <row r="245" spans="1:25" x14ac:dyDescent="0.2">
      <c r="A245" s="1828"/>
      <c r="B245" s="1828"/>
      <c r="C245" s="1828"/>
      <c r="D245" s="1828"/>
      <c r="E245" s="844"/>
      <c r="I245"/>
      <c r="J245"/>
      <c r="K245"/>
      <c r="L245"/>
      <c r="M245"/>
      <c r="N245"/>
      <c r="O245"/>
      <c r="P245" s="871"/>
      <c r="R245" s="845"/>
      <c r="S245" s="845"/>
      <c r="T245" s="845"/>
      <c r="U245" s="845"/>
      <c r="V245" s="845"/>
      <c r="W245" s="845"/>
      <c r="X245" s="845"/>
      <c r="Y245" s="845"/>
    </row>
    <row r="246" spans="1:25" x14ac:dyDescent="0.2">
      <c r="A246" s="1828"/>
      <c r="B246" s="1828"/>
      <c r="C246" s="1828"/>
      <c r="D246" s="1828"/>
      <c r="E246" s="844"/>
      <c r="I246"/>
      <c r="J246"/>
      <c r="K246"/>
      <c r="L246"/>
      <c r="M246"/>
      <c r="N246"/>
      <c r="O246"/>
      <c r="P246" s="871"/>
      <c r="R246" s="845"/>
      <c r="S246" s="845"/>
      <c r="T246" s="845"/>
      <c r="U246" s="845"/>
      <c r="V246" s="845"/>
      <c r="W246" s="845"/>
      <c r="X246" s="845"/>
      <c r="Y246" s="845"/>
    </row>
    <row r="247" spans="1:25" x14ac:dyDescent="0.2">
      <c r="A247" s="1828"/>
      <c r="B247" s="1828"/>
      <c r="C247" s="1828"/>
      <c r="D247" s="1828"/>
      <c r="E247" s="844"/>
      <c r="I247"/>
      <c r="J247"/>
      <c r="K247"/>
      <c r="L247"/>
      <c r="M247"/>
      <c r="N247"/>
      <c r="O247"/>
      <c r="P247" s="871"/>
      <c r="R247" s="845"/>
      <c r="S247" s="845"/>
      <c r="T247" s="845"/>
      <c r="U247" s="845"/>
      <c r="V247" s="845"/>
      <c r="W247" s="845"/>
      <c r="X247" s="845"/>
      <c r="Y247" s="845"/>
    </row>
    <row r="248" spans="1:25" x14ac:dyDescent="0.2">
      <c r="A248" s="1828"/>
      <c r="B248" s="1828"/>
      <c r="C248" s="1828"/>
      <c r="D248" s="1828"/>
      <c r="E248" s="844"/>
      <c r="I248"/>
      <c r="J248"/>
      <c r="K248"/>
      <c r="L248"/>
      <c r="M248"/>
      <c r="N248"/>
      <c r="O248"/>
      <c r="P248" s="871"/>
      <c r="R248" s="845"/>
      <c r="S248" s="845"/>
      <c r="T248" s="845"/>
      <c r="U248" s="845"/>
      <c r="V248" s="845"/>
      <c r="W248" s="845"/>
      <c r="X248" s="845"/>
      <c r="Y248" s="845"/>
    </row>
    <row r="249" spans="1:25" x14ac:dyDescent="0.2">
      <c r="A249" s="1828"/>
      <c r="B249" s="1828"/>
      <c r="C249" s="1828"/>
      <c r="D249" s="1828"/>
      <c r="E249" s="844"/>
      <c r="I249"/>
      <c r="J249"/>
      <c r="K249"/>
      <c r="L249"/>
      <c r="M249"/>
      <c r="N249"/>
      <c r="O249"/>
      <c r="P249" s="871"/>
      <c r="R249" s="845"/>
      <c r="S249" s="845"/>
      <c r="T249" s="845"/>
      <c r="U249" s="845"/>
      <c r="V249" s="845"/>
      <c r="W249" s="845"/>
      <c r="X249" s="845"/>
      <c r="Y249" s="845"/>
    </row>
    <row r="250" spans="1:25" x14ac:dyDescent="0.2">
      <c r="A250" s="1828"/>
      <c r="B250" s="1828"/>
      <c r="C250" s="1828"/>
      <c r="D250" s="1828"/>
      <c r="E250" s="844"/>
      <c r="I250"/>
      <c r="J250"/>
      <c r="K250"/>
      <c r="L250"/>
      <c r="M250"/>
      <c r="N250"/>
      <c r="O250"/>
      <c r="P250" s="871"/>
      <c r="R250" s="845"/>
      <c r="S250" s="845"/>
      <c r="T250" s="845"/>
      <c r="U250" s="845"/>
      <c r="V250" s="845"/>
      <c r="W250" s="845"/>
      <c r="X250" s="845"/>
      <c r="Y250" s="845"/>
    </row>
    <row r="251" spans="1:25" x14ac:dyDescent="0.2">
      <c r="A251" s="1828"/>
      <c r="B251" s="1828"/>
      <c r="C251" s="1828"/>
      <c r="D251" s="1828"/>
      <c r="E251" s="844"/>
      <c r="I251"/>
      <c r="J251"/>
      <c r="K251"/>
      <c r="L251"/>
      <c r="M251"/>
      <c r="N251"/>
      <c r="O251"/>
      <c r="P251" s="871"/>
      <c r="R251" s="845"/>
      <c r="S251" s="845"/>
      <c r="T251" s="845"/>
      <c r="U251" s="845"/>
      <c r="V251" s="845"/>
      <c r="W251" s="845"/>
      <c r="X251" s="845"/>
      <c r="Y251" s="845"/>
    </row>
    <row r="252" spans="1:25" x14ac:dyDescent="0.2">
      <c r="A252" s="1828"/>
      <c r="B252" s="1828"/>
      <c r="C252" s="1828"/>
      <c r="D252" s="1828"/>
      <c r="E252" s="844"/>
      <c r="I252"/>
      <c r="J252"/>
      <c r="K252"/>
      <c r="L252"/>
      <c r="M252"/>
      <c r="N252"/>
      <c r="O252"/>
      <c r="P252" s="871"/>
      <c r="R252" s="845"/>
      <c r="S252" s="845"/>
      <c r="T252" s="845"/>
      <c r="U252" s="845"/>
      <c r="V252" s="845"/>
      <c r="W252" s="845"/>
      <c r="X252" s="845"/>
      <c r="Y252" s="845"/>
    </row>
    <row r="253" spans="1:25" x14ac:dyDescent="0.2">
      <c r="A253" s="1828"/>
      <c r="B253" s="1828"/>
      <c r="C253" s="1828"/>
      <c r="D253" s="1828"/>
      <c r="E253" s="844"/>
      <c r="I253"/>
      <c r="J253"/>
      <c r="K253"/>
      <c r="L253"/>
      <c r="M253"/>
      <c r="N253"/>
      <c r="O253"/>
      <c r="P253" s="871"/>
      <c r="R253" s="845"/>
      <c r="S253" s="845"/>
      <c r="T253" s="845"/>
      <c r="U253" s="845"/>
      <c r="V253" s="845"/>
      <c r="W253" s="845"/>
      <c r="X253" s="845"/>
      <c r="Y253" s="845"/>
    </row>
    <row r="254" spans="1:25" x14ac:dyDescent="0.2">
      <c r="A254" s="1828"/>
      <c r="B254" s="1828"/>
      <c r="C254" s="1828"/>
      <c r="D254" s="1828"/>
      <c r="E254" s="844"/>
      <c r="I254"/>
      <c r="J254"/>
      <c r="K254"/>
      <c r="L254"/>
      <c r="M254"/>
      <c r="N254"/>
      <c r="O254"/>
      <c r="P254" s="871"/>
      <c r="R254" s="845"/>
      <c r="S254" s="845"/>
      <c r="T254" s="845"/>
      <c r="U254" s="845"/>
      <c r="V254" s="845"/>
      <c r="W254" s="845"/>
      <c r="X254" s="845"/>
      <c r="Y254" s="845"/>
    </row>
    <row r="255" spans="1:25" x14ac:dyDescent="0.2">
      <c r="A255" s="1828"/>
      <c r="B255" s="1828"/>
      <c r="C255" s="1828"/>
      <c r="D255" s="1828"/>
      <c r="E255" s="844"/>
      <c r="I255"/>
      <c r="J255"/>
      <c r="K255"/>
      <c r="L255"/>
      <c r="M255"/>
      <c r="N255"/>
      <c r="O255"/>
      <c r="P255" s="871"/>
      <c r="R255" s="845"/>
      <c r="S255" s="845"/>
      <c r="T255" s="845"/>
      <c r="U255" s="845"/>
      <c r="V255" s="845"/>
      <c r="W255" s="845"/>
      <c r="X255" s="845"/>
      <c r="Y255" s="845"/>
    </row>
    <row r="256" spans="1:25" x14ac:dyDescent="0.2">
      <c r="A256" s="1828"/>
      <c r="B256" s="1828"/>
      <c r="C256" s="1828"/>
      <c r="D256" s="1828"/>
      <c r="E256" s="844"/>
      <c r="I256"/>
      <c r="J256"/>
      <c r="K256"/>
      <c r="L256"/>
      <c r="M256"/>
      <c r="N256"/>
      <c r="O256"/>
      <c r="P256" s="871"/>
      <c r="R256" s="845"/>
      <c r="S256" s="845"/>
      <c r="T256" s="845"/>
      <c r="U256" s="845"/>
      <c r="V256" s="845"/>
      <c r="W256" s="845"/>
      <c r="X256" s="845"/>
      <c r="Y256" s="845"/>
    </row>
    <row r="257" spans="1:25" x14ac:dyDescent="0.2">
      <c r="A257" s="1828"/>
      <c r="B257" s="1828"/>
      <c r="C257" s="1828"/>
      <c r="D257" s="1828"/>
      <c r="E257" s="844"/>
      <c r="I257"/>
      <c r="J257"/>
      <c r="K257"/>
      <c r="L257"/>
      <c r="M257"/>
      <c r="N257"/>
      <c r="O257"/>
      <c r="P257" s="871"/>
      <c r="R257" s="845"/>
      <c r="S257" s="845"/>
      <c r="T257" s="845"/>
      <c r="U257" s="845"/>
      <c r="V257" s="845"/>
      <c r="W257" s="845"/>
      <c r="X257" s="845"/>
      <c r="Y257" s="845"/>
    </row>
    <row r="258" spans="1:25" x14ac:dyDescent="0.2">
      <c r="A258" s="1828"/>
      <c r="B258" s="1828"/>
      <c r="C258" s="1828"/>
      <c r="D258" s="1828"/>
      <c r="E258" s="844"/>
      <c r="I258"/>
      <c r="J258"/>
      <c r="K258"/>
      <c r="L258"/>
      <c r="M258"/>
      <c r="N258"/>
      <c r="O258"/>
      <c r="P258" s="871"/>
      <c r="R258" s="845"/>
      <c r="S258" s="845"/>
      <c r="T258" s="845"/>
      <c r="U258" s="845"/>
      <c r="V258" s="845"/>
      <c r="W258" s="845"/>
      <c r="X258" s="845"/>
      <c r="Y258" s="845"/>
    </row>
    <row r="259" spans="1:25" x14ac:dyDescent="0.2">
      <c r="A259" s="1828"/>
      <c r="B259" s="1828"/>
      <c r="C259" s="1828"/>
      <c r="D259" s="1828"/>
      <c r="E259" s="844"/>
      <c r="I259"/>
      <c r="J259"/>
      <c r="K259"/>
      <c r="L259"/>
      <c r="M259"/>
      <c r="N259"/>
      <c r="O259"/>
      <c r="P259" s="871"/>
      <c r="R259" s="845"/>
      <c r="S259" s="845"/>
      <c r="T259" s="845"/>
      <c r="U259" s="845"/>
      <c r="V259" s="845"/>
      <c r="W259" s="845"/>
      <c r="X259" s="845"/>
      <c r="Y259" s="845"/>
    </row>
    <row r="260" spans="1:25" x14ac:dyDescent="0.2">
      <c r="A260" s="1828"/>
      <c r="B260" s="1828"/>
      <c r="C260" s="1828"/>
      <c r="D260" s="1828"/>
      <c r="E260" s="844"/>
      <c r="I260"/>
      <c r="J260"/>
      <c r="K260"/>
      <c r="L260"/>
      <c r="M260"/>
      <c r="N260"/>
      <c r="O260"/>
      <c r="P260" s="871"/>
      <c r="R260" s="845"/>
      <c r="S260" s="845"/>
      <c r="T260" s="845"/>
      <c r="U260" s="845"/>
      <c r="V260" s="845"/>
      <c r="W260" s="845"/>
      <c r="X260" s="845"/>
      <c r="Y260" s="845"/>
    </row>
    <row r="261" spans="1:25" x14ac:dyDescent="0.2">
      <c r="A261" s="1828"/>
      <c r="B261" s="1828"/>
      <c r="C261" s="1828"/>
      <c r="D261" s="1828"/>
      <c r="E261" s="844"/>
      <c r="I261"/>
      <c r="J261"/>
      <c r="K261"/>
      <c r="L261"/>
      <c r="M261"/>
      <c r="N261"/>
      <c r="O261"/>
      <c r="P261" s="871"/>
      <c r="R261" s="845"/>
      <c r="S261" s="845"/>
      <c r="T261" s="845"/>
      <c r="U261" s="845"/>
      <c r="V261" s="845"/>
      <c r="W261" s="845"/>
      <c r="X261" s="845"/>
      <c r="Y261" s="845"/>
    </row>
    <row r="262" spans="1:25" x14ac:dyDescent="0.2">
      <c r="A262" s="1828"/>
      <c r="B262" s="1828"/>
      <c r="C262" s="1828"/>
      <c r="D262" s="1828"/>
      <c r="E262" s="844"/>
      <c r="I262"/>
      <c r="J262"/>
      <c r="K262"/>
      <c r="L262"/>
      <c r="M262"/>
      <c r="N262"/>
      <c r="O262"/>
      <c r="P262" s="871"/>
      <c r="R262" s="845"/>
      <c r="S262" s="845"/>
      <c r="T262" s="845"/>
      <c r="U262" s="845"/>
      <c r="V262" s="845"/>
      <c r="W262" s="845"/>
      <c r="X262" s="845"/>
      <c r="Y262" s="845"/>
    </row>
    <row r="263" spans="1:25" x14ac:dyDescent="0.2">
      <c r="A263" s="1828"/>
      <c r="B263" s="1828"/>
      <c r="C263" s="1828"/>
      <c r="D263" s="1828"/>
      <c r="E263" s="844"/>
      <c r="I263"/>
      <c r="J263"/>
      <c r="K263"/>
      <c r="L263"/>
      <c r="M263"/>
      <c r="N263"/>
      <c r="O263"/>
      <c r="P263" s="871"/>
      <c r="R263" s="845"/>
      <c r="S263" s="845"/>
      <c r="T263" s="845"/>
      <c r="U263" s="845"/>
      <c r="V263" s="845"/>
      <c r="W263" s="845"/>
      <c r="X263" s="845"/>
      <c r="Y263" s="845"/>
    </row>
    <row r="264" spans="1:25" x14ac:dyDescent="0.2">
      <c r="A264" s="1828"/>
      <c r="B264" s="1828"/>
      <c r="C264" s="1828"/>
      <c r="D264" s="1828"/>
      <c r="E264" s="844"/>
      <c r="I264"/>
      <c r="J264"/>
      <c r="K264"/>
      <c r="L264"/>
      <c r="M264"/>
      <c r="N264"/>
      <c r="O264"/>
      <c r="P264" s="871"/>
      <c r="R264" s="845"/>
      <c r="S264" s="845"/>
      <c r="T264" s="845"/>
      <c r="U264" s="845"/>
      <c r="V264" s="845"/>
      <c r="W264" s="845"/>
      <c r="X264" s="845"/>
      <c r="Y264" s="845"/>
    </row>
    <row r="265" spans="1:25" x14ac:dyDescent="0.2">
      <c r="A265" s="1828"/>
      <c r="B265" s="1828"/>
      <c r="C265" s="1828"/>
      <c r="D265" s="1828"/>
      <c r="E265" s="844"/>
      <c r="I265"/>
      <c r="J265"/>
      <c r="K265"/>
      <c r="L265"/>
      <c r="M265"/>
      <c r="N265"/>
      <c r="O265"/>
      <c r="P265" s="871"/>
      <c r="R265" s="845"/>
      <c r="S265" s="845"/>
      <c r="T265" s="845"/>
      <c r="U265" s="845"/>
      <c r="V265" s="845"/>
      <c r="W265" s="845"/>
      <c r="X265" s="845"/>
      <c r="Y265" s="845"/>
    </row>
    <row r="266" spans="1:25" x14ac:dyDescent="0.2">
      <c r="A266" s="1828"/>
      <c r="B266" s="1828"/>
      <c r="C266" s="1828"/>
      <c r="D266" s="1828"/>
      <c r="E266" s="844"/>
      <c r="I266"/>
      <c r="J266"/>
      <c r="K266"/>
      <c r="L266"/>
      <c r="M266"/>
      <c r="N266"/>
      <c r="O266"/>
      <c r="P266" s="871"/>
      <c r="R266" s="845"/>
      <c r="S266" s="845"/>
      <c r="T266" s="845"/>
      <c r="U266" s="845"/>
      <c r="V266" s="845"/>
      <c r="W266" s="845"/>
      <c r="X266" s="845"/>
      <c r="Y266" s="845"/>
    </row>
    <row r="267" spans="1:25" x14ac:dyDescent="0.2">
      <c r="A267" s="1828"/>
      <c r="B267" s="1828"/>
      <c r="C267" s="1828"/>
      <c r="D267" s="1828"/>
      <c r="E267" s="844"/>
      <c r="I267"/>
      <c r="J267"/>
      <c r="K267"/>
      <c r="L267"/>
      <c r="M267"/>
      <c r="N267"/>
      <c r="O267"/>
      <c r="P267" s="871"/>
      <c r="R267" s="845"/>
      <c r="S267" s="845"/>
      <c r="T267" s="845"/>
      <c r="U267" s="845"/>
      <c r="V267" s="845"/>
      <c r="W267" s="845"/>
      <c r="X267" s="845"/>
      <c r="Y267" s="845"/>
    </row>
    <row r="268" spans="1:25" x14ac:dyDescent="0.2">
      <c r="A268" s="1828"/>
      <c r="B268" s="1828"/>
      <c r="C268" s="1828"/>
      <c r="D268" s="1828"/>
      <c r="E268" s="844"/>
      <c r="I268"/>
      <c r="J268"/>
      <c r="K268"/>
      <c r="L268"/>
      <c r="M268"/>
      <c r="N268"/>
      <c r="O268"/>
      <c r="P268" s="871"/>
      <c r="R268" s="845"/>
      <c r="S268" s="845"/>
      <c r="T268" s="845"/>
      <c r="U268" s="845"/>
      <c r="V268" s="845"/>
      <c r="W268" s="845"/>
      <c r="X268" s="845"/>
      <c r="Y268" s="845"/>
    </row>
    <row r="269" spans="1:25" x14ac:dyDescent="0.2">
      <c r="A269" s="1828"/>
      <c r="B269" s="1828"/>
      <c r="C269" s="1828"/>
      <c r="D269" s="1828"/>
      <c r="E269" s="844"/>
      <c r="I269"/>
      <c r="J269"/>
      <c r="K269"/>
      <c r="L269"/>
      <c r="M269"/>
      <c r="N269"/>
      <c r="O269"/>
      <c r="P269" s="871"/>
      <c r="R269" s="845"/>
      <c r="S269" s="845"/>
      <c r="T269" s="845"/>
      <c r="U269" s="845"/>
      <c r="V269" s="845"/>
      <c r="W269" s="845"/>
      <c r="X269" s="845"/>
      <c r="Y269" s="845"/>
    </row>
    <row r="270" spans="1:25" x14ac:dyDescent="0.2">
      <c r="A270" s="1828"/>
      <c r="B270" s="1828"/>
      <c r="C270" s="1828"/>
      <c r="D270" s="1828"/>
      <c r="E270" s="844"/>
      <c r="I270"/>
      <c r="J270"/>
      <c r="K270"/>
      <c r="L270"/>
      <c r="M270"/>
      <c r="N270"/>
      <c r="O270"/>
      <c r="P270" s="871"/>
      <c r="R270" s="845"/>
      <c r="S270" s="845"/>
      <c r="T270" s="845"/>
      <c r="U270" s="845"/>
      <c r="V270" s="845"/>
      <c r="W270" s="845"/>
      <c r="X270" s="845"/>
      <c r="Y270" s="845"/>
    </row>
    <row r="271" spans="1:25" x14ac:dyDescent="0.2">
      <c r="A271" s="1828"/>
      <c r="B271" s="1828"/>
      <c r="C271" s="1828"/>
      <c r="D271" s="1828"/>
      <c r="E271" s="844"/>
      <c r="I271"/>
      <c r="J271"/>
      <c r="K271"/>
      <c r="L271"/>
      <c r="M271"/>
      <c r="N271"/>
      <c r="O271"/>
      <c r="P271" s="871"/>
      <c r="R271" s="845"/>
      <c r="S271" s="845"/>
      <c r="T271" s="845"/>
      <c r="U271" s="845"/>
      <c r="V271" s="845"/>
      <c r="W271" s="845"/>
      <c r="X271" s="845"/>
      <c r="Y271" s="845"/>
    </row>
    <row r="272" spans="1:25" x14ac:dyDescent="0.2">
      <c r="A272" s="1828"/>
      <c r="B272" s="1828"/>
      <c r="C272" s="1828"/>
      <c r="D272" s="1828"/>
      <c r="E272" s="844"/>
      <c r="I272"/>
      <c r="J272"/>
      <c r="K272"/>
      <c r="L272"/>
      <c r="M272"/>
      <c r="N272"/>
      <c r="O272"/>
      <c r="P272" s="871"/>
      <c r="R272" s="845"/>
      <c r="S272" s="845"/>
      <c r="T272" s="845"/>
      <c r="U272" s="845"/>
      <c r="V272" s="845"/>
      <c r="W272" s="845"/>
      <c r="X272" s="845"/>
      <c r="Y272" s="845"/>
    </row>
    <row r="273" spans="1:25" x14ac:dyDescent="0.2">
      <c r="A273" s="1828"/>
      <c r="B273" s="1828"/>
      <c r="C273" s="1828"/>
      <c r="D273" s="1828"/>
      <c r="E273" s="844"/>
      <c r="I273"/>
      <c r="J273"/>
      <c r="K273"/>
      <c r="L273"/>
      <c r="M273"/>
      <c r="N273"/>
      <c r="O273"/>
      <c r="P273" s="871"/>
      <c r="R273" s="845"/>
      <c r="S273" s="845"/>
      <c r="T273" s="845"/>
      <c r="U273" s="845"/>
      <c r="V273" s="845"/>
      <c r="W273" s="845"/>
      <c r="X273" s="845"/>
      <c r="Y273" s="845"/>
    </row>
    <row r="274" spans="1:25" x14ac:dyDescent="0.2">
      <c r="A274" s="1828"/>
      <c r="B274" s="1828"/>
      <c r="C274" s="1828"/>
      <c r="D274" s="1828"/>
      <c r="E274" s="844"/>
      <c r="I274"/>
      <c r="J274"/>
      <c r="K274"/>
      <c r="L274"/>
      <c r="M274"/>
      <c r="N274"/>
      <c r="O274"/>
      <c r="P274" s="871"/>
      <c r="R274" s="845"/>
      <c r="S274" s="845"/>
      <c r="T274" s="845"/>
      <c r="U274" s="845"/>
      <c r="V274" s="845"/>
      <c r="W274" s="845"/>
      <c r="X274" s="845"/>
      <c r="Y274" s="845"/>
    </row>
    <row r="275" spans="1:25" x14ac:dyDescent="0.2">
      <c r="A275" s="1828"/>
      <c r="B275" s="1828"/>
      <c r="C275" s="1828"/>
      <c r="D275" s="1828"/>
      <c r="E275" s="844"/>
      <c r="I275"/>
      <c r="J275"/>
      <c r="K275"/>
      <c r="L275"/>
      <c r="M275"/>
      <c r="N275"/>
      <c r="O275"/>
      <c r="P275" s="871"/>
      <c r="R275" s="845"/>
      <c r="S275" s="845"/>
      <c r="T275" s="845"/>
      <c r="U275" s="845"/>
      <c r="V275" s="845"/>
      <c r="W275" s="845"/>
      <c r="X275" s="845"/>
      <c r="Y275" s="845"/>
    </row>
    <row r="276" spans="1:25" x14ac:dyDescent="0.2">
      <c r="A276" s="1828"/>
      <c r="B276" s="1828"/>
      <c r="C276" s="1828"/>
      <c r="D276" s="1828"/>
      <c r="E276" s="844"/>
      <c r="I276"/>
      <c r="J276"/>
      <c r="K276"/>
      <c r="L276"/>
      <c r="M276"/>
      <c r="N276"/>
      <c r="O276"/>
      <c r="P276" s="871"/>
      <c r="R276" s="845"/>
      <c r="S276" s="845"/>
      <c r="T276" s="845"/>
      <c r="U276" s="845"/>
      <c r="V276" s="845"/>
      <c r="W276" s="845"/>
      <c r="X276" s="845"/>
      <c r="Y276" s="845"/>
    </row>
    <row r="277" spans="1:25" x14ac:dyDescent="0.2">
      <c r="A277" s="1828"/>
      <c r="B277" s="1828"/>
      <c r="C277" s="1828"/>
      <c r="D277" s="1828"/>
      <c r="E277" s="844"/>
      <c r="I277"/>
      <c r="J277"/>
      <c r="K277"/>
      <c r="L277"/>
      <c r="M277"/>
      <c r="N277"/>
      <c r="O277"/>
      <c r="P277" s="871"/>
      <c r="R277" s="845"/>
      <c r="S277" s="845"/>
      <c r="T277" s="845"/>
      <c r="U277" s="845"/>
      <c r="V277" s="845"/>
      <c r="W277" s="845"/>
      <c r="X277" s="845"/>
      <c r="Y277" s="845"/>
    </row>
    <row r="278" spans="1:25" x14ac:dyDescent="0.2">
      <c r="A278" s="1828"/>
      <c r="B278" s="1828"/>
      <c r="C278" s="1828"/>
      <c r="D278" s="1828"/>
      <c r="E278" s="844"/>
      <c r="I278"/>
      <c r="J278"/>
      <c r="K278"/>
      <c r="L278"/>
      <c r="M278"/>
      <c r="N278"/>
      <c r="O278"/>
      <c r="P278" s="871"/>
      <c r="R278" s="845"/>
      <c r="S278" s="845"/>
      <c r="T278" s="845"/>
      <c r="U278" s="845"/>
      <c r="V278" s="845"/>
      <c r="W278" s="845"/>
      <c r="X278" s="845"/>
      <c r="Y278" s="845"/>
    </row>
    <row r="279" spans="1:25" x14ac:dyDescent="0.2">
      <c r="A279" s="1828"/>
      <c r="B279" s="1828"/>
      <c r="C279" s="1828"/>
      <c r="D279" s="1828"/>
      <c r="E279" s="844"/>
      <c r="I279"/>
      <c r="J279"/>
      <c r="K279"/>
      <c r="L279"/>
      <c r="M279"/>
      <c r="N279"/>
      <c r="O279"/>
      <c r="P279" s="871"/>
      <c r="R279" s="845"/>
      <c r="S279" s="845"/>
      <c r="T279" s="845"/>
      <c r="U279" s="845"/>
      <c r="V279" s="845"/>
      <c r="W279" s="845"/>
      <c r="X279" s="845"/>
      <c r="Y279" s="845"/>
    </row>
    <row r="280" spans="1:25" x14ac:dyDescent="0.2">
      <c r="A280" s="1828"/>
      <c r="B280" s="1828"/>
      <c r="C280" s="1828"/>
      <c r="D280" s="1828"/>
      <c r="E280" s="844"/>
      <c r="I280"/>
      <c r="J280"/>
      <c r="K280"/>
      <c r="L280"/>
      <c r="M280"/>
      <c r="N280"/>
      <c r="O280"/>
      <c r="P280" s="871"/>
      <c r="R280" s="845"/>
      <c r="S280" s="845"/>
      <c r="T280" s="845"/>
      <c r="U280" s="845"/>
      <c r="V280" s="845"/>
      <c r="W280" s="845"/>
      <c r="X280" s="845"/>
      <c r="Y280" s="845"/>
    </row>
    <row r="281" spans="1:25" x14ac:dyDescent="0.2">
      <c r="A281" s="1828"/>
      <c r="B281" s="1828"/>
      <c r="C281" s="1828"/>
      <c r="D281" s="1828"/>
      <c r="E281" s="844"/>
      <c r="I281"/>
      <c r="J281"/>
      <c r="K281"/>
      <c r="L281"/>
      <c r="M281"/>
      <c r="N281"/>
      <c r="O281"/>
      <c r="P281" s="871"/>
      <c r="R281" s="845"/>
      <c r="S281" s="845"/>
      <c r="T281" s="845"/>
      <c r="U281" s="845"/>
      <c r="V281" s="845"/>
      <c r="W281" s="845"/>
      <c r="X281" s="845"/>
      <c r="Y281" s="845"/>
    </row>
    <row r="282" spans="1:25" x14ac:dyDescent="0.2">
      <c r="A282" s="1828"/>
      <c r="B282" s="1828"/>
      <c r="C282" s="1828"/>
      <c r="D282" s="1828"/>
      <c r="E282" s="844"/>
      <c r="I282"/>
      <c r="J282"/>
      <c r="K282"/>
      <c r="L282"/>
      <c r="M282"/>
      <c r="N282"/>
      <c r="O282"/>
      <c r="P282" s="871"/>
      <c r="R282" s="845"/>
      <c r="S282" s="845"/>
      <c r="T282" s="845"/>
      <c r="U282" s="845"/>
      <c r="V282" s="845"/>
      <c r="W282" s="845"/>
      <c r="X282" s="845"/>
      <c r="Y282" s="845"/>
    </row>
    <row r="283" spans="1:25" x14ac:dyDescent="0.2">
      <c r="A283" s="1828"/>
      <c r="B283" s="1828"/>
      <c r="C283" s="1828"/>
      <c r="D283" s="1828"/>
      <c r="E283" s="844"/>
      <c r="I283"/>
      <c r="J283"/>
      <c r="K283"/>
      <c r="L283"/>
      <c r="M283"/>
      <c r="N283"/>
      <c r="O283"/>
      <c r="P283" s="871"/>
      <c r="R283" s="845"/>
      <c r="S283" s="845"/>
      <c r="T283" s="845"/>
      <c r="U283" s="845"/>
      <c r="V283" s="845"/>
      <c r="W283" s="845"/>
      <c r="X283" s="845"/>
      <c r="Y283" s="845"/>
    </row>
    <row r="284" spans="1:25" x14ac:dyDescent="0.2">
      <c r="A284" s="1828"/>
      <c r="B284" s="1828"/>
      <c r="C284" s="1828"/>
      <c r="D284" s="1828"/>
      <c r="E284" s="844"/>
      <c r="I284"/>
      <c r="J284"/>
      <c r="K284"/>
      <c r="L284"/>
      <c r="M284"/>
      <c r="N284"/>
      <c r="O284"/>
      <c r="P284" s="871"/>
      <c r="R284" s="845"/>
      <c r="S284" s="845"/>
      <c r="T284" s="845"/>
      <c r="U284" s="845"/>
      <c r="V284" s="845"/>
      <c r="W284" s="845"/>
      <c r="X284" s="845"/>
      <c r="Y284" s="845"/>
    </row>
    <row r="285" spans="1:25" x14ac:dyDescent="0.2">
      <c r="A285" s="1828"/>
      <c r="B285" s="1828"/>
      <c r="C285" s="1828"/>
      <c r="D285" s="1828"/>
      <c r="E285" s="844"/>
      <c r="I285"/>
      <c r="J285"/>
      <c r="K285"/>
      <c r="L285"/>
      <c r="M285"/>
      <c r="N285"/>
      <c r="O285"/>
      <c r="P285" s="871"/>
      <c r="R285" s="845"/>
      <c r="S285" s="845"/>
      <c r="T285" s="845"/>
      <c r="U285" s="845"/>
      <c r="V285" s="845"/>
      <c r="W285" s="845"/>
      <c r="X285" s="845"/>
      <c r="Y285" s="845"/>
    </row>
    <row r="286" spans="1:25" x14ac:dyDescent="0.2">
      <c r="A286" s="1828"/>
      <c r="B286" s="1828"/>
      <c r="C286" s="1828"/>
      <c r="D286" s="1828"/>
      <c r="E286" s="844"/>
      <c r="I286"/>
      <c r="J286"/>
      <c r="K286"/>
      <c r="L286"/>
      <c r="M286"/>
      <c r="N286"/>
      <c r="O286"/>
      <c r="P286" s="871"/>
      <c r="R286" s="845"/>
      <c r="S286" s="845"/>
      <c r="T286" s="845"/>
      <c r="U286" s="845"/>
      <c r="V286" s="845"/>
      <c r="W286" s="845"/>
      <c r="X286" s="845"/>
      <c r="Y286" s="845"/>
    </row>
    <row r="287" spans="1:25" x14ac:dyDescent="0.2">
      <c r="A287" s="1828"/>
      <c r="B287" s="1828"/>
      <c r="C287" s="1828"/>
      <c r="D287" s="1828"/>
      <c r="E287" s="844"/>
      <c r="I287"/>
      <c r="J287"/>
      <c r="K287"/>
      <c r="L287"/>
      <c r="M287"/>
      <c r="N287"/>
      <c r="O287"/>
      <c r="P287" s="871"/>
      <c r="R287" s="845"/>
      <c r="S287" s="845"/>
      <c r="T287" s="845"/>
      <c r="U287" s="845"/>
      <c r="V287" s="845"/>
      <c r="W287" s="845"/>
      <c r="X287" s="845"/>
      <c r="Y287" s="845"/>
    </row>
    <row r="288" spans="1:25" x14ac:dyDescent="0.2">
      <c r="A288" s="1828"/>
      <c r="B288" s="1828"/>
      <c r="C288" s="1828"/>
      <c r="D288" s="1828"/>
      <c r="E288" s="844"/>
      <c r="I288"/>
      <c r="J288"/>
      <c r="K288"/>
      <c r="L288"/>
      <c r="M288"/>
      <c r="N288"/>
      <c r="O288"/>
      <c r="P288" s="871"/>
      <c r="R288" s="845"/>
      <c r="S288" s="845"/>
      <c r="T288" s="845"/>
      <c r="U288" s="845"/>
      <c r="V288" s="845"/>
      <c r="W288" s="845"/>
      <c r="X288" s="845"/>
      <c r="Y288" s="845"/>
    </row>
    <row r="289" spans="1:25" x14ac:dyDescent="0.2">
      <c r="A289" s="1828"/>
      <c r="B289" s="1828"/>
      <c r="C289" s="1828"/>
      <c r="D289" s="1828"/>
      <c r="E289" s="844"/>
      <c r="I289"/>
      <c r="J289"/>
      <c r="K289"/>
      <c r="L289"/>
      <c r="M289"/>
      <c r="N289"/>
      <c r="O289"/>
      <c r="P289" s="871"/>
      <c r="R289" s="845"/>
      <c r="S289" s="845"/>
      <c r="T289" s="845"/>
      <c r="U289" s="845"/>
      <c r="V289" s="845"/>
      <c r="W289" s="845"/>
      <c r="X289" s="845"/>
      <c r="Y289" s="845"/>
    </row>
    <row r="290" spans="1:25" x14ac:dyDescent="0.2">
      <c r="A290" s="1828"/>
      <c r="B290" s="1828"/>
      <c r="C290" s="1828"/>
      <c r="D290" s="1828"/>
      <c r="E290" s="844"/>
      <c r="I290"/>
      <c r="J290"/>
      <c r="K290"/>
      <c r="L290"/>
      <c r="M290"/>
      <c r="N290"/>
      <c r="O290"/>
      <c r="P290" s="871"/>
      <c r="R290" s="845"/>
      <c r="S290" s="845"/>
      <c r="T290" s="845"/>
      <c r="U290" s="845"/>
      <c r="V290" s="845"/>
      <c r="W290" s="845"/>
      <c r="X290" s="845"/>
      <c r="Y290" s="845"/>
    </row>
    <row r="291" spans="1:25" x14ac:dyDescent="0.2">
      <c r="A291" s="1828"/>
      <c r="B291" s="1828"/>
      <c r="C291" s="1828"/>
      <c r="D291" s="1828"/>
      <c r="E291" s="844"/>
      <c r="I291"/>
      <c r="J291"/>
      <c r="K291"/>
      <c r="L291"/>
      <c r="M291"/>
      <c r="N291"/>
      <c r="O291"/>
      <c r="P291" s="871"/>
      <c r="R291" s="845"/>
      <c r="S291" s="845"/>
      <c r="T291" s="845"/>
      <c r="U291" s="845"/>
      <c r="V291" s="845"/>
      <c r="W291" s="845"/>
      <c r="X291" s="845"/>
      <c r="Y291" s="845"/>
    </row>
    <row r="292" spans="1:25" x14ac:dyDescent="0.2">
      <c r="A292" s="1828"/>
      <c r="B292" s="1828"/>
      <c r="C292" s="1828"/>
      <c r="D292" s="1828"/>
      <c r="E292" s="844"/>
      <c r="I292"/>
      <c r="J292"/>
      <c r="K292"/>
      <c r="L292"/>
      <c r="M292"/>
      <c r="N292"/>
      <c r="O292"/>
      <c r="P292" s="871"/>
      <c r="R292" s="845"/>
      <c r="S292" s="845"/>
      <c r="T292" s="845"/>
      <c r="U292" s="845"/>
      <c r="V292" s="845"/>
      <c r="W292" s="845"/>
      <c r="X292" s="845"/>
      <c r="Y292" s="845"/>
    </row>
    <row r="293" spans="1:25" x14ac:dyDescent="0.2">
      <c r="A293" s="1828"/>
      <c r="B293" s="1828"/>
      <c r="C293" s="1828"/>
      <c r="D293" s="1828"/>
      <c r="E293" s="844"/>
      <c r="I293"/>
      <c r="J293"/>
      <c r="K293"/>
      <c r="L293"/>
      <c r="M293"/>
      <c r="N293"/>
      <c r="O293"/>
      <c r="P293" s="871"/>
      <c r="R293" s="845"/>
      <c r="S293" s="845"/>
      <c r="T293" s="845"/>
      <c r="U293" s="845"/>
      <c r="V293" s="845"/>
      <c r="W293" s="845"/>
      <c r="X293" s="845"/>
      <c r="Y293" s="845"/>
    </row>
    <row r="294" spans="1:25" x14ac:dyDescent="0.2">
      <c r="A294" s="1828"/>
      <c r="B294" s="1828"/>
      <c r="C294" s="1828"/>
      <c r="D294" s="1828"/>
      <c r="E294" s="844"/>
      <c r="I294"/>
      <c r="J294"/>
      <c r="K294"/>
      <c r="L294"/>
      <c r="M294"/>
      <c r="N294"/>
      <c r="O294"/>
      <c r="P294" s="871"/>
      <c r="R294" s="845"/>
      <c r="S294" s="845"/>
      <c r="T294" s="845"/>
      <c r="U294" s="845"/>
      <c r="V294" s="845"/>
      <c r="W294" s="845"/>
      <c r="X294" s="845"/>
      <c r="Y294" s="845"/>
    </row>
    <row r="295" spans="1:25" x14ac:dyDescent="0.2">
      <c r="A295" s="1828"/>
      <c r="B295" s="1828"/>
      <c r="C295" s="1828"/>
      <c r="D295" s="1828"/>
      <c r="E295" s="844"/>
      <c r="I295"/>
      <c r="J295"/>
      <c r="K295"/>
      <c r="L295"/>
      <c r="M295"/>
      <c r="N295"/>
      <c r="O295"/>
      <c r="P295" s="871"/>
      <c r="R295" s="845"/>
      <c r="S295" s="845"/>
      <c r="T295" s="845"/>
      <c r="U295" s="845"/>
      <c r="V295" s="845"/>
      <c r="W295" s="845"/>
      <c r="X295" s="845"/>
      <c r="Y295" s="845"/>
    </row>
    <row r="296" spans="1:25" x14ac:dyDescent="0.2">
      <c r="A296" s="1828"/>
      <c r="B296" s="1828"/>
      <c r="C296" s="1828"/>
      <c r="D296" s="1828"/>
      <c r="E296" s="844"/>
      <c r="I296"/>
      <c r="J296"/>
      <c r="K296"/>
      <c r="L296"/>
      <c r="M296"/>
      <c r="N296"/>
      <c r="O296"/>
      <c r="P296" s="871"/>
      <c r="R296" s="845"/>
      <c r="S296" s="845"/>
      <c r="T296" s="845"/>
      <c r="U296" s="845"/>
      <c r="V296" s="845"/>
      <c r="W296" s="845"/>
      <c r="X296" s="845"/>
      <c r="Y296" s="845"/>
    </row>
    <row r="297" spans="1:25" x14ac:dyDescent="0.2">
      <c r="A297" s="1828"/>
      <c r="B297" s="1828"/>
      <c r="C297" s="1828"/>
      <c r="D297" s="1828"/>
      <c r="E297" s="844"/>
      <c r="I297"/>
      <c r="J297"/>
      <c r="K297"/>
      <c r="L297"/>
      <c r="M297"/>
      <c r="N297"/>
      <c r="O297"/>
      <c r="P297" s="871"/>
      <c r="R297" s="845"/>
      <c r="S297" s="845"/>
      <c r="T297" s="845"/>
      <c r="U297" s="845"/>
      <c r="V297" s="845"/>
      <c r="W297" s="845"/>
      <c r="X297" s="845"/>
      <c r="Y297" s="845"/>
    </row>
    <row r="298" spans="1:25" x14ac:dyDescent="0.2">
      <c r="A298" s="1828"/>
      <c r="B298" s="1828"/>
      <c r="C298" s="1828"/>
      <c r="D298" s="1828"/>
      <c r="E298" s="844"/>
      <c r="I298"/>
      <c r="J298"/>
      <c r="K298"/>
      <c r="L298"/>
      <c r="M298"/>
      <c r="N298"/>
      <c r="O298"/>
      <c r="P298" s="871"/>
      <c r="R298" s="845"/>
      <c r="S298" s="845"/>
      <c r="T298" s="845"/>
      <c r="U298" s="845"/>
      <c r="V298" s="845"/>
      <c r="W298" s="845"/>
      <c r="X298" s="845"/>
      <c r="Y298" s="845"/>
    </row>
    <row r="299" spans="1:25" x14ac:dyDescent="0.2">
      <c r="A299" s="1828"/>
      <c r="B299" s="1828"/>
      <c r="C299" s="1828"/>
      <c r="D299" s="1828"/>
      <c r="E299" s="844"/>
      <c r="I299"/>
      <c r="J299"/>
      <c r="K299"/>
      <c r="L299"/>
      <c r="M299"/>
      <c r="N299"/>
      <c r="O299"/>
      <c r="P299" s="871"/>
      <c r="R299" s="845"/>
      <c r="S299" s="845"/>
      <c r="T299" s="845"/>
      <c r="U299" s="845"/>
      <c r="V299" s="845"/>
      <c r="W299" s="845"/>
      <c r="X299" s="845"/>
      <c r="Y299" s="845"/>
    </row>
    <row r="300" spans="1:25" x14ac:dyDescent="0.2">
      <c r="A300" s="1828"/>
      <c r="B300" s="1828"/>
      <c r="C300" s="1828"/>
      <c r="D300" s="1828"/>
      <c r="E300" s="844"/>
      <c r="I300"/>
      <c r="J300"/>
      <c r="K300"/>
      <c r="L300"/>
      <c r="M300"/>
      <c r="N300"/>
      <c r="O300"/>
      <c r="P300" s="871"/>
      <c r="R300" s="845"/>
      <c r="S300" s="845"/>
      <c r="T300" s="845"/>
      <c r="U300" s="845"/>
      <c r="V300" s="845"/>
      <c r="W300" s="845"/>
      <c r="X300" s="845"/>
      <c r="Y300" s="845"/>
    </row>
    <row r="301" spans="1:25" x14ac:dyDescent="0.2">
      <c r="A301" s="1828"/>
      <c r="B301" s="1828"/>
      <c r="C301" s="1828"/>
      <c r="D301" s="1828"/>
      <c r="E301" s="844"/>
      <c r="I301"/>
      <c r="J301"/>
      <c r="K301"/>
      <c r="L301"/>
      <c r="M301"/>
      <c r="N301"/>
      <c r="O301"/>
      <c r="P301" s="871"/>
      <c r="R301" s="845"/>
      <c r="S301" s="845"/>
      <c r="T301" s="845"/>
      <c r="U301" s="845"/>
      <c r="V301" s="845"/>
      <c r="W301" s="845"/>
      <c r="X301" s="845"/>
      <c r="Y301" s="845"/>
    </row>
    <row r="302" spans="1:25" x14ac:dyDescent="0.2">
      <c r="A302" s="1828"/>
      <c r="B302" s="1828"/>
      <c r="C302" s="1828"/>
      <c r="D302" s="1828"/>
      <c r="E302" s="844"/>
      <c r="I302"/>
      <c r="J302"/>
      <c r="K302"/>
      <c r="L302"/>
      <c r="M302"/>
      <c r="N302"/>
      <c r="O302"/>
      <c r="P302" s="871"/>
      <c r="R302" s="845"/>
      <c r="S302" s="845"/>
      <c r="T302" s="845"/>
      <c r="U302" s="845"/>
      <c r="V302" s="845"/>
      <c r="W302" s="845"/>
      <c r="X302" s="845"/>
      <c r="Y302" s="845"/>
    </row>
    <row r="303" spans="1:25" x14ac:dyDescent="0.2">
      <c r="A303" s="1828"/>
      <c r="B303" s="1828"/>
      <c r="C303" s="1828"/>
      <c r="D303" s="1828"/>
      <c r="E303" s="844"/>
      <c r="I303"/>
      <c r="J303"/>
      <c r="K303"/>
      <c r="L303"/>
      <c r="M303"/>
      <c r="N303"/>
      <c r="O303"/>
      <c r="P303" s="871"/>
      <c r="R303" s="845"/>
      <c r="S303" s="845"/>
      <c r="T303" s="845"/>
      <c r="U303" s="845"/>
      <c r="V303" s="845"/>
      <c r="W303" s="845"/>
      <c r="X303" s="845"/>
      <c r="Y303" s="845"/>
    </row>
    <row r="304" spans="1:25" x14ac:dyDescent="0.2">
      <c r="A304" s="1828"/>
      <c r="B304" s="1828"/>
      <c r="C304" s="1828"/>
      <c r="D304" s="1828"/>
      <c r="E304" s="844"/>
      <c r="I304"/>
      <c r="J304"/>
      <c r="K304"/>
      <c r="L304"/>
      <c r="M304"/>
      <c r="N304"/>
      <c r="O304"/>
      <c r="P304" s="871"/>
      <c r="R304" s="845"/>
      <c r="S304" s="845"/>
      <c r="T304" s="845"/>
      <c r="U304" s="845"/>
      <c r="V304" s="845"/>
      <c r="W304" s="845"/>
      <c r="X304" s="845"/>
      <c r="Y304" s="845"/>
    </row>
    <row r="305" spans="1:25" x14ac:dyDescent="0.2">
      <c r="A305" s="1828"/>
      <c r="B305" s="1828"/>
      <c r="C305" s="1828"/>
      <c r="D305" s="1828"/>
      <c r="E305" s="844"/>
      <c r="I305"/>
      <c r="J305"/>
      <c r="K305"/>
      <c r="L305"/>
      <c r="M305"/>
      <c r="N305"/>
      <c r="O305"/>
      <c r="P305" s="871"/>
      <c r="R305" s="845"/>
      <c r="S305" s="845"/>
      <c r="T305" s="845"/>
      <c r="U305" s="845"/>
      <c r="V305" s="845"/>
      <c r="W305" s="845"/>
      <c r="X305" s="845"/>
      <c r="Y305" s="845"/>
    </row>
    <row r="306" spans="1:25" x14ac:dyDescent="0.2">
      <c r="A306" s="1828"/>
      <c r="B306" s="1828"/>
      <c r="C306" s="1828"/>
      <c r="D306" s="1828"/>
      <c r="E306" s="844"/>
      <c r="I306"/>
      <c r="J306"/>
      <c r="K306"/>
      <c r="L306"/>
      <c r="M306"/>
      <c r="N306"/>
      <c r="O306"/>
      <c r="P306" s="871"/>
      <c r="R306" s="845"/>
      <c r="S306" s="845"/>
      <c r="T306" s="845"/>
      <c r="U306" s="845"/>
      <c r="V306" s="845"/>
      <c r="W306" s="845"/>
      <c r="X306" s="845"/>
      <c r="Y306" s="845"/>
    </row>
    <row r="307" spans="1:25" x14ac:dyDescent="0.2">
      <c r="A307" s="1828"/>
      <c r="B307" s="1828"/>
      <c r="C307" s="1828"/>
      <c r="D307" s="1828"/>
      <c r="E307" s="844"/>
      <c r="I307"/>
      <c r="J307"/>
      <c r="K307"/>
      <c r="L307"/>
      <c r="M307"/>
      <c r="N307"/>
      <c r="O307"/>
      <c r="P307" s="871"/>
      <c r="R307" s="845"/>
      <c r="S307" s="845"/>
      <c r="T307" s="845"/>
      <c r="U307" s="845"/>
      <c r="V307" s="845"/>
      <c r="W307" s="845"/>
      <c r="X307" s="845"/>
      <c r="Y307" s="845"/>
    </row>
    <row r="308" spans="1:25" x14ac:dyDescent="0.2">
      <c r="A308" s="1828"/>
      <c r="B308" s="1828"/>
      <c r="C308" s="1828"/>
      <c r="D308" s="1828"/>
      <c r="E308" s="844"/>
      <c r="I308"/>
      <c r="J308"/>
      <c r="K308"/>
      <c r="L308"/>
      <c r="M308"/>
      <c r="N308"/>
      <c r="O308"/>
      <c r="P308" s="835"/>
      <c r="R308" s="845"/>
      <c r="S308" s="845"/>
      <c r="T308" s="845"/>
      <c r="U308" s="845"/>
      <c r="V308" s="845"/>
      <c r="W308" s="845"/>
      <c r="X308" s="845"/>
      <c r="Y308" s="845"/>
    </row>
    <row r="309" spans="1:25" x14ac:dyDescent="0.2">
      <c r="A309" s="1828"/>
      <c r="B309" s="1828"/>
      <c r="C309" s="1828"/>
      <c r="D309" s="1828"/>
      <c r="E309" s="844"/>
      <c r="I309"/>
      <c r="J309"/>
      <c r="K309"/>
      <c r="L309"/>
      <c r="M309"/>
      <c r="N309"/>
      <c r="O309"/>
      <c r="P309" s="835"/>
      <c r="R309" s="845"/>
      <c r="S309" s="845"/>
      <c r="T309" s="845"/>
      <c r="U309" s="845"/>
      <c r="V309" s="845"/>
      <c r="W309" s="845"/>
      <c r="X309" s="845"/>
      <c r="Y309" s="845"/>
    </row>
    <row r="310" spans="1:25" x14ac:dyDescent="0.2">
      <c r="A310" s="1828"/>
      <c r="B310" s="1828"/>
      <c r="C310" s="1828"/>
      <c r="D310" s="1828"/>
      <c r="E310" s="844"/>
      <c r="I310"/>
      <c r="J310"/>
      <c r="K310"/>
      <c r="L310"/>
      <c r="M310"/>
      <c r="N310"/>
      <c r="O310"/>
      <c r="P310" s="835"/>
      <c r="R310" s="845"/>
      <c r="S310" s="845"/>
      <c r="T310" s="845"/>
      <c r="U310" s="845"/>
      <c r="V310" s="845"/>
      <c r="W310" s="845"/>
      <c r="X310" s="845"/>
      <c r="Y310" s="845"/>
    </row>
    <row r="311" spans="1:25" x14ac:dyDescent="0.2">
      <c r="A311" s="1828"/>
      <c r="B311" s="1828"/>
      <c r="C311" s="1828"/>
      <c r="D311" s="1828"/>
      <c r="E311" s="844"/>
      <c r="I311"/>
      <c r="J311"/>
      <c r="K311"/>
      <c r="L311"/>
      <c r="M311"/>
      <c r="N311"/>
      <c r="O311"/>
      <c r="P311" s="835"/>
      <c r="R311" s="845"/>
      <c r="S311" s="845"/>
      <c r="T311" s="845"/>
      <c r="U311" s="845"/>
      <c r="V311" s="845"/>
      <c r="W311" s="845"/>
      <c r="X311" s="845"/>
      <c r="Y311" s="845"/>
    </row>
    <row r="312" spans="1:25" x14ac:dyDescent="0.2">
      <c r="A312" s="1828"/>
      <c r="B312" s="1828"/>
      <c r="C312" s="1828"/>
      <c r="D312" s="1828"/>
      <c r="E312" s="844"/>
      <c r="I312"/>
      <c r="J312"/>
      <c r="K312"/>
      <c r="L312"/>
      <c r="M312"/>
      <c r="N312"/>
      <c r="O312"/>
      <c r="P312" s="835"/>
      <c r="R312" s="845"/>
      <c r="S312" s="845"/>
      <c r="T312" s="845"/>
      <c r="U312" s="845"/>
      <c r="V312" s="845"/>
      <c r="W312" s="845"/>
      <c r="X312" s="845"/>
      <c r="Y312" s="845"/>
    </row>
    <row r="313" spans="1:25" x14ac:dyDescent="0.2">
      <c r="A313" s="1828"/>
      <c r="B313" s="1828"/>
      <c r="C313" s="1828"/>
      <c r="D313" s="1828"/>
      <c r="E313" s="844"/>
      <c r="I313"/>
      <c r="J313"/>
      <c r="K313"/>
      <c r="L313"/>
      <c r="M313"/>
      <c r="N313"/>
      <c r="O313"/>
      <c r="P313" s="835"/>
      <c r="R313" s="845"/>
      <c r="S313" s="845"/>
      <c r="T313" s="845"/>
      <c r="U313" s="845"/>
      <c r="V313" s="845"/>
      <c r="W313" s="845"/>
      <c r="X313" s="845"/>
      <c r="Y313" s="845"/>
    </row>
    <row r="314" spans="1:25" x14ac:dyDescent="0.2">
      <c r="A314" s="1828"/>
      <c r="B314" s="1828"/>
      <c r="C314" s="1828"/>
      <c r="D314" s="1828"/>
      <c r="E314" s="844"/>
      <c r="I314"/>
      <c r="J314"/>
      <c r="K314"/>
      <c r="L314"/>
      <c r="M314"/>
      <c r="N314"/>
      <c r="O314"/>
      <c r="P314" s="835"/>
      <c r="R314" s="845"/>
      <c r="S314" s="845"/>
      <c r="T314" s="845"/>
      <c r="U314" s="845"/>
      <c r="V314" s="845"/>
      <c r="W314" s="845"/>
      <c r="X314" s="845"/>
      <c r="Y314" s="845"/>
    </row>
    <row r="315" spans="1:25" x14ac:dyDescent="0.2">
      <c r="A315" s="1828"/>
      <c r="B315" s="1828"/>
      <c r="C315" s="1828"/>
      <c r="D315" s="1828"/>
      <c r="E315" s="844"/>
      <c r="I315"/>
      <c r="J315"/>
      <c r="K315"/>
      <c r="L315"/>
      <c r="M315"/>
      <c r="N315"/>
      <c r="O315"/>
      <c r="P315" s="835"/>
      <c r="R315" s="845"/>
      <c r="S315" s="845"/>
      <c r="T315" s="845"/>
      <c r="U315" s="845"/>
      <c r="V315" s="845"/>
      <c r="W315" s="845"/>
      <c r="X315" s="845"/>
      <c r="Y315" s="845"/>
    </row>
    <row r="316" spans="1:25" x14ac:dyDescent="0.2">
      <c r="A316" s="1828"/>
      <c r="B316" s="1828"/>
      <c r="C316" s="1828"/>
      <c r="D316" s="1828"/>
      <c r="E316" s="844"/>
      <c r="I316"/>
      <c r="J316"/>
      <c r="K316"/>
      <c r="L316"/>
      <c r="M316"/>
      <c r="N316"/>
      <c r="O316"/>
      <c r="P316" s="835"/>
      <c r="R316" s="845"/>
      <c r="S316" s="845"/>
      <c r="T316" s="845"/>
      <c r="U316" s="845"/>
      <c r="V316" s="845"/>
      <c r="W316" s="845"/>
      <c r="X316" s="845"/>
      <c r="Y316" s="845"/>
    </row>
    <row r="317" spans="1:25" x14ac:dyDescent="0.2">
      <c r="A317" s="1828"/>
      <c r="B317" s="1828"/>
      <c r="C317" s="1828"/>
      <c r="D317" s="1828"/>
      <c r="E317" s="844"/>
      <c r="I317"/>
      <c r="J317"/>
      <c r="K317"/>
      <c r="L317"/>
      <c r="M317"/>
      <c r="N317"/>
      <c r="O317"/>
      <c r="P317" s="835"/>
      <c r="R317" s="845"/>
      <c r="S317" s="845"/>
      <c r="T317" s="845"/>
      <c r="U317" s="845"/>
      <c r="V317" s="845"/>
      <c r="W317" s="845"/>
      <c r="X317" s="845"/>
      <c r="Y317" s="845"/>
    </row>
    <row r="318" spans="1:25" x14ac:dyDescent="0.2">
      <c r="A318" s="1828"/>
      <c r="B318" s="1828"/>
      <c r="C318" s="1828"/>
      <c r="D318" s="1828"/>
      <c r="E318" s="844"/>
      <c r="I318"/>
      <c r="J318"/>
      <c r="K318"/>
      <c r="L318"/>
      <c r="M318"/>
      <c r="N318"/>
      <c r="O318"/>
      <c r="P318" s="835"/>
      <c r="R318" s="845"/>
      <c r="S318" s="845"/>
      <c r="T318" s="845"/>
      <c r="U318" s="845"/>
      <c r="V318" s="845"/>
      <c r="W318" s="845"/>
      <c r="X318" s="845"/>
      <c r="Y318" s="845"/>
    </row>
    <row r="319" spans="1:25" x14ac:dyDescent="0.2">
      <c r="A319" s="1828"/>
      <c r="B319" s="1828"/>
      <c r="C319" s="1828"/>
      <c r="D319" s="1828"/>
      <c r="E319" s="844"/>
      <c r="I319"/>
      <c r="J319"/>
      <c r="K319"/>
      <c r="L319"/>
      <c r="M319"/>
      <c r="N319"/>
      <c r="O319"/>
      <c r="P319" s="835"/>
      <c r="R319" s="845"/>
      <c r="S319" s="845"/>
      <c r="T319" s="845"/>
      <c r="U319" s="845"/>
      <c r="V319" s="845"/>
      <c r="W319" s="845"/>
      <c r="X319" s="845"/>
      <c r="Y319" s="845"/>
    </row>
    <row r="320" spans="1:25" x14ac:dyDescent="0.2">
      <c r="A320" s="1828"/>
      <c r="B320" s="1828"/>
      <c r="C320" s="1828"/>
      <c r="D320" s="1828"/>
      <c r="E320" s="844"/>
      <c r="I320"/>
      <c r="J320"/>
      <c r="K320"/>
      <c r="L320"/>
      <c r="M320"/>
      <c r="N320"/>
      <c r="O320"/>
      <c r="P320" s="835"/>
      <c r="R320" s="845"/>
      <c r="S320" s="845"/>
      <c r="T320" s="845"/>
      <c r="U320" s="845"/>
      <c r="V320" s="845"/>
      <c r="W320" s="845"/>
      <c r="X320" s="845"/>
      <c r="Y320" s="845"/>
    </row>
    <row r="321" spans="1:25" x14ac:dyDescent="0.2">
      <c r="A321" s="1828"/>
      <c r="B321" s="1828"/>
      <c r="C321" s="1828"/>
      <c r="D321" s="1828"/>
      <c r="E321" s="844"/>
      <c r="I321"/>
      <c r="J321"/>
      <c r="K321"/>
      <c r="L321"/>
      <c r="M321"/>
      <c r="N321"/>
      <c r="O321"/>
      <c r="P321" s="835"/>
      <c r="R321" s="845"/>
      <c r="S321" s="845"/>
      <c r="T321" s="845"/>
      <c r="U321" s="845"/>
      <c r="V321" s="845"/>
      <c r="W321" s="845"/>
      <c r="X321" s="845"/>
      <c r="Y321" s="845"/>
    </row>
    <row r="322" spans="1:25" x14ac:dyDescent="0.2">
      <c r="A322" s="1828"/>
      <c r="B322" s="1828"/>
      <c r="C322" s="1828"/>
      <c r="D322" s="1828"/>
      <c r="E322" s="844"/>
      <c r="I322"/>
      <c r="J322"/>
      <c r="K322"/>
      <c r="L322"/>
      <c r="M322"/>
      <c r="N322"/>
      <c r="O322"/>
      <c r="P322" s="835"/>
      <c r="R322" s="845"/>
      <c r="S322" s="845"/>
      <c r="T322" s="845"/>
      <c r="U322" s="845"/>
      <c r="V322" s="845"/>
      <c r="W322" s="845"/>
      <c r="X322" s="845"/>
      <c r="Y322" s="845"/>
    </row>
    <row r="323" spans="1:25" x14ac:dyDescent="0.2">
      <c r="A323" s="1828"/>
      <c r="B323" s="1828"/>
      <c r="C323" s="1828"/>
      <c r="D323" s="1828"/>
      <c r="E323" s="844"/>
      <c r="I323"/>
      <c r="J323"/>
      <c r="K323"/>
      <c r="L323"/>
      <c r="M323"/>
      <c r="N323"/>
      <c r="O323"/>
      <c r="P323" s="835"/>
      <c r="R323" s="845"/>
      <c r="S323" s="845"/>
      <c r="T323" s="845"/>
      <c r="U323" s="845"/>
      <c r="V323" s="845"/>
      <c r="W323" s="845"/>
      <c r="X323" s="845"/>
      <c r="Y323" s="845"/>
    </row>
    <row r="324" spans="1:25" x14ac:dyDescent="0.2">
      <c r="A324" s="1828"/>
      <c r="B324" s="1828"/>
      <c r="C324" s="1828"/>
      <c r="D324" s="1828"/>
      <c r="E324" s="844"/>
      <c r="I324"/>
      <c r="J324"/>
      <c r="K324"/>
      <c r="L324"/>
      <c r="M324"/>
      <c r="N324"/>
      <c r="O324"/>
      <c r="P324" s="835"/>
      <c r="R324" s="845"/>
      <c r="S324" s="845"/>
      <c r="T324" s="845"/>
      <c r="U324" s="845"/>
      <c r="V324" s="845"/>
      <c r="W324" s="845"/>
      <c r="X324" s="845"/>
      <c r="Y324" s="845"/>
    </row>
    <row r="325" spans="1:25" x14ac:dyDescent="0.2">
      <c r="A325" s="1828"/>
      <c r="B325" s="1828"/>
      <c r="C325" s="1828"/>
      <c r="D325" s="1828"/>
      <c r="E325" s="844"/>
      <c r="I325"/>
      <c r="J325"/>
      <c r="K325"/>
      <c r="L325"/>
      <c r="M325"/>
      <c r="N325"/>
      <c r="O325"/>
      <c r="P325" s="835"/>
      <c r="R325" s="845"/>
      <c r="S325" s="845"/>
      <c r="T325" s="845"/>
      <c r="U325" s="845"/>
      <c r="V325" s="845"/>
      <c r="W325" s="845"/>
      <c r="X325" s="845"/>
      <c r="Y325" s="845"/>
    </row>
    <row r="326" spans="1:25" x14ac:dyDescent="0.2">
      <c r="A326" s="1828"/>
      <c r="B326" s="1828"/>
      <c r="C326" s="1828"/>
      <c r="D326" s="1828"/>
      <c r="E326" s="844"/>
      <c r="I326"/>
      <c r="J326"/>
      <c r="K326"/>
      <c r="L326"/>
      <c r="M326"/>
      <c r="N326"/>
      <c r="O326"/>
      <c r="P326" s="835"/>
      <c r="R326" s="845"/>
      <c r="S326" s="845"/>
      <c r="T326" s="845"/>
      <c r="U326" s="845"/>
      <c r="V326" s="845"/>
      <c r="W326" s="845"/>
      <c r="X326" s="845"/>
      <c r="Y326" s="845"/>
    </row>
    <row r="327" spans="1:25" x14ac:dyDescent="0.2">
      <c r="A327" s="1828"/>
      <c r="B327" s="1828"/>
      <c r="C327" s="1828"/>
      <c r="D327" s="1828"/>
      <c r="E327" s="844"/>
      <c r="I327"/>
      <c r="J327"/>
      <c r="K327"/>
      <c r="L327"/>
      <c r="M327"/>
      <c r="N327"/>
      <c r="O327"/>
      <c r="P327" s="835"/>
      <c r="R327" s="845"/>
      <c r="S327" s="845"/>
      <c r="T327" s="845"/>
      <c r="U327" s="845"/>
      <c r="V327" s="845"/>
      <c r="W327" s="845"/>
      <c r="X327" s="845"/>
      <c r="Y327" s="845"/>
    </row>
    <row r="328" spans="1:25" x14ac:dyDescent="0.2">
      <c r="A328" s="1828"/>
      <c r="B328" s="1828"/>
      <c r="C328" s="1828"/>
      <c r="D328" s="1828"/>
      <c r="E328" s="844"/>
      <c r="I328"/>
      <c r="J328"/>
      <c r="K328"/>
      <c r="L328"/>
      <c r="M328"/>
      <c r="N328"/>
      <c r="O328"/>
      <c r="P328" s="835"/>
      <c r="R328" s="845"/>
      <c r="S328" s="845"/>
      <c r="T328" s="845"/>
      <c r="U328" s="845"/>
      <c r="V328" s="845"/>
      <c r="W328" s="845"/>
      <c r="X328" s="845"/>
      <c r="Y328" s="845"/>
    </row>
    <row r="329" spans="1:25" x14ac:dyDescent="0.2">
      <c r="A329" s="1828"/>
      <c r="B329" s="1828"/>
      <c r="C329" s="1828"/>
      <c r="D329" s="1828"/>
      <c r="E329" s="844"/>
      <c r="I329"/>
      <c r="J329"/>
      <c r="K329"/>
      <c r="L329"/>
      <c r="M329"/>
      <c r="N329"/>
      <c r="O329"/>
      <c r="P329" s="835"/>
      <c r="R329" s="845"/>
      <c r="S329" s="845"/>
      <c r="T329" s="845"/>
      <c r="U329" s="845"/>
      <c r="V329" s="845"/>
      <c r="W329" s="845"/>
      <c r="X329" s="845"/>
      <c r="Y329" s="845"/>
    </row>
    <row r="330" spans="1:25" x14ac:dyDescent="0.2">
      <c r="A330" s="1828"/>
      <c r="B330" s="1828"/>
      <c r="C330" s="1828"/>
      <c r="D330" s="1828"/>
      <c r="E330" s="844"/>
      <c r="I330"/>
      <c r="J330"/>
      <c r="K330"/>
      <c r="L330"/>
      <c r="M330"/>
      <c r="N330"/>
      <c r="O330"/>
      <c r="P330" s="835"/>
      <c r="R330" s="845"/>
      <c r="S330" s="845"/>
      <c r="T330" s="845"/>
      <c r="U330" s="845"/>
      <c r="V330" s="845"/>
      <c r="W330" s="845"/>
      <c r="X330" s="845"/>
      <c r="Y330" s="845"/>
    </row>
    <row r="331" spans="1:25" x14ac:dyDescent="0.2">
      <c r="A331" s="1828"/>
      <c r="B331" s="1828"/>
      <c r="C331" s="1828"/>
      <c r="D331" s="1828"/>
      <c r="E331" s="844"/>
      <c r="I331"/>
      <c r="J331"/>
      <c r="K331"/>
      <c r="L331"/>
      <c r="M331"/>
      <c r="N331"/>
      <c r="O331"/>
      <c r="P331" s="835"/>
      <c r="R331" s="845"/>
      <c r="S331" s="845"/>
      <c r="T331" s="845"/>
      <c r="U331" s="845"/>
      <c r="V331" s="845"/>
      <c r="W331" s="845"/>
      <c r="X331" s="845"/>
      <c r="Y331" s="845"/>
    </row>
    <row r="332" spans="1:25" x14ac:dyDescent="0.2">
      <c r="A332" s="1828"/>
      <c r="B332" s="1828"/>
      <c r="C332" s="1828"/>
      <c r="D332" s="1828"/>
      <c r="E332" s="844"/>
      <c r="I332"/>
      <c r="J332"/>
      <c r="K332"/>
      <c r="L332"/>
      <c r="M332"/>
      <c r="N332"/>
      <c r="O332"/>
      <c r="P332" s="835"/>
      <c r="R332" s="845"/>
      <c r="S332" s="845"/>
      <c r="T332" s="845"/>
      <c r="U332" s="845"/>
      <c r="V332" s="845"/>
      <c r="W332" s="845"/>
      <c r="X332" s="845"/>
      <c r="Y332" s="845"/>
    </row>
    <row r="333" spans="1:25" x14ac:dyDescent="0.2">
      <c r="A333" s="1828"/>
      <c r="B333" s="1828"/>
      <c r="C333" s="1828"/>
      <c r="D333" s="1828"/>
      <c r="E333" s="844"/>
      <c r="I333"/>
      <c r="J333"/>
      <c r="K333"/>
      <c r="L333"/>
      <c r="M333"/>
      <c r="N333"/>
      <c r="O333"/>
      <c r="P333" s="835"/>
      <c r="R333" s="845"/>
      <c r="S333" s="845"/>
      <c r="T333" s="845"/>
      <c r="U333" s="845"/>
      <c r="V333" s="845"/>
      <c r="W333" s="845"/>
      <c r="X333" s="845"/>
      <c r="Y333" s="845"/>
    </row>
    <row r="334" spans="1:25" x14ac:dyDescent="0.2">
      <c r="A334" s="1828"/>
      <c r="B334" s="1828"/>
      <c r="C334" s="1828"/>
      <c r="D334" s="1828"/>
      <c r="E334" s="844"/>
      <c r="I334"/>
      <c r="J334"/>
      <c r="K334"/>
      <c r="L334"/>
      <c r="M334"/>
      <c r="N334"/>
      <c r="O334"/>
      <c r="P334" s="835"/>
      <c r="R334" s="845"/>
      <c r="S334" s="845"/>
      <c r="T334" s="845"/>
      <c r="U334" s="845"/>
      <c r="V334" s="845"/>
      <c r="W334" s="845"/>
      <c r="X334" s="845"/>
      <c r="Y334" s="845"/>
    </row>
    <row r="335" spans="1:25" x14ac:dyDescent="0.2">
      <c r="A335" s="1828"/>
      <c r="B335" s="1828"/>
      <c r="C335" s="1828"/>
      <c r="D335" s="1828"/>
      <c r="E335" s="844"/>
      <c r="I335"/>
      <c r="J335"/>
      <c r="K335"/>
      <c r="L335"/>
      <c r="M335"/>
      <c r="N335"/>
      <c r="O335"/>
      <c r="P335" s="835"/>
      <c r="R335" s="845"/>
      <c r="S335" s="845"/>
      <c r="T335" s="845"/>
      <c r="U335" s="845"/>
      <c r="V335" s="845"/>
      <c r="W335" s="845"/>
      <c r="X335" s="845"/>
      <c r="Y335" s="845"/>
    </row>
    <row r="336" spans="1:25" x14ac:dyDescent="0.2">
      <c r="A336" s="1828"/>
      <c r="B336" s="1828"/>
      <c r="C336" s="1828"/>
      <c r="D336" s="1828"/>
      <c r="E336" s="844"/>
      <c r="I336"/>
      <c r="J336"/>
      <c r="K336"/>
      <c r="L336"/>
      <c r="M336"/>
      <c r="N336"/>
      <c r="O336"/>
      <c r="P336" s="835"/>
      <c r="R336" s="845"/>
      <c r="S336" s="845"/>
      <c r="T336" s="845"/>
      <c r="U336" s="845"/>
      <c r="V336" s="845"/>
      <c r="W336" s="845"/>
      <c r="X336" s="845"/>
      <c r="Y336" s="845"/>
    </row>
    <row r="337" spans="1:25" x14ac:dyDescent="0.2">
      <c r="A337" s="1828"/>
      <c r="B337" s="1828"/>
      <c r="C337" s="1828"/>
      <c r="D337" s="1828"/>
      <c r="E337" s="844"/>
      <c r="I337"/>
      <c r="J337"/>
      <c r="K337"/>
      <c r="L337"/>
      <c r="M337"/>
      <c r="N337"/>
      <c r="O337"/>
      <c r="P337" s="835"/>
      <c r="R337" s="845"/>
      <c r="S337" s="845"/>
      <c r="T337" s="845"/>
      <c r="U337" s="845"/>
      <c r="V337" s="845"/>
      <c r="W337" s="845"/>
      <c r="X337" s="845"/>
      <c r="Y337" s="845"/>
    </row>
    <row r="338" spans="1:25" x14ac:dyDescent="0.2">
      <c r="A338" s="1828"/>
      <c r="B338" s="1828"/>
      <c r="C338" s="1828"/>
      <c r="D338" s="1828"/>
      <c r="E338" s="844"/>
      <c r="I338"/>
      <c r="J338"/>
      <c r="K338"/>
      <c r="L338"/>
      <c r="M338"/>
      <c r="N338"/>
      <c r="O338"/>
      <c r="P338" s="835"/>
      <c r="R338" s="845"/>
      <c r="S338" s="845"/>
      <c r="T338" s="845"/>
      <c r="U338" s="845"/>
      <c r="V338" s="845"/>
      <c r="W338" s="845"/>
      <c r="X338" s="845"/>
      <c r="Y338" s="845"/>
    </row>
    <row r="339" spans="1:25" x14ac:dyDescent="0.2">
      <c r="A339" s="1828"/>
      <c r="B339" s="1828"/>
      <c r="C339" s="1828"/>
      <c r="D339" s="1828"/>
      <c r="E339" s="844"/>
      <c r="I339"/>
      <c r="J339"/>
      <c r="K339"/>
      <c r="L339"/>
      <c r="M339"/>
      <c r="N339"/>
      <c r="O339"/>
      <c r="P339" s="835"/>
      <c r="R339" s="845"/>
      <c r="S339" s="845"/>
      <c r="T339" s="845"/>
      <c r="U339" s="845"/>
      <c r="V339" s="845"/>
      <c r="W339" s="845"/>
      <c r="X339" s="845"/>
      <c r="Y339" s="845"/>
    </row>
    <row r="340" spans="1:25" x14ac:dyDescent="0.2">
      <c r="A340" s="1828"/>
      <c r="B340" s="1828"/>
      <c r="C340" s="1828"/>
      <c r="D340" s="1828"/>
      <c r="E340" s="844"/>
      <c r="I340"/>
      <c r="J340"/>
      <c r="K340"/>
      <c r="L340"/>
      <c r="M340"/>
      <c r="N340"/>
      <c r="O340"/>
      <c r="P340" s="835"/>
      <c r="R340" s="845"/>
      <c r="S340" s="845"/>
      <c r="T340" s="845"/>
      <c r="U340" s="845"/>
      <c r="V340" s="845"/>
      <c r="W340" s="845"/>
      <c r="X340" s="845"/>
      <c r="Y340" s="845"/>
    </row>
    <row r="341" spans="1:25" x14ac:dyDescent="0.2">
      <c r="A341" s="1828"/>
      <c r="B341" s="1828"/>
      <c r="C341" s="1828"/>
      <c r="D341" s="1828"/>
      <c r="E341" s="844"/>
      <c r="I341"/>
      <c r="J341"/>
      <c r="K341"/>
      <c r="L341"/>
      <c r="M341"/>
      <c r="N341"/>
      <c r="O341"/>
      <c r="P341" s="835"/>
      <c r="R341" s="845"/>
      <c r="S341" s="845"/>
      <c r="T341" s="845"/>
      <c r="U341" s="845"/>
      <c r="V341" s="845"/>
      <c r="W341" s="845"/>
      <c r="X341" s="845"/>
      <c r="Y341" s="845"/>
    </row>
    <row r="342" spans="1:25" x14ac:dyDescent="0.2">
      <c r="A342" s="1828"/>
      <c r="B342" s="1828"/>
      <c r="C342" s="1828"/>
      <c r="D342" s="1828"/>
      <c r="E342" s="844"/>
      <c r="I342"/>
      <c r="J342"/>
      <c r="K342"/>
      <c r="L342"/>
      <c r="M342"/>
      <c r="N342"/>
      <c r="O342"/>
      <c r="P342" s="835"/>
      <c r="R342" s="845"/>
      <c r="S342" s="845"/>
      <c r="T342" s="845"/>
      <c r="U342" s="845"/>
      <c r="V342" s="845"/>
      <c r="W342" s="845"/>
      <c r="X342" s="845"/>
      <c r="Y342" s="845"/>
    </row>
    <row r="343" spans="1:25" x14ac:dyDescent="0.2">
      <c r="A343" s="1828"/>
      <c r="B343" s="1828"/>
      <c r="C343" s="1828"/>
      <c r="D343" s="1828"/>
      <c r="E343" s="844"/>
      <c r="I343"/>
      <c r="J343"/>
      <c r="K343"/>
      <c r="L343"/>
      <c r="M343"/>
      <c r="N343"/>
      <c r="O343"/>
      <c r="P343" s="835"/>
      <c r="R343" s="845"/>
      <c r="S343" s="845"/>
      <c r="T343" s="845"/>
      <c r="U343" s="845"/>
      <c r="V343" s="845"/>
      <c r="W343" s="845"/>
      <c r="X343" s="845"/>
      <c r="Y343" s="845"/>
    </row>
    <row r="344" spans="1:25" x14ac:dyDescent="0.2">
      <c r="A344" s="1828"/>
      <c r="B344" s="1828"/>
      <c r="C344" s="1828"/>
      <c r="D344" s="1828"/>
      <c r="E344" s="844"/>
      <c r="I344"/>
      <c r="J344"/>
      <c r="K344"/>
      <c r="L344"/>
      <c r="M344"/>
      <c r="N344"/>
      <c r="O344"/>
      <c r="P344" s="835"/>
      <c r="R344" s="845"/>
      <c r="S344" s="845"/>
      <c r="T344" s="845"/>
      <c r="U344" s="845"/>
      <c r="V344" s="845"/>
      <c r="W344" s="845"/>
      <c r="X344" s="845"/>
      <c r="Y344" s="845"/>
    </row>
    <row r="345" spans="1:25" x14ac:dyDescent="0.2">
      <c r="A345" s="1828"/>
      <c r="B345" s="1828"/>
      <c r="C345" s="1828"/>
      <c r="D345" s="1828"/>
      <c r="E345" s="844"/>
      <c r="I345"/>
      <c r="J345"/>
      <c r="K345"/>
      <c r="L345"/>
      <c r="M345"/>
      <c r="N345"/>
      <c r="O345"/>
      <c r="P345" s="835"/>
      <c r="R345" s="845"/>
      <c r="S345" s="845"/>
      <c r="T345" s="845"/>
      <c r="U345" s="845"/>
      <c r="V345" s="845"/>
      <c r="W345" s="845"/>
      <c r="X345" s="845"/>
      <c r="Y345" s="845"/>
    </row>
    <row r="346" spans="1:25" x14ac:dyDescent="0.2">
      <c r="A346" s="1828"/>
      <c r="B346" s="1828"/>
      <c r="C346" s="1828"/>
      <c r="D346" s="1828"/>
      <c r="E346" s="844"/>
      <c r="I346"/>
      <c r="J346"/>
      <c r="K346"/>
      <c r="L346"/>
      <c r="M346"/>
      <c r="N346"/>
      <c r="O346"/>
      <c r="P346" s="835"/>
      <c r="R346" s="845"/>
      <c r="S346" s="845"/>
      <c r="T346" s="845"/>
      <c r="U346" s="845"/>
      <c r="V346" s="845"/>
      <c r="W346" s="845"/>
      <c r="X346" s="845"/>
      <c r="Y346" s="845"/>
    </row>
    <row r="347" spans="1:25" x14ac:dyDescent="0.2">
      <c r="A347" s="1828"/>
      <c r="B347" s="1828"/>
      <c r="C347" s="1828"/>
      <c r="D347" s="1828"/>
      <c r="E347" s="844"/>
      <c r="I347"/>
      <c r="J347"/>
      <c r="K347"/>
      <c r="L347"/>
      <c r="M347"/>
      <c r="N347"/>
      <c r="O347"/>
      <c r="P347" s="835"/>
      <c r="R347" s="845"/>
      <c r="S347" s="845"/>
      <c r="T347" s="845"/>
      <c r="U347" s="845"/>
      <c r="V347" s="845"/>
      <c r="W347" s="845"/>
      <c r="X347" s="845"/>
      <c r="Y347" s="845"/>
    </row>
    <row r="348" spans="1:25" x14ac:dyDescent="0.2">
      <c r="A348" s="1828"/>
      <c r="B348" s="1828"/>
      <c r="C348" s="1828"/>
      <c r="D348" s="1828"/>
      <c r="E348" s="844"/>
      <c r="I348"/>
      <c r="J348"/>
      <c r="K348"/>
      <c r="L348"/>
      <c r="M348"/>
      <c r="N348"/>
      <c r="O348"/>
      <c r="P348" s="835"/>
      <c r="R348" s="845"/>
      <c r="S348" s="845"/>
      <c r="T348" s="845"/>
      <c r="U348" s="845"/>
      <c r="V348" s="845"/>
      <c r="W348" s="845"/>
      <c r="X348" s="845"/>
      <c r="Y348" s="845"/>
    </row>
    <row r="349" spans="1:25" x14ac:dyDescent="0.2">
      <c r="A349" s="1828"/>
      <c r="B349" s="1828"/>
      <c r="C349" s="1828"/>
      <c r="D349" s="1828"/>
      <c r="E349" s="844"/>
      <c r="I349"/>
      <c r="J349"/>
      <c r="K349"/>
      <c r="L349"/>
      <c r="M349"/>
      <c r="N349"/>
      <c r="O349"/>
      <c r="P349" s="835"/>
      <c r="R349" s="845"/>
      <c r="S349" s="845"/>
      <c r="T349" s="845"/>
      <c r="U349" s="845"/>
      <c r="V349" s="845"/>
      <c r="W349" s="845"/>
      <c r="X349" s="845"/>
      <c r="Y349" s="845"/>
    </row>
    <row r="350" spans="1:25" x14ac:dyDescent="0.2">
      <c r="A350" s="1828"/>
      <c r="B350" s="1828"/>
      <c r="C350" s="1828"/>
      <c r="D350" s="1828"/>
      <c r="E350" s="844"/>
      <c r="I350"/>
      <c r="J350"/>
      <c r="K350"/>
      <c r="L350"/>
      <c r="M350"/>
      <c r="N350"/>
      <c r="O350"/>
      <c r="P350" s="835"/>
      <c r="R350" s="845"/>
      <c r="S350" s="845"/>
      <c r="T350" s="845"/>
      <c r="U350" s="845"/>
      <c r="V350" s="845"/>
      <c r="W350" s="845"/>
      <c r="X350" s="845"/>
      <c r="Y350" s="845"/>
    </row>
    <row r="351" spans="1:25" x14ac:dyDescent="0.2">
      <c r="A351" s="1828"/>
      <c r="B351" s="1828"/>
      <c r="C351" s="1828"/>
      <c r="D351" s="1828"/>
      <c r="E351" s="844"/>
      <c r="I351"/>
      <c r="J351"/>
      <c r="K351"/>
      <c r="L351"/>
      <c r="M351"/>
      <c r="N351"/>
      <c r="O351"/>
      <c r="P351" s="835"/>
      <c r="R351" s="845"/>
      <c r="S351" s="845"/>
      <c r="T351" s="845"/>
      <c r="U351" s="845"/>
      <c r="V351" s="845"/>
      <c r="W351" s="845"/>
      <c r="X351" s="845"/>
      <c r="Y351" s="845"/>
    </row>
    <row r="352" spans="1:25" x14ac:dyDescent="0.2">
      <c r="A352" s="1828"/>
      <c r="B352" s="1828"/>
      <c r="C352" s="1828"/>
      <c r="D352" s="1828"/>
      <c r="E352" s="844"/>
      <c r="I352"/>
      <c r="J352"/>
      <c r="K352"/>
      <c r="L352"/>
      <c r="M352"/>
      <c r="N352"/>
      <c r="O352"/>
      <c r="P352" s="835"/>
      <c r="R352" s="845"/>
      <c r="S352" s="845"/>
      <c r="T352" s="845"/>
      <c r="U352" s="845"/>
      <c r="V352" s="845"/>
      <c r="W352" s="845"/>
      <c r="X352" s="845"/>
      <c r="Y352" s="845"/>
    </row>
    <row r="353" spans="1:25" x14ac:dyDescent="0.2">
      <c r="A353" s="1828"/>
      <c r="B353" s="1828"/>
      <c r="C353" s="1828"/>
      <c r="D353" s="1828"/>
      <c r="E353" s="844"/>
      <c r="I353"/>
      <c r="J353"/>
      <c r="K353"/>
      <c r="L353"/>
      <c r="M353"/>
      <c r="N353"/>
      <c r="O353"/>
      <c r="P353" s="835"/>
      <c r="R353" s="845"/>
      <c r="S353" s="845"/>
      <c r="T353" s="845"/>
      <c r="U353" s="845"/>
      <c r="V353" s="845"/>
      <c r="W353" s="845"/>
      <c r="X353" s="845"/>
      <c r="Y353" s="845"/>
    </row>
    <row r="354" spans="1:25" x14ac:dyDescent="0.2">
      <c r="A354" s="1828"/>
      <c r="B354" s="1828"/>
      <c r="C354" s="1828"/>
      <c r="D354" s="1828"/>
      <c r="E354" s="844"/>
      <c r="I354"/>
      <c r="J354"/>
      <c r="K354"/>
      <c r="L354"/>
      <c r="M354"/>
      <c r="N354"/>
      <c r="O354"/>
      <c r="P354" s="835"/>
      <c r="R354" s="845"/>
      <c r="S354" s="845"/>
      <c r="T354" s="845"/>
      <c r="U354" s="845"/>
      <c r="V354" s="845"/>
      <c r="W354" s="845"/>
      <c r="X354" s="845"/>
      <c r="Y354" s="845"/>
    </row>
    <row r="355" spans="1:25" x14ac:dyDescent="0.2">
      <c r="A355" s="1828"/>
      <c r="B355" s="1828"/>
      <c r="C355" s="1828"/>
      <c r="D355" s="1828"/>
      <c r="E355" s="844"/>
      <c r="I355"/>
      <c r="J355"/>
      <c r="K355"/>
      <c r="L355"/>
      <c r="M355"/>
      <c r="N355"/>
      <c r="O355"/>
      <c r="P355" s="835"/>
      <c r="R355" s="845"/>
      <c r="S355" s="845"/>
      <c r="T355" s="845"/>
      <c r="U355" s="845"/>
      <c r="V355" s="845"/>
      <c r="W355" s="845"/>
      <c r="X355" s="845"/>
      <c r="Y355" s="845"/>
    </row>
    <row r="356" spans="1:25" x14ac:dyDescent="0.2">
      <c r="A356" s="1828"/>
      <c r="B356" s="1828"/>
      <c r="C356" s="1828"/>
      <c r="D356" s="1828"/>
      <c r="E356" s="844"/>
      <c r="I356"/>
      <c r="J356"/>
      <c r="K356"/>
      <c r="L356"/>
      <c r="M356"/>
      <c r="N356"/>
      <c r="O356"/>
      <c r="P356" s="835"/>
      <c r="R356" s="845"/>
      <c r="S356" s="845"/>
      <c r="T356" s="845"/>
      <c r="U356" s="845"/>
      <c r="V356" s="845"/>
      <c r="W356" s="845"/>
      <c r="X356" s="845"/>
      <c r="Y356" s="845"/>
    </row>
    <row r="357" spans="1:25" x14ac:dyDescent="0.2">
      <c r="A357" s="1828"/>
      <c r="B357" s="1828"/>
      <c r="C357" s="1828"/>
      <c r="D357" s="1828"/>
      <c r="E357" s="844"/>
      <c r="I357"/>
      <c r="J357"/>
      <c r="K357"/>
      <c r="L357"/>
      <c r="M357"/>
      <c r="N357"/>
      <c r="O357"/>
      <c r="P357" s="835"/>
      <c r="R357" s="845"/>
      <c r="S357" s="845"/>
      <c r="T357" s="845"/>
      <c r="U357" s="845"/>
      <c r="V357" s="845"/>
      <c r="W357" s="845"/>
      <c r="X357" s="845"/>
      <c r="Y357" s="845"/>
    </row>
    <row r="358" spans="1:25" x14ac:dyDescent="0.2">
      <c r="A358" s="1828"/>
      <c r="B358" s="1828"/>
      <c r="C358" s="1828"/>
      <c r="D358" s="1828"/>
      <c r="E358" s="844"/>
      <c r="I358"/>
      <c r="J358"/>
      <c r="K358"/>
      <c r="L358"/>
      <c r="M358"/>
      <c r="N358"/>
      <c r="O358"/>
      <c r="P358" s="835"/>
      <c r="R358" s="845"/>
      <c r="S358" s="845"/>
      <c r="T358" s="845"/>
      <c r="U358" s="845"/>
      <c r="V358" s="845"/>
      <c r="W358" s="845"/>
      <c r="X358" s="845"/>
      <c r="Y358" s="845"/>
    </row>
    <row r="359" spans="1:25" x14ac:dyDescent="0.2">
      <c r="A359" s="1828"/>
      <c r="B359" s="1828"/>
      <c r="C359" s="1828"/>
      <c r="D359" s="1828"/>
      <c r="E359" s="844"/>
      <c r="I359"/>
      <c r="J359"/>
      <c r="K359"/>
      <c r="L359"/>
      <c r="M359"/>
      <c r="N359"/>
      <c r="O359"/>
      <c r="P359" s="835"/>
      <c r="R359" s="845"/>
      <c r="S359" s="845"/>
      <c r="T359" s="845"/>
      <c r="U359" s="845"/>
      <c r="V359" s="845"/>
      <c r="W359" s="845"/>
      <c r="X359" s="845"/>
      <c r="Y359" s="845"/>
    </row>
    <row r="360" spans="1:25" x14ac:dyDescent="0.2">
      <c r="A360" s="1828"/>
      <c r="B360" s="1828"/>
      <c r="C360" s="1828"/>
      <c r="D360" s="1828"/>
      <c r="E360" s="844"/>
      <c r="R360" s="845"/>
      <c r="S360" s="845"/>
      <c r="T360" s="845"/>
      <c r="U360" s="845"/>
      <c r="V360" s="845"/>
      <c r="W360" s="845"/>
      <c r="X360" s="845"/>
      <c r="Y360" s="845"/>
    </row>
    <row r="361" spans="1:25" x14ac:dyDescent="0.2">
      <c r="A361" s="1828"/>
      <c r="B361" s="1828"/>
      <c r="C361" s="1828"/>
      <c r="D361" s="1828"/>
      <c r="E361" s="844"/>
      <c r="R361" s="845"/>
      <c r="S361" s="845"/>
      <c r="T361" s="845"/>
      <c r="U361" s="845"/>
      <c r="V361" s="845"/>
      <c r="W361" s="845"/>
      <c r="X361" s="845"/>
      <c r="Y361" s="845"/>
    </row>
    <row r="362" spans="1:25" x14ac:dyDescent="0.2">
      <c r="A362" s="1828"/>
      <c r="B362" s="1828"/>
      <c r="C362" s="1828"/>
      <c r="D362" s="1828"/>
      <c r="E362" s="844"/>
      <c r="R362" s="845"/>
      <c r="S362" s="845"/>
      <c r="T362" s="845"/>
      <c r="U362" s="845"/>
      <c r="V362" s="845"/>
      <c r="W362" s="845"/>
      <c r="X362" s="845"/>
      <c r="Y362" s="845"/>
    </row>
    <row r="363" spans="1:25" x14ac:dyDescent="0.2">
      <c r="A363" s="1828"/>
      <c r="B363" s="1828"/>
      <c r="C363" s="1828"/>
      <c r="D363" s="1828"/>
      <c r="E363" s="844"/>
      <c r="R363" s="845"/>
      <c r="S363" s="845"/>
      <c r="T363" s="845"/>
      <c r="U363" s="845"/>
      <c r="V363" s="845"/>
      <c r="W363" s="845"/>
      <c r="X363" s="845"/>
      <c r="Y363" s="845"/>
    </row>
    <row r="364" spans="1:25" x14ac:dyDescent="0.2">
      <c r="A364" s="1828"/>
      <c r="B364" s="1828"/>
      <c r="C364" s="1828"/>
      <c r="D364" s="1828"/>
      <c r="E364" s="844"/>
      <c r="R364" s="845"/>
      <c r="S364" s="845"/>
      <c r="T364" s="845"/>
      <c r="U364" s="845"/>
      <c r="V364" s="845"/>
      <c r="W364" s="845"/>
      <c r="X364" s="845"/>
      <c r="Y364" s="845"/>
    </row>
    <row r="365" spans="1:25" x14ac:dyDescent="0.2">
      <c r="A365" s="1828"/>
      <c r="B365" s="1828"/>
      <c r="C365" s="1828"/>
      <c r="D365" s="1828"/>
      <c r="E365" s="844"/>
      <c r="R365" s="845"/>
      <c r="S365" s="845"/>
      <c r="T365" s="845"/>
      <c r="U365" s="845"/>
      <c r="V365" s="845"/>
      <c r="W365" s="845"/>
      <c r="X365" s="845"/>
      <c r="Y365" s="845"/>
    </row>
    <row r="366" spans="1:25" x14ac:dyDescent="0.2">
      <c r="A366" s="1828"/>
      <c r="B366" s="1828"/>
      <c r="C366" s="1828"/>
      <c r="D366" s="1828"/>
      <c r="E366" s="844"/>
      <c r="R366" s="845"/>
      <c r="S366" s="845"/>
      <c r="T366" s="845"/>
      <c r="U366" s="845"/>
      <c r="V366" s="845"/>
      <c r="W366" s="845"/>
      <c r="X366" s="845"/>
      <c r="Y366" s="845"/>
    </row>
    <row r="367" spans="1:25" x14ac:dyDescent="0.2">
      <c r="A367" s="1828"/>
      <c r="B367" s="1828"/>
      <c r="C367" s="1828"/>
      <c r="D367" s="1828"/>
      <c r="E367" s="844"/>
      <c r="R367" s="845"/>
      <c r="S367" s="845"/>
      <c r="T367" s="845"/>
      <c r="U367" s="845"/>
      <c r="V367" s="845"/>
      <c r="W367" s="845"/>
      <c r="X367" s="845"/>
      <c r="Y367" s="845"/>
    </row>
    <row r="368" spans="1:25" x14ac:dyDescent="0.2">
      <c r="A368" s="1828"/>
      <c r="B368" s="1828"/>
      <c r="C368" s="1828"/>
      <c r="D368" s="1828"/>
      <c r="E368" s="844"/>
      <c r="R368" s="845"/>
      <c r="S368" s="845"/>
      <c r="T368" s="845"/>
      <c r="U368" s="845"/>
      <c r="V368" s="845"/>
      <c r="W368" s="845"/>
      <c r="X368" s="845"/>
      <c r="Y368" s="845"/>
    </row>
    <row r="369" spans="1:25" x14ac:dyDescent="0.2">
      <c r="A369" s="1828"/>
      <c r="B369" s="1828"/>
      <c r="C369" s="1828"/>
      <c r="D369" s="1828"/>
      <c r="E369" s="844"/>
      <c r="R369" s="845"/>
      <c r="S369" s="845"/>
      <c r="T369" s="845"/>
      <c r="U369" s="845"/>
      <c r="V369" s="845"/>
      <c r="W369" s="845"/>
      <c r="X369" s="845"/>
      <c r="Y369" s="845"/>
    </row>
    <row r="370" spans="1:25" x14ac:dyDescent="0.2">
      <c r="A370" s="1828"/>
      <c r="B370" s="1828"/>
      <c r="C370" s="1828"/>
      <c r="D370" s="1828"/>
      <c r="E370" s="844"/>
      <c r="R370" s="845"/>
      <c r="S370" s="845"/>
      <c r="T370" s="845"/>
      <c r="U370" s="845"/>
      <c r="V370" s="845"/>
      <c r="W370" s="845"/>
      <c r="X370" s="845"/>
      <c r="Y370" s="845"/>
    </row>
    <row r="371" spans="1:25" x14ac:dyDescent="0.2">
      <c r="A371" s="1828"/>
      <c r="B371" s="1828"/>
      <c r="C371" s="1828"/>
      <c r="D371" s="1828"/>
      <c r="E371" s="844"/>
      <c r="R371" s="845"/>
      <c r="S371" s="845"/>
      <c r="T371" s="845"/>
      <c r="U371" s="845"/>
      <c r="V371" s="845"/>
      <c r="W371" s="845"/>
      <c r="X371" s="845"/>
      <c r="Y371" s="845"/>
    </row>
    <row r="372" spans="1:25" x14ac:dyDescent="0.2">
      <c r="A372" s="1828"/>
      <c r="B372" s="1828"/>
      <c r="C372" s="1828"/>
      <c r="D372" s="1828"/>
      <c r="E372" s="844"/>
      <c r="R372" s="845"/>
      <c r="S372" s="845"/>
      <c r="T372" s="845"/>
      <c r="U372" s="845"/>
      <c r="V372" s="845"/>
      <c r="W372" s="845"/>
      <c r="X372" s="845"/>
      <c r="Y372" s="845"/>
    </row>
    <row r="373" spans="1:25" x14ac:dyDescent="0.2">
      <c r="A373" s="1828"/>
      <c r="B373" s="1828"/>
      <c r="C373" s="1828"/>
      <c r="D373" s="1828"/>
      <c r="E373" s="844"/>
      <c r="R373" s="845"/>
      <c r="S373" s="845"/>
      <c r="T373" s="845"/>
      <c r="U373" s="845"/>
      <c r="V373" s="845"/>
      <c r="W373" s="845"/>
      <c r="X373" s="845"/>
      <c r="Y373" s="845"/>
    </row>
    <row r="374" spans="1:25" x14ac:dyDescent="0.2">
      <c r="A374" s="1828"/>
      <c r="B374" s="1828"/>
      <c r="C374" s="1828"/>
      <c r="D374" s="1828"/>
      <c r="E374" s="844"/>
      <c r="R374" s="845"/>
      <c r="S374" s="845"/>
      <c r="T374" s="845"/>
      <c r="U374" s="845"/>
      <c r="V374" s="845"/>
      <c r="W374" s="845"/>
      <c r="X374" s="845"/>
      <c r="Y374" s="845"/>
    </row>
    <row r="375" spans="1:25" x14ac:dyDescent="0.2">
      <c r="A375" s="1828"/>
      <c r="B375" s="1828"/>
      <c r="C375" s="1828"/>
      <c r="D375" s="1828"/>
      <c r="E375" s="844"/>
      <c r="R375" s="845"/>
      <c r="S375" s="845"/>
      <c r="T375" s="845"/>
      <c r="U375" s="845"/>
      <c r="V375" s="845"/>
      <c r="W375" s="845"/>
      <c r="X375" s="845"/>
      <c r="Y375" s="845"/>
    </row>
    <row r="376" spans="1:25" x14ac:dyDescent="0.2">
      <c r="A376" s="1828"/>
      <c r="B376" s="1828"/>
      <c r="C376" s="1828"/>
      <c r="D376" s="1828"/>
      <c r="E376" s="844"/>
      <c r="R376" s="845"/>
      <c r="S376" s="845"/>
      <c r="T376" s="845"/>
      <c r="U376" s="845"/>
      <c r="V376" s="845"/>
      <c r="W376" s="845"/>
      <c r="X376" s="845"/>
      <c r="Y376" s="845"/>
    </row>
    <row r="377" spans="1:25" x14ac:dyDescent="0.2">
      <c r="A377" s="1828"/>
      <c r="B377" s="1828"/>
      <c r="C377" s="1828"/>
      <c r="D377" s="1828"/>
      <c r="E377" s="844"/>
      <c r="R377" s="845"/>
      <c r="S377" s="845"/>
      <c r="T377" s="845"/>
      <c r="U377" s="845"/>
      <c r="V377" s="845"/>
      <c r="W377" s="845"/>
      <c r="X377" s="845"/>
      <c r="Y377" s="845"/>
    </row>
    <row r="378" spans="1:25" x14ac:dyDescent="0.2">
      <c r="A378" s="1828"/>
      <c r="B378" s="1828"/>
      <c r="C378" s="1828"/>
      <c r="D378" s="1828"/>
      <c r="E378" s="844"/>
      <c r="R378" s="845"/>
      <c r="S378" s="845"/>
      <c r="T378" s="845"/>
      <c r="U378" s="845"/>
      <c r="V378" s="845"/>
      <c r="W378" s="845"/>
      <c r="X378" s="845"/>
      <c r="Y378" s="845"/>
    </row>
    <row r="379" spans="1:25" x14ac:dyDescent="0.2">
      <c r="A379" s="1828"/>
      <c r="B379" s="1828"/>
      <c r="C379" s="1828"/>
      <c r="D379" s="1828"/>
      <c r="E379" s="844"/>
      <c r="R379" s="845"/>
      <c r="S379" s="845"/>
      <c r="T379" s="845"/>
      <c r="U379" s="845"/>
      <c r="V379" s="845"/>
      <c r="W379" s="845"/>
      <c r="X379" s="845"/>
      <c r="Y379" s="845"/>
    </row>
    <row r="380" spans="1:25" x14ac:dyDescent="0.2">
      <c r="A380" s="1828"/>
      <c r="B380" s="1828"/>
      <c r="C380" s="1828"/>
      <c r="D380" s="1828"/>
      <c r="E380" s="844"/>
      <c r="R380" s="845"/>
      <c r="S380" s="845"/>
      <c r="T380" s="845"/>
      <c r="U380" s="845"/>
      <c r="V380" s="845"/>
      <c r="W380" s="845"/>
      <c r="X380" s="845"/>
      <c r="Y380" s="845"/>
    </row>
    <row r="381" spans="1:25" x14ac:dyDescent="0.2">
      <c r="A381" s="1828"/>
      <c r="B381" s="1828"/>
      <c r="C381" s="1828"/>
      <c r="D381" s="1828"/>
      <c r="E381" s="844"/>
      <c r="R381" s="845"/>
      <c r="S381" s="845"/>
      <c r="T381" s="845"/>
      <c r="U381" s="845"/>
      <c r="V381" s="845"/>
      <c r="W381" s="845"/>
      <c r="X381" s="845"/>
      <c r="Y381" s="845"/>
    </row>
    <row r="382" spans="1:25" x14ac:dyDescent="0.2">
      <c r="A382" s="1828"/>
      <c r="B382" s="1828"/>
      <c r="C382" s="1828"/>
      <c r="D382" s="1828"/>
      <c r="E382" s="844"/>
      <c r="R382" s="845"/>
      <c r="S382" s="845"/>
      <c r="T382" s="845"/>
      <c r="U382" s="845"/>
      <c r="V382" s="845"/>
      <c r="W382" s="845"/>
      <c r="X382" s="845"/>
      <c r="Y382" s="845"/>
    </row>
    <row r="383" spans="1:25" x14ac:dyDescent="0.2">
      <c r="A383" s="1828"/>
      <c r="B383" s="1828"/>
      <c r="C383" s="1828"/>
      <c r="D383" s="1828"/>
      <c r="E383" s="844"/>
      <c r="R383" s="845"/>
      <c r="S383" s="845"/>
      <c r="T383" s="845"/>
      <c r="U383" s="845"/>
      <c r="V383" s="845"/>
      <c r="W383" s="845"/>
      <c r="X383" s="845"/>
      <c r="Y383" s="845"/>
    </row>
    <row r="384" spans="1:25" x14ac:dyDescent="0.2">
      <c r="A384" s="1828"/>
      <c r="B384" s="1828"/>
      <c r="C384" s="1828"/>
      <c r="D384" s="1828"/>
      <c r="E384" s="844"/>
      <c r="R384" s="845"/>
      <c r="S384" s="845"/>
      <c r="T384" s="845"/>
      <c r="U384" s="845"/>
      <c r="V384" s="845"/>
      <c r="W384" s="845"/>
      <c r="X384" s="845"/>
      <c r="Y384" s="845"/>
    </row>
    <row r="385" spans="1:25" x14ac:dyDescent="0.2">
      <c r="A385" s="1828"/>
      <c r="B385" s="1828"/>
      <c r="C385" s="1828"/>
      <c r="D385" s="1828"/>
      <c r="E385" s="844"/>
      <c r="R385" s="845"/>
      <c r="S385" s="845"/>
      <c r="T385" s="845"/>
      <c r="U385" s="845"/>
      <c r="V385" s="845"/>
      <c r="W385" s="845"/>
      <c r="X385" s="845"/>
      <c r="Y385" s="845"/>
    </row>
    <row r="386" spans="1:25" x14ac:dyDescent="0.2">
      <c r="A386" s="1828"/>
      <c r="B386" s="1828"/>
      <c r="C386" s="1828"/>
      <c r="D386" s="1828"/>
      <c r="E386" s="844"/>
      <c r="R386" s="845"/>
      <c r="S386" s="845"/>
      <c r="T386" s="845"/>
      <c r="U386" s="845"/>
      <c r="V386" s="845"/>
      <c r="W386" s="845"/>
      <c r="X386" s="845"/>
      <c r="Y386" s="845"/>
    </row>
    <row r="387" spans="1:25" x14ac:dyDescent="0.2">
      <c r="A387" s="1828"/>
      <c r="B387" s="1828"/>
      <c r="C387" s="1828"/>
      <c r="D387" s="1828"/>
      <c r="E387" s="844"/>
      <c r="R387" s="845"/>
      <c r="S387" s="845"/>
      <c r="T387" s="845"/>
      <c r="U387" s="845"/>
      <c r="V387" s="845"/>
      <c r="W387" s="845"/>
      <c r="X387" s="845"/>
      <c r="Y387" s="845"/>
    </row>
    <row r="388" spans="1:25" x14ac:dyDescent="0.2">
      <c r="A388" s="1828"/>
      <c r="B388" s="1828"/>
      <c r="C388" s="1828"/>
      <c r="D388" s="1828"/>
      <c r="E388" s="844"/>
      <c r="R388" s="845"/>
      <c r="S388" s="845"/>
      <c r="T388" s="845"/>
      <c r="U388" s="845"/>
      <c r="V388" s="845"/>
      <c r="W388" s="845"/>
      <c r="X388" s="845"/>
      <c r="Y388" s="845"/>
    </row>
    <row r="389" spans="1:25" x14ac:dyDescent="0.2">
      <c r="A389" s="1828"/>
      <c r="B389" s="1828"/>
      <c r="C389" s="1828"/>
      <c r="D389" s="1828"/>
      <c r="E389" s="844"/>
      <c r="R389" s="845"/>
      <c r="S389" s="845"/>
      <c r="T389" s="845"/>
      <c r="U389" s="845"/>
      <c r="V389" s="845"/>
      <c r="W389" s="845"/>
      <c r="X389" s="845"/>
      <c r="Y389" s="845"/>
    </row>
    <row r="390" spans="1:25" x14ac:dyDescent="0.2">
      <c r="A390" s="1828"/>
      <c r="B390" s="1828"/>
      <c r="C390" s="1828"/>
      <c r="D390" s="1828"/>
      <c r="E390" s="844"/>
      <c r="R390" s="845"/>
      <c r="S390" s="845"/>
      <c r="T390" s="845"/>
      <c r="U390" s="845"/>
      <c r="V390" s="845"/>
      <c r="W390" s="845"/>
      <c r="X390" s="845"/>
      <c r="Y390" s="845"/>
    </row>
    <row r="391" spans="1:25" x14ac:dyDescent="0.2">
      <c r="A391" s="1828"/>
      <c r="B391" s="1828"/>
      <c r="C391" s="1828"/>
      <c r="D391" s="1828"/>
      <c r="E391" s="844"/>
      <c r="R391" s="845"/>
      <c r="S391" s="845"/>
      <c r="T391" s="845"/>
      <c r="U391" s="845"/>
      <c r="V391" s="845"/>
      <c r="W391" s="845"/>
      <c r="X391" s="845"/>
      <c r="Y391" s="845"/>
    </row>
    <row r="392" spans="1:25" x14ac:dyDescent="0.2">
      <c r="A392" s="1828"/>
      <c r="B392" s="1828"/>
      <c r="C392" s="1828"/>
      <c r="D392" s="1828"/>
      <c r="E392" s="844"/>
      <c r="R392" s="845"/>
      <c r="S392" s="845"/>
      <c r="T392" s="845"/>
      <c r="U392" s="845"/>
      <c r="V392" s="845"/>
      <c r="W392" s="845"/>
      <c r="X392" s="845"/>
      <c r="Y392" s="845"/>
    </row>
    <row r="393" spans="1:25" x14ac:dyDescent="0.2">
      <c r="A393" s="1828"/>
      <c r="B393" s="1828"/>
      <c r="C393" s="1828"/>
      <c r="D393" s="1828"/>
      <c r="E393" s="844"/>
      <c r="R393" s="845"/>
      <c r="S393" s="845"/>
      <c r="T393" s="845"/>
      <c r="U393" s="845"/>
      <c r="V393" s="845"/>
      <c r="W393" s="845"/>
      <c r="X393" s="845"/>
      <c r="Y393" s="845"/>
    </row>
    <row r="394" spans="1:25" x14ac:dyDescent="0.2">
      <c r="A394" s="1828"/>
      <c r="B394" s="1828"/>
      <c r="C394" s="1828"/>
      <c r="D394" s="1828"/>
      <c r="E394" s="844"/>
      <c r="R394" s="845"/>
      <c r="S394" s="845"/>
      <c r="T394" s="845"/>
      <c r="U394" s="845"/>
      <c r="V394" s="845"/>
      <c r="W394" s="845"/>
      <c r="X394" s="845"/>
      <c r="Y394" s="845"/>
    </row>
    <row r="395" spans="1:25" x14ac:dyDescent="0.2">
      <c r="A395" s="1828"/>
      <c r="B395" s="1828"/>
      <c r="C395" s="1828"/>
      <c r="D395" s="1828"/>
      <c r="E395" s="844"/>
      <c r="R395" s="845"/>
      <c r="S395" s="845"/>
      <c r="T395" s="845"/>
      <c r="U395" s="845"/>
      <c r="V395" s="845"/>
      <c r="W395" s="845"/>
      <c r="X395" s="845"/>
      <c r="Y395" s="845"/>
    </row>
    <row r="396" spans="1:25" x14ac:dyDescent="0.2">
      <c r="A396" s="1828"/>
      <c r="B396" s="1828"/>
      <c r="C396" s="1828"/>
      <c r="D396" s="1828"/>
      <c r="E396" s="844"/>
      <c r="R396" s="845"/>
      <c r="S396" s="845"/>
      <c r="T396" s="845"/>
      <c r="U396" s="845"/>
      <c r="V396" s="845"/>
      <c r="W396" s="845"/>
      <c r="X396" s="845"/>
      <c r="Y396" s="845"/>
    </row>
    <row r="397" spans="1:25" x14ac:dyDescent="0.2">
      <c r="A397" s="1828"/>
      <c r="B397" s="1828"/>
      <c r="C397" s="1828"/>
      <c r="D397" s="1828"/>
      <c r="E397" s="844"/>
      <c r="R397" s="845"/>
      <c r="S397" s="845"/>
      <c r="T397" s="845"/>
      <c r="U397" s="845"/>
      <c r="V397" s="845"/>
      <c r="W397" s="845"/>
      <c r="X397" s="845"/>
      <c r="Y397" s="845"/>
    </row>
    <row r="398" spans="1:25" x14ac:dyDescent="0.2">
      <c r="A398" s="1828"/>
      <c r="B398" s="1828"/>
      <c r="C398" s="1828"/>
      <c r="D398" s="1828"/>
      <c r="E398" s="844"/>
      <c r="R398" s="845"/>
      <c r="S398" s="845"/>
      <c r="T398" s="845"/>
      <c r="U398" s="845"/>
      <c r="V398" s="845"/>
      <c r="W398" s="845"/>
      <c r="X398" s="845"/>
      <c r="Y398" s="845"/>
    </row>
    <row r="399" spans="1:25" x14ac:dyDescent="0.2">
      <c r="A399" s="1828"/>
      <c r="B399" s="1828"/>
      <c r="C399" s="1828"/>
      <c r="D399" s="1828"/>
      <c r="E399" s="844"/>
      <c r="R399" s="845"/>
      <c r="S399" s="845"/>
      <c r="T399" s="845"/>
      <c r="U399" s="845"/>
      <c r="V399" s="845"/>
      <c r="W399" s="845"/>
      <c r="X399" s="845"/>
      <c r="Y399" s="845"/>
    </row>
    <row r="400" spans="1:25" x14ac:dyDescent="0.2">
      <c r="A400" s="1828"/>
      <c r="B400" s="1828"/>
      <c r="C400" s="1828"/>
      <c r="D400" s="1828"/>
      <c r="E400" s="844"/>
      <c r="R400" s="845"/>
      <c r="S400" s="845"/>
      <c r="T400" s="845"/>
      <c r="U400" s="845"/>
      <c r="V400" s="845"/>
      <c r="W400" s="845"/>
      <c r="X400" s="845"/>
      <c r="Y400" s="845"/>
    </row>
    <row r="401" spans="1:25" x14ac:dyDescent="0.2">
      <c r="A401" s="1828"/>
      <c r="B401" s="1828"/>
      <c r="C401" s="1828"/>
      <c r="D401" s="1828"/>
      <c r="E401" s="844"/>
      <c r="R401" s="845"/>
      <c r="S401" s="845"/>
      <c r="T401" s="845"/>
      <c r="U401" s="845"/>
      <c r="V401" s="845"/>
      <c r="W401" s="845"/>
      <c r="X401" s="845"/>
      <c r="Y401" s="845"/>
    </row>
    <row r="402" spans="1:25" x14ac:dyDescent="0.2">
      <c r="A402" s="1828"/>
      <c r="B402" s="1828"/>
      <c r="C402" s="1828"/>
      <c r="D402" s="1828"/>
      <c r="E402" s="844"/>
      <c r="R402" s="845"/>
      <c r="S402" s="845"/>
      <c r="T402" s="845"/>
      <c r="U402" s="845"/>
      <c r="V402" s="845"/>
      <c r="W402" s="845"/>
      <c r="X402" s="845"/>
      <c r="Y402" s="845"/>
    </row>
    <row r="403" spans="1:25" x14ac:dyDescent="0.2">
      <c r="A403" s="1828"/>
      <c r="B403" s="1828"/>
      <c r="C403" s="1828"/>
      <c r="D403" s="1828"/>
      <c r="E403" s="844"/>
      <c r="R403" s="845"/>
      <c r="S403" s="845"/>
      <c r="T403" s="845"/>
      <c r="U403" s="845"/>
      <c r="V403" s="845"/>
      <c r="W403" s="845"/>
      <c r="X403" s="845"/>
      <c r="Y403" s="845"/>
    </row>
    <row r="404" spans="1:25" x14ac:dyDescent="0.2">
      <c r="A404" s="1828"/>
      <c r="B404" s="1828"/>
      <c r="C404" s="1828"/>
      <c r="D404" s="1828"/>
      <c r="E404" s="844"/>
      <c r="R404" s="845"/>
      <c r="S404" s="845"/>
      <c r="T404" s="845"/>
      <c r="U404" s="845"/>
      <c r="V404" s="845"/>
      <c r="W404" s="845"/>
      <c r="X404" s="845"/>
      <c r="Y404" s="845"/>
    </row>
    <row r="405" spans="1:25" x14ac:dyDescent="0.2">
      <c r="A405" s="1828"/>
      <c r="B405" s="1828"/>
      <c r="C405" s="1828"/>
      <c r="D405" s="1828"/>
      <c r="E405" s="844"/>
      <c r="R405" s="845"/>
      <c r="S405" s="845"/>
      <c r="T405" s="845"/>
      <c r="U405" s="845"/>
      <c r="V405" s="845"/>
      <c r="W405" s="845"/>
      <c r="X405" s="845"/>
      <c r="Y405" s="845"/>
    </row>
    <row r="406" spans="1:25" x14ac:dyDescent="0.2">
      <c r="A406" s="1828"/>
      <c r="B406" s="1828"/>
      <c r="C406" s="1828"/>
      <c r="D406" s="1828"/>
      <c r="E406" s="844"/>
      <c r="R406" s="845"/>
      <c r="S406" s="845"/>
      <c r="T406" s="845"/>
      <c r="U406" s="845"/>
      <c r="V406" s="845"/>
      <c r="W406" s="845"/>
      <c r="X406" s="845"/>
      <c r="Y406" s="845"/>
    </row>
    <row r="407" spans="1:25" x14ac:dyDescent="0.2">
      <c r="A407" s="1828"/>
      <c r="B407" s="1828"/>
      <c r="C407" s="1828"/>
      <c r="D407" s="1828"/>
      <c r="E407" s="844"/>
      <c r="R407" s="845"/>
      <c r="S407" s="845"/>
      <c r="T407" s="845"/>
      <c r="U407" s="845"/>
      <c r="V407" s="845"/>
      <c r="W407" s="845"/>
      <c r="X407" s="845"/>
      <c r="Y407" s="845"/>
    </row>
    <row r="408" spans="1:25" x14ac:dyDescent="0.2">
      <c r="A408" s="1828"/>
      <c r="B408" s="1828"/>
      <c r="C408" s="1828"/>
      <c r="D408" s="1828"/>
      <c r="E408" s="844"/>
      <c r="R408" s="845"/>
      <c r="S408" s="845"/>
      <c r="T408" s="845"/>
      <c r="U408" s="845"/>
      <c r="V408" s="845"/>
      <c r="W408" s="845"/>
      <c r="X408" s="845"/>
      <c r="Y408" s="845"/>
    </row>
    <row r="409" spans="1:25" x14ac:dyDescent="0.2">
      <c r="A409" s="1828"/>
      <c r="B409" s="1828"/>
      <c r="C409" s="1828"/>
      <c r="D409" s="1828"/>
      <c r="E409" s="844"/>
      <c r="R409" s="845"/>
      <c r="S409" s="845"/>
      <c r="T409" s="845"/>
      <c r="U409" s="845"/>
      <c r="V409" s="845"/>
      <c r="W409" s="845"/>
      <c r="X409" s="845"/>
      <c r="Y409" s="845"/>
    </row>
    <row r="410" spans="1:25" x14ac:dyDescent="0.2">
      <c r="A410" s="1828"/>
      <c r="B410" s="1828"/>
      <c r="C410" s="1828"/>
      <c r="D410" s="1828"/>
      <c r="E410" s="844"/>
      <c r="R410" s="845"/>
      <c r="S410" s="845"/>
      <c r="T410" s="845"/>
      <c r="U410" s="845"/>
      <c r="V410" s="845"/>
      <c r="W410" s="845"/>
      <c r="X410" s="845"/>
      <c r="Y410" s="845"/>
    </row>
    <row r="411" spans="1:25" x14ac:dyDescent="0.2">
      <c r="A411" s="1828"/>
      <c r="B411" s="1828"/>
      <c r="C411" s="1828"/>
      <c r="D411" s="1828"/>
      <c r="E411" s="844"/>
      <c r="R411" s="845"/>
      <c r="S411" s="845"/>
      <c r="T411" s="845"/>
      <c r="U411" s="845"/>
      <c r="V411" s="845"/>
      <c r="W411" s="845"/>
      <c r="X411" s="845"/>
      <c r="Y411" s="845"/>
    </row>
    <row r="412" spans="1:25" x14ac:dyDescent="0.2">
      <c r="A412" s="1828"/>
      <c r="B412" s="1828"/>
      <c r="C412" s="1828"/>
      <c r="D412" s="1828"/>
      <c r="E412" s="844"/>
      <c r="R412" s="845"/>
      <c r="S412" s="845"/>
      <c r="T412" s="845"/>
      <c r="U412" s="845"/>
      <c r="V412" s="845"/>
      <c r="W412" s="845"/>
      <c r="X412" s="845"/>
      <c r="Y412" s="845"/>
    </row>
    <row r="413" spans="1:25" x14ac:dyDescent="0.2">
      <c r="A413" s="1828"/>
      <c r="B413" s="1828"/>
      <c r="C413" s="1828"/>
      <c r="D413" s="1828"/>
      <c r="E413" s="844"/>
      <c r="R413" s="845"/>
      <c r="S413" s="845"/>
      <c r="T413" s="845"/>
      <c r="U413" s="845"/>
      <c r="V413" s="845"/>
      <c r="W413" s="845"/>
      <c r="X413" s="845"/>
      <c r="Y413" s="845"/>
    </row>
    <row r="414" spans="1:25" x14ac:dyDescent="0.2">
      <c r="A414" s="1828"/>
      <c r="B414" s="1828"/>
      <c r="C414" s="1828"/>
      <c r="D414" s="1828"/>
      <c r="E414" s="844"/>
      <c r="R414" s="845"/>
      <c r="S414" s="845"/>
      <c r="T414" s="845"/>
      <c r="U414" s="845"/>
      <c r="V414" s="845"/>
      <c r="W414" s="845"/>
      <c r="X414" s="845"/>
      <c r="Y414" s="845"/>
    </row>
    <row r="415" spans="1:25" x14ac:dyDescent="0.2">
      <c r="A415" s="1828"/>
      <c r="B415" s="1828"/>
      <c r="C415" s="1828"/>
      <c r="D415" s="1828"/>
      <c r="E415" s="844"/>
      <c r="R415" s="845"/>
      <c r="S415" s="845"/>
      <c r="T415" s="845"/>
      <c r="U415" s="845"/>
      <c r="V415" s="845"/>
      <c r="W415" s="845"/>
      <c r="X415" s="845"/>
      <c r="Y415" s="845"/>
    </row>
    <row r="416" spans="1:25" x14ac:dyDescent="0.2">
      <c r="A416" s="1828"/>
      <c r="B416" s="1828"/>
      <c r="C416" s="1828"/>
      <c r="D416" s="1828"/>
      <c r="E416" s="844"/>
      <c r="R416" s="845"/>
      <c r="S416" s="845"/>
      <c r="T416" s="845"/>
      <c r="U416" s="845"/>
      <c r="V416" s="845"/>
      <c r="W416" s="845"/>
      <c r="X416" s="845"/>
      <c r="Y416" s="845"/>
    </row>
    <row r="417" spans="1:25" x14ac:dyDescent="0.2">
      <c r="A417" s="1828"/>
      <c r="B417" s="1828"/>
      <c r="C417" s="1828"/>
      <c r="D417" s="1828"/>
      <c r="E417" s="844"/>
      <c r="R417" s="845"/>
      <c r="S417" s="845"/>
      <c r="T417" s="845"/>
      <c r="U417" s="845"/>
      <c r="V417" s="845"/>
      <c r="W417" s="845"/>
      <c r="X417" s="845"/>
      <c r="Y417" s="845"/>
    </row>
    <row r="418" spans="1:25" x14ac:dyDescent="0.2">
      <c r="A418" s="1828"/>
      <c r="B418" s="1828"/>
      <c r="C418" s="1828"/>
      <c r="D418" s="1828"/>
      <c r="E418" s="844"/>
      <c r="R418" s="845"/>
      <c r="S418" s="845"/>
      <c r="T418" s="845"/>
      <c r="U418" s="845"/>
      <c r="V418" s="845"/>
      <c r="W418" s="845"/>
      <c r="X418" s="845"/>
      <c r="Y418" s="845"/>
    </row>
    <row r="419" spans="1:25" x14ac:dyDescent="0.2">
      <c r="A419" s="1828"/>
      <c r="B419" s="1828"/>
      <c r="C419" s="1828"/>
      <c r="D419" s="1828"/>
      <c r="E419" s="844"/>
      <c r="R419" s="845"/>
      <c r="S419" s="845"/>
      <c r="T419" s="845"/>
      <c r="U419" s="845"/>
      <c r="V419" s="845"/>
      <c r="W419" s="845"/>
      <c r="X419" s="845"/>
      <c r="Y419" s="845"/>
    </row>
    <row r="420" spans="1:25" x14ac:dyDescent="0.2">
      <c r="A420" s="1828"/>
      <c r="B420" s="1828"/>
      <c r="C420" s="1828"/>
      <c r="D420" s="1828"/>
      <c r="E420" s="844"/>
      <c r="R420" s="845"/>
      <c r="S420" s="845"/>
      <c r="T420" s="845"/>
      <c r="U420" s="845"/>
      <c r="V420" s="845"/>
      <c r="W420" s="845"/>
      <c r="X420" s="845"/>
      <c r="Y420" s="845"/>
    </row>
    <row r="421" spans="1:25" x14ac:dyDescent="0.2">
      <c r="A421" s="1828"/>
      <c r="B421" s="1828"/>
      <c r="C421" s="1828"/>
      <c r="D421" s="1828"/>
      <c r="E421" s="844"/>
      <c r="R421" s="845"/>
      <c r="S421" s="845"/>
      <c r="T421" s="845"/>
      <c r="U421" s="845"/>
      <c r="V421" s="845"/>
      <c r="W421" s="845"/>
      <c r="X421" s="845"/>
      <c r="Y421" s="845"/>
    </row>
    <row r="422" spans="1:25" x14ac:dyDescent="0.2">
      <c r="A422" s="1828"/>
      <c r="B422" s="1828"/>
      <c r="C422" s="1828"/>
      <c r="D422" s="1828"/>
      <c r="E422" s="844"/>
      <c r="R422" s="845"/>
      <c r="S422" s="845"/>
      <c r="T422" s="845"/>
      <c r="U422" s="845"/>
      <c r="V422" s="845"/>
      <c r="W422" s="845"/>
      <c r="X422" s="845"/>
      <c r="Y422" s="845"/>
    </row>
    <row r="423" spans="1:25" x14ac:dyDescent="0.2">
      <c r="A423" s="1828"/>
      <c r="B423" s="1828"/>
      <c r="C423" s="1828"/>
      <c r="D423" s="1828"/>
      <c r="E423" s="844"/>
      <c r="R423" s="845"/>
      <c r="S423" s="845"/>
      <c r="T423" s="845"/>
      <c r="U423" s="845"/>
      <c r="V423" s="845"/>
      <c r="W423" s="845"/>
      <c r="X423" s="845"/>
      <c r="Y423" s="845"/>
    </row>
    <row r="424" spans="1:25" x14ac:dyDescent="0.2">
      <c r="A424" s="1828"/>
      <c r="B424" s="1828"/>
      <c r="C424" s="1828"/>
      <c r="D424" s="1828"/>
      <c r="E424" s="844"/>
      <c r="R424" s="845"/>
      <c r="S424" s="845"/>
      <c r="T424" s="845"/>
      <c r="U424" s="845"/>
      <c r="V424" s="845"/>
      <c r="W424" s="845"/>
      <c r="X424" s="845"/>
      <c r="Y424" s="845"/>
    </row>
    <row r="425" spans="1:25" x14ac:dyDescent="0.2">
      <c r="A425" s="1828"/>
      <c r="B425" s="1828"/>
      <c r="C425" s="1828"/>
      <c r="D425" s="1828"/>
      <c r="E425" s="844"/>
      <c r="R425" s="845"/>
      <c r="S425" s="845"/>
      <c r="T425" s="845"/>
      <c r="U425" s="845"/>
      <c r="V425" s="845"/>
      <c r="W425" s="845"/>
      <c r="X425" s="845"/>
      <c r="Y425" s="845"/>
    </row>
    <row r="426" spans="1:25" x14ac:dyDescent="0.2">
      <c r="A426" s="1828"/>
      <c r="B426" s="1828"/>
      <c r="C426" s="1828"/>
      <c r="D426" s="1828"/>
      <c r="E426" s="844"/>
      <c r="R426" s="845"/>
      <c r="S426" s="845"/>
      <c r="T426" s="845"/>
      <c r="U426" s="845"/>
      <c r="V426" s="845"/>
      <c r="W426" s="845"/>
      <c r="X426" s="845"/>
      <c r="Y426" s="845"/>
    </row>
    <row r="427" spans="1:25" x14ac:dyDescent="0.2">
      <c r="A427" s="1828"/>
      <c r="B427" s="1828"/>
      <c r="C427" s="1828"/>
      <c r="D427" s="1828"/>
      <c r="E427" s="844"/>
      <c r="R427" s="845"/>
      <c r="S427" s="845"/>
      <c r="T427" s="845"/>
      <c r="U427" s="845"/>
      <c r="V427" s="845"/>
      <c r="W427" s="845"/>
      <c r="X427" s="845"/>
      <c r="Y427" s="845"/>
    </row>
    <row r="428" spans="1:25" x14ac:dyDescent="0.2">
      <c r="A428" s="1828"/>
      <c r="B428" s="1828"/>
      <c r="C428" s="1828"/>
      <c r="D428" s="1828"/>
      <c r="E428" s="844"/>
      <c r="R428" s="845"/>
      <c r="S428" s="845"/>
      <c r="T428" s="845"/>
      <c r="U428" s="845"/>
      <c r="V428" s="845"/>
      <c r="W428" s="845"/>
      <c r="X428" s="845"/>
      <c r="Y428" s="845"/>
    </row>
    <row r="429" spans="1:25" x14ac:dyDescent="0.2">
      <c r="A429" s="1828"/>
      <c r="B429" s="1828"/>
      <c r="C429" s="1828"/>
      <c r="D429" s="1828"/>
      <c r="E429" s="844"/>
      <c r="R429" s="845"/>
      <c r="S429" s="845"/>
      <c r="T429" s="845"/>
      <c r="U429" s="845"/>
      <c r="V429" s="845"/>
      <c r="W429" s="845"/>
      <c r="X429" s="845"/>
      <c r="Y429" s="845"/>
    </row>
    <row r="430" spans="1:25" x14ac:dyDescent="0.2">
      <c r="A430" s="1828"/>
      <c r="B430" s="1828"/>
      <c r="C430" s="1828"/>
      <c r="D430" s="1828"/>
      <c r="E430" s="844"/>
      <c r="R430" s="845"/>
      <c r="S430" s="845"/>
      <c r="T430" s="845"/>
      <c r="U430" s="845"/>
      <c r="V430" s="845"/>
      <c r="W430" s="845"/>
      <c r="X430" s="845"/>
      <c r="Y430" s="845"/>
    </row>
    <row r="431" spans="1:25" x14ac:dyDescent="0.2">
      <c r="A431" s="1828"/>
      <c r="B431" s="1828"/>
      <c r="C431" s="1828"/>
      <c r="D431" s="1828"/>
      <c r="E431" s="844"/>
      <c r="R431" s="845"/>
      <c r="S431" s="845"/>
      <c r="T431" s="845"/>
      <c r="U431" s="845"/>
      <c r="V431" s="845"/>
      <c r="W431" s="845"/>
      <c r="X431" s="845"/>
      <c r="Y431" s="845"/>
    </row>
    <row r="432" spans="1:25" x14ac:dyDescent="0.2">
      <c r="A432" s="1828"/>
      <c r="B432" s="1828"/>
      <c r="C432" s="1828"/>
      <c r="D432" s="1828"/>
      <c r="E432" s="844"/>
      <c r="R432" s="845"/>
      <c r="S432" s="845"/>
      <c r="T432" s="845"/>
      <c r="U432" s="845"/>
      <c r="V432" s="845"/>
      <c r="W432" s="845"/>
      <c r="X432" s="845"/>
      <c r="Y432" s="845"/>
    </row>
    <row r="433" spans="1:25" x14ac:dyDescent="0.2">
      <c r="A433" s="1828"/>
      <c r="B433" s="1828"/>
      <c r="C433" s="1828"/>
      <c r="D433" s="1828"/>
      <c r="E433" s="844"/>
      <c r="R433" s="845"/>
      <c r="S433" s="845"/>
      <c r="T433" s="845"/>
      <c r="U433" s="845"/>
      <c r="V433" s="845"/>
      <c r="W433" s="845"/>
      <c r="X433" s="845"/>
      <c r="Y433" s="845"/>
    </row>
    <row r="434" spans="1:25" x14ac:dyDescent="0.2">
      <c r="A434" s="1828"/>
      <c r="B434" s="1828"/>
      <c r="C434" s="1828"/>
      <c r="D434" s="1828"/>
      <c r="E434" s="844"/>
      <c r="R434" s="845"/>
      <c r="S434" s="845"/>
      <c r="T434" s="845"/>
      <c r="U434" s="845"/>
      <c r="V434" s="845"/>
      <c r="W434" s="845"/>
      <c r="X434" s="845"/>
      <c r="Y434" s="845"/>
    </row>
    <row r="435" spans="1:25" x14ac:dyDescent="0.2">
      <c r="A435" s="1828"/>
      <c r="B435" s="1828"/>
      <c r="C435" s="1828"/>
      <c r="D435" s="1828"/>
      <c r="E435" s="844"/>
      <c r="R435" s="845"/>
      <c r="S435" s="845"/>
      <c r="T435" s="845"/>
      <c r="U435" s="845"/>
      <c r="V435" s="845"/>
      <c r="W435" s="845"/>
      <c r="X435" s="845"/>
      <c r="Y435" s="845"/>
    </row>
    <row r="436" spans="1:25" x14ac:dyDescent="0.2">
      <c r="A436" s="1828"/>
      <c r="B436" s="1828"/>
      <c r="C436" s="1828"/>
      <c r="D436" s="1828"/>
      <c r="E436" s="844"/>
      <c r="R436" s="845"/>
      <c r="S436" s="845"/>
      <c r="T436" s="845"/>
      <c r="U436" s="845"/>
      <c r="V436" s="845"/>
      <c r="W436" s="845"/>
      <c r="X436" s="845"/>
      <c r="Y436" s="845"/>
    </row>
    <row r="437" spans="1:25" x14ac:dyDescent="0.2">
      <c r="A437" s="1828"/>
      <c r="B437" s="1828"/>
      <c r="C437" s="1828"/>
      <c r="D437" s="1828"/>
      <c r="E437" s="844"/>
      <c r="R437" s="845"/>
      <c r="S437" s="845"/>
      <c r="T437" s="845"/>
      <c r="U437" s="845"/>
      <c r="V437" s="845"/>
      <c r="W437" s="845"/>
      <c r="X437" s="845"/>
      <c r="Y437" s="845"/>
    </row>
    <row r="438" spans="1:25" x14ac:dyDescent="0.2">
      <c r="A438" s="1828"/>
      <c r="B438" s="1828"/>
      <c r="C438" s="1828"/>
      <c r="D438" s="1828"/>
      <c r="E438" s="844"/>
      <c r="R438" s="845"/>
      <c r="S438" s="845"/>
      <c r="T438" s="845"/>
      <c r="U438" s="845"/>
      <c r="V438" s="845"/>
      <c r="W438" s="845"/>
      <c r="X438" s="845"/>
      <c r="Y438" s="845"/>
    </row>
    <row r="439" spans="1:25" x14ac:dyDescent="0.2">
      <c r="A439" s="1828"/>
      <c r="B439" s="1828"/>
      <c r="C439" s="1828"/>
      <c r="D439" s="1828"/>
      <c r="E439" s="844"/>
      <c r="R439" s="845"/>
      <c r="S439" s="845"/>
      <c r="T439" s="845"/>
      <c r="U439" s="845"/>
      <c r="V439" s="845"/>
      <c r="W439" s="845"/>
      <c r="X439" s="845"/>
      <c r="Y439" s="845"/>
    </row>
    <row r="440" spans="1:25" x14ac:dyDescent="0.2">
      <c r="A440" s="1828"/>
      <c r="B440" s="1828"/>
      <c r="C440" s="1828"/>
      <c r="D440" s="1828"/>
      <c r="E440" s="844"/>
      <c r="R440" s="845"/>
      <c r="S440" s="845"/>
      <c r="T440" s="845"/>
      <c r="U440" s="845"/>
      <c r="V440" s="845"/>
      <c r="W440" s="845"/>
      <c r="X440" s="845"/>
      <c r="Y440" s="845"/>
    </row>
    <row r="441" spans="1:25" x14ac:dyDescent="0.2">
      <c r="A441" s="1828"/>
      <c r="B441" s="1828"/>
      <c r="C441" s="1828"/>
      <c r="D441" s="1828"/>
      <c r="E441" s="844"/>
      <c r="R441" s="845"/>
      <c r="S441" s="845"/>
      <c r="T441" s="845"/>
      <c r="U441" s="845"/>
      <c r="V441" s="845"/>
      <c r="W441" s="845"/>
      <c r="X441" s="845"/>
      <c r="Y441" s="845"/>
    </row>
    <row r="442" spans="1:25" x14ac:dyDescent="0.2">
      <c r="A442" s="1828"/>
      <c r="B442" s="1828"/>
      <c r="C442" s="1828"/>
      <c r="D442" s="1828"/>
      <c r="E442" s="844"/>
      <c r="R442" s="845"/>
      <c r="S442" s="845"/>
      <c r="T442" s="845"/>
      <c r="U442" s="845"/>
      <c r="V442" s="845"/>
      <c r="W442" s="845"/>
      <c r="X442" s="845"/>
      <c r="Y442" s="845"/>
    </row>
    <row r="443" spans="1:25" x14ac:dyDescent="0.2">
      <c r="A443" s="1828"/>
      <c r="B443" s="1828"/>
      <c r="C443" s="1828"/>
      <c r="D443" s="1828"/>
      <c r="E443" s="844"/>
      <c r="R443" s="845"/>
      <c r="S443" s="845"/>
      <c r="T443" s="845"/>
      <c r="U443" s="845"/>
      <c r="V443" s="845"/>
      <c r="W443" s="845"/>
      <c r="X443" s="845"/>
      <c r="Y443" s="845"/>
    </row>
    <row r="444" spans="1:25" x14ac:dyDescent="0.2">
      <c r="A444" s="1828"/>
      <c r="B444" s="1828"/>
      <c r="C444" s="1828"/>
      <c r="D444" s="1828"/>
      <c r="E444" s="844"/>
      <c r="R444" s="845"/>
      <c r="S444" s="845"/>
      <c r="T444" s="845"/>
      <c r="U444" s="845"/>
      <c r="V444" s="845"/>
      <c r="W444" s="845"/>
      <c r="X444" s="845"/>
      <c r="Y444" s="845"/>
    </row>
    <row r="445" spans="1:25" x14ac:dyDescent="0.2">
      <c r="A445" s="1828"/>
      <c r="B445" s="1828"/>
      <c r="C445" s="1828"/>
      <c r="D445" s="1828"/>
      <c r="E445" s="844"/>
      <c r="R445" s="845"/>
      <c r="S445" s="845"/>
      <c r="T445" s="845"/>
      <c r="U445" s="845"/>
      <c r="V445" s="845"/>
      <c r="W445" s="845"/>
      <c r="X445" s="845"/>
      <c r="Y445" s="845"/>
    </row>
    <row r="446" spans="1:25" x14ac:dyDescent="0.2">
      <c r="A446" s="1828"/>
      <c r="B446" s="1828"/>
      <c r="C446" s="1828"/>
      <c r="D446" s="1828"/>
      <c r="E446" s="844"/>
      <c r="R446" s="845"/>
      <c r="S446" s="845"/>
      <c r="T446" s="845"/>
      <c r="U446" s="845"/>
      <c r="V446" s="845"/>
      <c r="W446" s="845"/>
      <c r="X446" s="845"/>
      <c r="Y446" s="845"/>
    </row>
    <row r="447" spans="1:25" x14ac:dyDescent="0.2">
      <c r="A447" s="1828"/>
      <c r="B447" s="1828"/>
      <c r="C447" s="1828"/>
      <c r="D447" s="1828"/>
      <c r="E447" s="844"/>
      <c r="R447" s="845"/>
      <c r="S447" s="845"/>
      <c r="T447" s="845"/>
      <c r="U447" s="845"/>
      <c r="V447" s="845"/>
      <c r="W447" s="845"/>
      <c r="X447" s="845"/>
      <c r="Y447" s="845"/>
    </row>
    <row r="448" spans="1:25" x14ac:dyDescent="0.2">
      <c r="A448" s="1828"/>
      <c r="B448" s="1828"/>
      <c r="C448" s="1828"/>
      <c r="D448" s="1828"/>
      <c r="E448" s="844"/>
      <c r="R448" s="845"/>
      <c r="S448" s="845"/>
      <c r="T448" s="845"/>
      <c r="U448" s="845"/>
      <c r="V448" s="845"/>
      <c r="W448" s="845"/>
      <c r="X448" s="845"/>
      <c r="Y448" s="845"/>
    </row>
    <row r="449" spans="1:25" x14ac:dyDescent="0.2">
      <c r="A449" s="1828"/>
      <c r="B449" s="1828"/>
      <c r="C449" s="1828"/>
      <c r="D449" s="1828"/>
      <c r="E449" s="844"/>
      <c r="R449" s="845"/>
      <c r="S449" s="845"/>
      <c r="T449" s="845"/>
      <c r="U449" s="845"/>
      <c r="V449" s="845"/>
      <c r="W449" s="845"/>
      <c r="X449" s="845"/>
      <c r="Y449" s="845"/>
    </row>
    <row r="450" spans="1:25" x14ac:dyDescent="0.2">
      <c r="A450" s="1828"/>
      <c r="B450" s="1828"/>
      <c r="C450" s="1828"/>
      <c r="D450" s="1828"/>
      <c r="E450" s="844"/>
      <c r="R450" s="845"/>
      <c r="S450" s="845"/>
      <c r="T450" s="845"/>
      <c r="U450" s="845"/>
      <c r="V450" s="845"/>
      <c r="W450" s="845"/>
      <c r="X450" s="845"/>
      <c r="Y450" s="845"/>
    </row>
    <row r="451" spans="1:25" x14ac:dyDescent="0.2">
      <c r="A451" s="1828"/>
      <c r="B451" s="1828"/>
      <c r="C451" s="1828"/>
      <c r="D451" s="1828"/>
      <c r="E451" s="844"/>
      <c r="R451" s="845"/>
      <c r="S451" s="845"/>
      <c r="T451" s="845"/>
      <c r="U451" s="845"/>
      <c r="V451" s="845"/>
      <c r="W451" s="845"/>
      <c r="X451" s="845"/>
      <c r="Y451" s="845"/>
    </row>
    <row r="452" spans="1:25" x14ac:dyDescent="0.2">
      <c r="A452" s="1828"/>
      <c r="B452" s="1828"/>
      <c r="C452" s="1828"/>
      <c r="D452" s="1828"/>
      <c r="E452" s="844"/>
      <c r="R452" s="845"/>
      <c r="S452" s="845"/>
      <c r="T452" s="845"/>
      <c r="U452" s="845"/>
      <c r="V452" s="845"/>
      <c r="W452" s="845"/>
      <c r="X452" s="845"/>
      <c r="Y452" s="845"/>
    </row>
    <row r="453" spans="1:25" x14ac:dyDescent="0.2">
      <c r="A453" s="1828"/>
      <c r="B453" s="1828"/>
      <c r="C453" s="1828"/>
      <c r="D453" s="1828"/>
      <c r="E453" s="844"/>
      <c r="R453" s="845"/>
      <c r="S453" s="845"/>
      <c r="T453" s="845"/>
      <c r="U453" s="845"/>
      <c r="V453" s="845"/>
      <c r="W453" s="845"/>
      <c r="X453" s="845"/>
      <c r="Y453" s="845"/>
    </row>
    <row r="454" spans="1:25" x14ac:dyDescent="0.2">
      <c r="A454" s="1828"/>
      <c r="B454" s="1828"/>
      <c r="C454" s="1828"/>
      <c r="D454" s="1828"/>
      <c r="E454" s="844"/>
      <c r="R454" s="845"/>
      <c r="S454" s="845"/>
      <c r="T454" s="845"/>
      <c r="U454" s="845"/>
      <c r="V454" s="845"/>
      <c r="W454" s="845"/>
      <c r="X454" s="845"/>
      <c r="Y454" s="845"/>
    </row>
    <row r="455" spans="1:25" x14ac:dyDescent="0.2">
      <c r="A455" s="1828"/>
      <c r="B455" s="1828"/>
      <c r="C455" s="1828"/>
      <c r="D455" s="1828"/>
      <c r="E455" s="844"/>
      <c r="R455" s="845"/>
      <c r="S455" s="845"/>
      <c r="T455" s="845"/>
      <c r="U455" s="845"/>
      <c r="V455" s="845"/>
      <c r="W455" s="845"/>
      <c r="X455" s="845"/>
      <c r="Y455" s="845"/>
    </row>
    <row r="456" spans="1:25" x14ac:dyDescent="0.2">
      <c r="A456" s="1828"/>
      <c r="B456" s="1828"/>
      <c r="C456" s="1828"/>
      <c r="D456" s="1828"/>
      <c r="E456" s="844"/>
      <c r="R456" s="845"/>
      <c r="S456" s="845"/>
      <c r="T456" s="845"/>
      <c r="U456" s="845"/>
      <c r="V456" s="845"/>
      <c r="W456" s="845"/>
      <c r="X456" s="845"/>
      <c r="Y456" s="845"/>
    </row>
    <row r="457" spans="1:25" x14ac:dyDescent="0.2">
      <c r="A457" s="1828"/>
      <c r="B457" s="1828"/>
      <c r="C457" s="1828"/>
      <c r="D457" s="1828"/>
      <c r="E457" s="844"/>
      <c r="R457" s="845"/>
      <c r="S457" s="845"/>
      <c r="T457" s="845"/>
      <c r="U457" s="845"/>
      <c r="V457" s="845"/>
      <c r="W457" s="845"/>
      <c r="X457" s="845"/>
      <c r="Y457" s="845"/>
    </row>
    <row r="458" spans="1:25" x14ac:dyDescent="0.2">
      <c r="A458" s="1828"/>
      <c r="B458" s="1828"/>
      <c r="C458" s="1828"/>
      <c r="D458" s="1828"/>
      <c r="E458" s="844"/>
      <c r="R458" s="845"/>
      <c r="S458" s="845"/>
      <c r="T458" s="845"/>
      <c r="U458" s="845"/>
      <c r="V458" s="845"/>
      <c r="W458" s="845"/>
      <c r="X458" s="845"/>
      <c r="Y458" s="845"/>
    </row>
    <row r="459" spans="1:25" x14ac:dyDescent="0.2">
      <c r="A459" s="1828"/>
      <c r="B459" s="1828"/>
      <c r="C459" s="1828"/>
      <c r="D459" s="1828"/>
      <c r="E459" s="844"/>
      <c r="R459" s="845"/>
      <c r="S459" s="845"/>
      <c r="T459" s="845"/>
      <c r="U459" s="845"/>
      <c r="V459" s="845"/>
      <c r="W459" s="845"/>
      <c r="X459" s="845"/>
      <c r="Y459" s="845"/>
    </row>
    <row r="460" spans="1:25" x14ac:dyDescent="0.2">
      <c r="A460" s="1828"/>
      <c r="B460" s="1828"/>
      <c r="C460" s="1828"/>
      <c r="D460" s="1828"/>
      <c r="E460" s="844"/>
      <c r="R460" s="845"/>
      <c r="S460" s="845"/>
      <c r="T460" s="845"/>
      <c r="U460" s="845"/>
      <c r="V460" s="845"/>
      <c r="W460" s="845"/>
      <c r="X460" s="845"/>
      <c r="Y460" s="845"/>
    </row>
    <row r="461" spans="1:25" x14ac:dyDescent="0.2">
      <c r="A461" s="1828"/>
      <c r="B461" s="1828"/>
      <c r="C461" s="1828"/>
      <c r="D461" s="1828"/>
      <c r="E461" s="844"/>
      <c r="R461" s="845"/>
      <c r="S461" s="845"/>
      <c r="T461" s="845"/>
      <c r="U461" s="845"/>
      <c r="V461" s="845"/>
      <c r="W461" s="845"/>
      <c r="X461" s="845"/>
      <c r="Y461" s="845"/>
    </row>
    <row r="462" spans="1:25" x14ac:dyDescent="0.2">
      <c r="A462" s="1828"/>
      <c r="B462" s="1828"/>
      <c r="C462" s="1828"/>
      <c r="D462" s="1828"/>
      <c r="E462" s="844"/>
      <c r="R462" s="845"/>
      <c r="S462" s="845"/>
      <c r="T462" s="845"/>
      <c r="U462" s="845"/>
      <c r="V462" s="845"/>
      <c r="W462" s="845"/>
      <c r="X462" s="845"/>
      <c r="Y462" s="845"/>
    </row>
    <row r="463" spans="1:25" x14ac:dyDescent="0.2">
      <c r="A463" s="1828"/>
      <c r="B463" s="1828"/>
      <c r="C463" s="1828"/>
      <c r="D463" s="1828"/>
      <c r="E463" s="844"/>
      <c r="R463" s="845"/>
      <c r="S463" s="845"/>
      <c r="T463" s="845"/>
      <c r="U463" s="845"/>
      <c r="V463" s="845"/>
      <c r="W463" s="845"/>
      <c r="X463" s="845"/>
      <c r="Y463" s="845"/>
    </row>
    <row r="464" spans="1:25" x14ac:dyDescent="0.2">
      <c r="A464" s="1828"/>
      <c r="B464" s="1828"/>
      <c r="C464" s="1828"/>
      <c r="D464" s="1828"/>
      <c r="E464" s="844"/>
      <c r="R464" s="845"/>
      <c r="S464" s="845"/>
      <c r="T464" s="845"/>
      <c r="U464" s="845"/>
      <c r="V464" s="845"/>
      <c r="W464" s="845"/>
      <c r="X464" s="845"/>
      <c r="Y464" s="845"/>
    </row>
    <row r="465" spans="1:25" x14ac:dyDescent="0.2">
      <c r="A465" s="1828"/>
      <c r="B465" s="1828"/>
      <c r="C465" s="1828"/>
      <c r="D465" s="1828"/>
      <c r="E465" s="844"/>
      <c r="R465" s="845"/>
      <c r="S465" s="845"/>
      <c r="T465" s="845"/>
      <c r="U465" s="845"/>
      <c r="V465" s="845"/>
      <c r="W465" s="845"/>
      <c r="X465" s="845"/>
      <c r="Y465" s="845"/>
    </row>
    <row r="466" spans="1:25" x14ac:dyDescent="0.2">
      <c r="A466" s="1828"/>
      <c r="B466" s="1828"/>
      <c r="C466" s="1828"/>
      <c r="D466" s="1828"/>
      <c r="E466" s="844"/>
      <c r="R466" s="845"/>
      <c r="S466" s="845"/>
      <c r="T466" s="845"/>
      <c r="U466" s="845"/>
      <c r="V466" s="845"/>
      <c r="W466" s="845"/>
      <c r="X466" s="845"/>
      <c r="Y466" s="845"/>
    </row>
    <row r="467" spans="1:25" x14ac:dyDescent="0.2">
      <c r="A467" s="1828"/>
      <c r="B467" s="1828"/>
      <c r="C467" s="1828"/>
      <c r="D467" s="1828"/>
      <c r="E467" s="844"/>
      <c r="R467" s="845"/>
      <c r="S467" s="845"/>
      <c r="T467" s="845"/>
      <c r="U467" s="845"/>
      <c r="V467" s="845"/>
      <c r="W467" s="845"/>
      <c r="X467" s="845"/>
      <c r="Y467" s="845"/>
    </row>
    <row r="468" spans="1:25" x14ac:dyDescent="0.2">
      <c r="A468" s="1828"/>
      <c r="B468" s="1828"/>
      <c r="C468" s="1828"/>
      <c r="D468" s="1828"/>
      <c r="E468" s="844"/>
      <c r="R468" s="845"/>
      <c r="S468" s="845"/>
      <c r="T468" s="845"/>
      <c r="U468" s="845"/>
      <c r="V468" s="845"/>
      <c r="W468" s="845"/>
      <c r="X468" s="845"/>
      <c r="Y468" s="845"/>
    </row>
    <row r="469" spans="1:25" x14ac:dyDescent="0.2">
      <c r="A469" s="1828"/>
      <c r="B469" s="1828"/>
      <c r="C469" s="1828"/>
      <c r="D469" s="1828"/>
      <c r="E469" s="844"/>
      <c r="R469" s="845"/>
      <c r="S469" s="845"/>
      <c r="T469" s="845"/>
      <c r="U469" s="845"/>
      <c r="V469" s="845"/>
      <c r="W469" s="845"/>
      <c r="X469" s="845"/>
      <c r="Y469" s="845"/>
    </row>
    <row r="470" spans="1:25" x14ac:dyDescent="0.2">
      <c r="A470" s="1828"/>
      <c r="B470" s="1828"/>
      <c r="C470" s="1828"/>
      <c r="D470" s="1828"/>
      <c r="E470" s="844"/>
      <c r="R470" s="845"/>
      <c r="S470" s="845"/>
      <c r="T470" s="845"/>
      <c r="U470" s="845"/>
      <c r="V470" s="845"/>
      <c r="W470" s="845"/>
      <c r="X470" s="845"/>
      <c r="Y470" s="845"/>
    </row>
    <row r="471" spans="1:25" x14ac:dyDescent="0.2">
      <c r="A471" s="1828"/>
      <c r="B471" s="1828"/>
      <c r="C471" s="1828"/>
      <c r="D471" s="1828"/>
      <c r="E471" s="844"/>
      <c r="R471" s="845"/>
      <c r="S471" s="845"/>
      <c r="T471" s="845"/>
      <c r="U471" s="845"/>
      <c r="V471" s="845"/>
      <c r="W471" s="845"/>
      <c r="X471" s="845"/>
      <c r="Y471" s="845"/>
    </row>
    <row r="472" spans="1:25" x14ac:dyDescent="0.2">
      <c r="A472" s="1828"/>
      <c r="B472" s="1828"/>
      <c r="C472" s="1828"/>
      <c r="D472" s="1828"/>
      <c r="E472" s="844"/>
      <c r="R472" s="845"/>
      <c r="S472" s="845"/>
      <c r="T472" s="845"/>
      <c r="U472" s="845"/>
      <c r="V472" s="845"/>
      <c r="W472" s="845"/>
      <c r="X472" s="845"/>
      <c r="Y472" s="845"/>
    </row>
    <row r="473" spans="1:25" x14ac:dyDescent="0.2">
      <c r="A473" s="1828"/>
      <c r="B473" s="1828"/>
      <c r="C473" s="1828"/>
      <c r="D473" s="1828"/>
      <c r="E473" s="844"/>
      <c r="R473" s="845"/>
      <c r="S473" s="845"/>
      <c r="T473" s="845"/>
      <c r="U473" s="845"/>
      <c r="V473" s="845"/>
      <c r="W473" s="845"/>
      <c r="X473" s="845"/>
      <c r="Y473" s="845"/>
    </row>
    <row r="474" spans="1:25" x14ac:dyDescent="0.2">
      <c r="A474" s="1828"/>
      <c r="B474" s="1828"/>
      <c r="C474" s="1828"/>
      <c r="D474" s="1828"/>
      <c r="E474" s="844"/>
      <c r="R474" s="845"/>
      <c r="S474" s="845"/>
      <c r="T474" s="845"/>
      <c r="U474" s="845"/>
      <c r="V474" s="845"/>
      <c r="W474" s="845"/>
      <c r="X474" s="845"/>
      <c r="Y474" s="845"/>
    </row>
    <row r="475" spans="1:25" x14ac:dyDescent="0.2">
      <c r="A475" s="1828"/>
      <c r="B475" s="1828"/>
      <c r="C475" s="1828"/>
      <c r="D475" s="1828"/>
      <c r="E475" s="844"/>
      <c r="R475" s="845"/>
      <c r="S475" s="845"/>
      <c r="T475" s="845"/>
      <c r="U475" s="845"/>
      <c r="V475" s="845"/>
      <c r="W475" s="845"/>
      <c r="X475" s="845"/>
      <c r="Y475" s="845"/>
    </row>
    <row r="476" spans="1:25" x14ac:dyDescent="0.2">
      <c r="A476" s="1828"/>
      <c r="B476" s="1828"/>
      <c r="C476" s="1828"/>
      <c r="D476" s="1828"/>
      <c r="E476" s="844"/>
      <c r="R476" s="845"/>
      <c r="S476" s="845"/>
      <c r="T476" s="845"/>
      <c r="U476" s="845"/>
      <c r="V476" s="845"/>
      <c r="W476" s="845"/>
      <c r="X476" s="845"/>
      <c r="Y476" s="845"/>
    </row>
    <row r="477" spans="1:25" x14ac:dyDescent="0.2">
      <c r="A477" s="1828"/>
      <c r="B477" s="1828"/>
      <c r="C477" s="1828"/>
      <c r="D477" s="1828"/>
      <c r="E477" s="844"/>
      <c r="R477" s="845"/>
      <c r="S477" s="845"/>
      <c r="T477" s="845"/>
      <c r="U477" s="845"/>
      <c r="V477" s="845"/>
      <c r="W477" s="845"/>
      <c r="X477" s="845"/>
      <c r="Y477" s="845"/>
    </row>
    <row r="478" spans="1:25" x14ac:dyDescent="0.2">
      <c r="A478" s="1828"/>
      <c r="B478" s="1828"/>
      <c r="C478" s="1828"/>
      <c r="D478" s="1828"/>
      <c r="E478" s="844"/>
      <c r="R478" s="845"/>
      <c r="S478" s="845"/>
      <c r="T478" s="845"/>
      <c r="U478" s="845"/>
      <c r="V478" s="845"/>
      <c r="W478" s="845"/>
      <c r="X478" s="845"/>
      <c r="Y478" s="845"/>
    </row>
    <row r="479" spans="1:25" x14ac:dyDescent="0.2">
      <c r="A479" s="1828"/>
      <c r="B479" s="1828"/>
      <c r="C479" s="1828"/>
      <c r="D479" s="1828"/>
      <c r="E479" s="844"/>
      <c r="R479" s="845"/>
      <c r="S479" s="845"/>
      <c r="T479" s="845"/>
      <c r="U479" s="845"/>
      <c r="V479" s="845"/>
      <c r="W479" s="845"/>
      <c r="X479" s="845"/>
      <c r="Y479" s="845"/>
    </row>
    <row r="480" spans="1:25" x14ac:dyDescent="0.2">
      <c r="A480" s="1828"/>
      <c r="B480" s="1828"/>
      <c r="C480" s="1828"/>
      <c r="D480" s="1828"/>
      <c r="E480" s="844"/>
      <c r="R480" s="845"/>
      <c r="S480" s="845"/>
      <c r="T480" s="845"/>
      <c r="U480" s="845"/>
      <c r="V480" s="845"/>
      <c r="W480" s="845"/>
      <c r="X480" s="845"/>
      <c r="Y480" s="845"/>
    </row>
    <row r="481" spans="1:25" x14ac:dyDescent="0.2">
      <c r="A481" s="1828"/>
      <c r="B481" s="1828"/>
      <c r="C481" s="1828"/>
      <c r="D481" s="1828"/>
      <c r="E481" s="844"/>
      <c r="R481" s="845"/>
      <c r="S481" s="845"/>
      <c r="T481" s="845"/>
      <c r="U481" s="845"/>
      <c r="V481" s="845"/>
      <c r="W481" s="845"/>
      <c r="X481" s="845"/>
      <c r="Y481" s="845"/>
    </row>
    <row r="482" spans="1:25" x14ac:dyDescent="0.2">
      <c r="A482" s="1828"/>
      <c r="B482" s="1828"/>
      <c r="C482" s="1828"/>
      <c r="D482" s="1828"/>
      <c r="E482" s="844"/>
      <c r="R482" s="845"/>
      <c r="S482" s="845"/>
      <c r="T482" s="845"/>
      <c r="U482" s="845"/>
      <c r="V482" s="845"/>
      <c r="W482" s="845"/>
      <c r="X482" s="845"/>
      <c r="Y482" s="845"/>
    </row>
    <row r="483" spans="1:25" x14ac:dyDescent="0.2">
      <c r="A483" s="1828"/>
      <c r="B483" s="1828"/>
      <c r="C483" s="1828"/>
      <c r="D483" s="1828"/>
      <c r="E483" s="844"/>
      <c r="R483" s="845"/>
      <c r="S483" s="845"/>
      <c r="T483" s="845"/>
      <c r="U483" s="845"/>
      <c r="V483" s="845"/>
      <c r="W483" s="845"/>
      <c r="X483" s="845"/>
      <c r="Y483" s="845"/>
    </row>
    <row r="484" spans="1:25" x14ac:dyDescent="0.2">
      <c r="A484" s="1828"/>
      <c r="B484" s="1828"/>
      <c r="C484" s="1828"/>
      <c r="D484" s="1828"/>
      <c r="E484" s="844"/>
      <c r="R484" s="845"/>
      <c r="S484" s="845"/>
      <c r="T484" s="845"/>
      <c r="U484" s="845"/>
      <c r="V484" s="845"/>
      <c r="W484" s="845"/>
      <c r="X484" s="845"/>
      <c r="Y484" s="845"/>
    </row>
    <row r="485" spans="1:25" x14ac:dyDescent="0.2">
      <c r="A485" s="1828"/>
      <c r="B485" s="1828"/>
      <c r="C485" s="1828"/>
      <c r="D485" s="1828"/>
      <c r="E485" s="844"/>
      <c r="R485" s="845"/>
      <c r="S485" s="845"/>
      <c r="T485" s="845"/>
      <c r="U485" s="845"/>
      <c r="V485" s="845"/>
      <c r="W485" s="845"/>
      <c r="X485" s="845"/>
      <c r="Y485" s="845"/>
    </row>
    <row r="486" spans="1:25" x14ac:dyDescent="0.2">
      <c r="A486" s="1828"/>
      <c r="B486" s="1828"/>
      <c r="C486" s="1828"/>
      <c r="D486" s="1828"/>
      <c r="E486" s="844"/>
      <c r="R486" s="845"/>
      <c r="S486" s="845"/>
      <c r="T486" s="845"/>
      <c r="U486" s="845"/>
      <c r="V486" s="845"/>
      <c r="W486" s="845"/>
      <c r="X486" s="845"/>
      <c r="Y486" s="845"/>
    </row>
    <row r="487" spans="1:25" x14ac:dyDescent="0.2">
      <c r="A487" s="1828"/>
      <c r="B487" s="1828"/>
      <c r="C487" s="1828"/>
      <c r="D487" s="1828"/>
      <c r="E487" s="844"/>
      <c r="R487" s="845"/>
      <c r="S487" s="845"/>
      <c r="T487" s="845"/>
      <c r="U487" s="845"/>
      <c r="V487" s="845"/>
      <c r="W487" s="845"/>
      <c r="X487" s="845"/>
      <c r="Y487" s="845"/>
    </row>
    <row r="488" spans="1:25" x14ac:dyDescent="0.2">
      <c r="A488" s="1828"/>
      <c r="B488" s="1828"/>
      <c r="C488" s="1828"/>
      <c r="D488" s="1828"/>
      <c r="E488" s="844"/>
      <c r="R488" s="845"/>
      <c r="S488" s="845"/>
      <c r="T488" s="845"/>
      <c r="U488" s="845"/>
      <c r="V488" s="845"/>
      <c r="W488" s="845"/>
      <c r="X488" s="845"/>
      <c r="Y488" s="845"/>
    </row>
    <row r="489" spans="1:25" x14ac:dyDescent="0.2">
      <c r="A489" s="1828"/>
      <c r="B489" s="1828"/>
      <c r="C489" s="1828"/>
      <c r="D489" s="1828"/>
      <c r="E489" s="844"/>
      <c r="R489" s="845"/>
      <c r="S489" s="845"/>
      <c r="T489" s="845"/>
      <c r="U489" s="845"/>
      <c r="V489" s="845"/>
      <c r="W489" s="845"/>
      <c r="X489" s="845"/>
      <c r="Y489" s="845"/>
    </row>
    <row r="490" spans="1:25" x14ac:dyDescent="0.2">
      <c r="A490" s="1828"/>
      <c r="B490" s="1828"/>
      <c r="C490" s="1828"/>
      <c r="D490" s="1828"/>
      <c r="E490" s="844"/>
      <c r="R490" s="845"/>
      <c r="S490" s="845"/>
      <c r="T490" s="845"/>
      <c r="U490" s="845"/>
      <c r="V490" s="845"/>
      <c r="W490" s="845"/>
      <c r="X490" s="845"/>
      <c r="Y490" s="845"/>
    </row>
    <row r="491" spans="1:25" x14ac:dyDescent="0.2">
      <c r="A491" s="1828"/>
      <c r="B491" s="1828"/>
      <c r="C491" s="1828"/>
      <c r="D491" s="1828"/>
      <c r="E491" s="844"/>
      <c r="R491" s="845"/>
      <c r="S491" s="845"/>
      <c r="T491" s="845"/>
      <c r="U491" s="845"/>
      <c r="V491" s="845"/>
      <c r="W491" s="845"/>
      <c r="X491" s="845"/>
      <c r="Y491" s="845"/>
    </row>
    <row r="492" spans="1:25" x14ac:dyDescent="0.2">
      <c r="A492" s="1828"/>
      <c r="B492" s="1828"/>
      <c r="C492" s="1828"/>
      <c r="D492" s="1828"/>
      <c r="E492" s="844"/>
      <c r="R492" s="845"/>
      <c r="S492" s="845"/>
      <c r="T492" s="845"/>
      <c r="U492" s="845"/>
      <c r="V492" s="845"/>
      <c r="W492" s="845"/>
      <c r="X492" s="845"/>
      <c r="Y492" s="845"/>
    </row>
    <row r="493" spans="1:25" x14ac:dyDescent="0.2">
      <c r="A493" s="1828"/>
      <c r="B493" s="1828"/>
      <c r="C493" s="1828"/>
      <c r="D493" s="1828"/>
      <c r="E493" s="844"/>
      <c r="R493" s="845"/>
      <c r="S493" s="845"/>
      <c r="T493" s="845"/>
      <c r="U493" s="845"/>
      <c r="V493" s="845"/>
      <c r="W493" s="845"/>
      <c r="X493" s="845"/>
      <c r="Y493" s="845"/>
    </row>
    <row r="494" spans="1:25" x14ac:dyDescent="0.2">
      <c r="A494" s="1828"/>
      <c r="B494" s="1828"/>
      <c r="C494" s="1828"/>
      <c r="D494" s="1828"/>
      <c r="E494" s="844"/>
      <c r="R494" s="845"/>
      <c r="S494" s="845"/>
      <c r="T494" s="845"/>
      <c r="U494" s="845"/>
      <c r="V494" s="845"/>
      <c r="W494" s="845"/>
      <c r="X494" s="845"/>
      <c r="Y494" s="845"/>
    </row>
    <row r="495" spans="1:25" x14ac:dyDescent="0.2">
      <c r="A495" s="1828"/>
      <c r="B495" s="1828"/>
      <c r="C495" s="1828"/>
      <c r="D495" s="1828"/>
      <c r="E495" s="844"/>
      <c r="R495" s="845"/>
      <c r="S495" s="845"/>
      <c r="T495" s="845"/>
      <c r="U495" s="845"/>
      <c r="V495" s="845"/>
      <c r="W495" s="845"/>
      <c r="X495" s="845"/>
      <c r="Y495" s="845"/>
    </row>
    <row r="496" spans="1:25" x14ac:dyDescent="0.2">
      <c r="A496" s="1828"/>
      <c r="B496" s="1828"/>
      <c r="C496" s="1828"/>
      <c r="D496" s="1828"/>
      <c r="E496" s="844"/>
      <c r="R496" s="845"/>
      <c r="S496" s="845"/>
      <c r="T496" s="845"/>
      <c r="U496" s="845"/>
      <c r="V496" s="845"/>
      <c r="W496" s="845"/>
      <c r="X496" s="845"/>
      <c r="Y496" s="845"/>
    </row>
    <row r="497" spans="1:25" x14ac:dyDescent="0.2">
      <c r="A497" s="1828"/>
      <c r="B497" s="1828"/>
      <c r="C497" s="1828"/>
      <c r="D497" s="1828"/>
      <c r="E497" s="844"/>
      <c r="R497" s="845"/>
      <c r="S497" s="845"/>
      <c r="T497" s="845"/>
      <c r="U497" s="845"/>
      <c r="V497" s="845"/>
      <c r="W497" s="845"/>
      <c r="X497" s="845"/>
      <c r="Y497" s="845"/>
    </row>
    <row r="498" spans="1:25" x14ac:dyDescent="0.2">
      <c r="A498" s="1828"/>
      <c r="B498" s="1828"/>
      <c r="C498" s="1828"/>
      <c r="D498" s="1828"/>
      <c r="E498" s="844"/>
      <c r="R498" s="845"/>
      <c r="S498" s="845"/>
      <c r="T498" s="845"/>
      <c r="U498" s="845"/>
      <c r="V498" s="845"/>
      <c r="W498" s="845"/>
      <c r="X498" s="845"/>
      <c r="Y498" s="845"/>
    </row>
    <row r="499" spans="1:25" x14ac:dyDescent="0.2">
      <c r="A499" s="1828"/>
      <c r="B499" s="1828"/>
      <c r="C499" s="1828"/>
      <c r="D499" s="1828"/>
      <c r="E499" s="844"/>
      <c r="R499" s="845"/>
      <c r="S499" s="845"/>
      <c r="T499" s="845"/>
      <c r="U499" s="845"/>
      <c r="V499" s="845"/>
      <c r="W499" s="845"/>
      <c r="X499" s="845"/>
      <c r="Y499" s="845"/>
    </row>
    <row r="500" spans="1:25" x14ac:dyDescent="0.2">
      <c r="A500" s="1828"/>
      <c r="B500" s="1828"/>
      <c r="C500" s="1828"/>
      <c r="D500" s="1828"/>
      <c r="E500" s="844"/>
      <c r="R500" s="845"/>
      <c r="S500" s="845"/>
      <c r="T500" s="845"/>
      <c r="U500" s="845"/>
      <c r="V500" s="845"/>
      <c r="W500" s="845"/>
      <c r="X500" s="845"/>
      <c r="Y500" s="845"/>
    </row>
    <row r="501" spans="1:25" x14ac:dyDescent="0.2">
      <c r="A501" s="1828"/>
      <c r="B501" s="1828"/>
      <c r="C501" s="1828"/>
      <c r="D501" s="1828"/>
      <c r="E501" s="844"/>
      <c r="R501" s="845"/>
      <c r="S501" s="845"/>
      <c r="T501" s="845"/>
      <c r="U501" s="845"/>
      <c r="V501" s="845"/>
      <c r="W501" s="845"/>
      <c r="X501" s="845"/>
      <c r="Y501" s="845"/>
    </row>
    <row r="502" spans="1:25" x14ac:dyDescent="0.2">
      <c r="A502" s="1828"/>
      <c r="B502" s="1828"/>
      <c r="C502" s="1828"/>
      <c r="D502" s="1828"/>
      <c r="E502" s="844"/>
      <c r="R502" s="845"/>
      <c r="S502" s="845"/>
      <c r="T502" s="845"/>
      <c r="U502" s="845"/>
      <c r="V502" s="845"/>
      <c r="W502" s="845"/>
      <c r="X502" s="845"/>
      <c r="Y502" s="845"/>
    </row>
    <row r="503" spans="1:25" x14ac:dyDescent="0.2">
      <c r="A503" s="1828"/>
      <c r="B503" s="1828"/>
      <c r="C503" s="1828"/>
      <c r="D503" s="1828"/>
      <c r="E503" s="844"/>
      <c r="R503" s="845"/>
      <c r="S503" s="845"/>
      <c r="T503" s="845"/>
      <c r="U503" s="845"/>
      <c r="V503" s="845"/>
      <c r="W503" s="845"/>
      <c r="X503" s="845"/>
      <c r="Y503" s="845"/>
    </row>
    <row r="504" spans="1:25" x14ac:dyDescent="0.2">
      <c r="A504" s="1828"/>
      <c r="B504" s="1828"/>
      <c r="C504" s="1828"/>
      <c r="D504" s="1828"/>
      <c r="E504" s="844"/>
      <c r="R504" s="845"/>
      <c r="S504" s="845"/>
      <c r="T504" s="845"/>
      <c r="U504" s="845"/>
      <c r="V504" s="845"/>
      <c r="W504" s="845"/>
      <c r="X504" s="845"/>
      <c r="Y504" s="845"/>
    </row>
    <row r="505" spans="1:25" x14ac:dyDescent="0.2">
      <c r="A505" s="1828"/>
      <c r="B505" s="1828"/>
      <c r="C505" s="1828"/>
      <c r="D505" s="1828"/>
      <c r="E505" s="844"/>
      <c r="R505" s="845"/>
      <c r="S505" s="845"/>
      <c r="T505" s="845"/>
      <c r="U505" s="845"/>
      <c r="V505" s="845"/>
      <c r="W505" s="845"/>
      <c r="X505" s="845"/>
      <c r="Y505" s="845"/>
    </row>
    <row r="506" spans="1:25" x14ac:dyDescent="0.2">
      <c r="A506" s="1828"/>
      <c r="B506" s="1828"/>
      <c r="C506" s="1828"/>
      <c r="D506" s="1828"/>
      <c r="E506" s="844"/>
      <c r="R506" s="845"/>
      <c r="S506" s="845"/>
      <c r="T506" s="845"/>
      <c r="U506" s="845"/>
      <c r="V506" s="845"/>
      <c r="W506" s="845"/>
      <c r="X506" s="845"/>
      <c r="Y506" s="845"/>
    </row>
    <row r="507" spans="1:25" x14ac:dyDescent="0.2">
      <c r="A507" s="1828"/>
      <c r="B507" s="1828"/>
      <c r="C507" s="1828"/>
      <c r="D507" s="1828"/>
      <c r="E507" s="844"/>
      <c r="R507" s="845"/>
      <c r="S507" s="845"/>
      <c r="T507" s="845"/>
      <c r="U507" s="845"/>
      <c r="V507" s="845"/>
      <c r="W507" s="845"/>
      <c r="X507" s="845"/>
      <c r="Y507" s="845"/>
    </row>
    <row r="508" spans="1:25" x14ac:dyDescent="0.2">
      <c r="A508" s="1828"/>
      <c r="B508" s="1828"/>
      <c r="C508" s="1828"/>
      <c r="D508" s="1828"/>
      <c r="E508" s="844"/>
      <c r="R508" s="845"/>
      <c r="S508" s="845"/>
      <c r="T508" s="845"/>
      <c r="U508" s="845"/>
      <c r="V508" s="845"/>
      <c r="W508" s="845"/>
      <c r="X508" s="845"/>
      <c r="Y508" s="845"/>
    </row>
    <row r="509" spans="1:25" x14ac:dyDescent="0.2">
      <c r="A509" s="1828"/>
      <c r="B509" s="1828"/>
      <c r="C509" s="1828"/>
      <c r="D509" s="1828"/>
      <c r="E509" s="844"/>
      <c r="R509" s="845"/>
      <c r="S509" s="845"/>
      <c r="T509" s="845"/>
      <c r="U509" s="845"/>
      <c r="V509" s="845"/>
      <c r="W509" s="845"/>
      <c r="X509" s="845"/>
      <c r="Y509" s="845"/>
    </row>
    <row r="510" spans="1:25" x14ac:dyDescent="0.2">
      <c r="A510" s="1828"/>
      <c r="B510" s="1828"/>
      <c r="C510" s="1828"/>
      <c r="D510" s="1828"/>
      <c r="E510" s="844"/>
      <c r="R510" s="845"/>
      <c r="S510" s="845"/>
      <c r="T510" s="845"/>
      <c r="U510" s="845"/>
      <c r="V510" s="845"/>
      <c r="W510" s="845"/>
      <c r="X510" s="845"/>
      <c r="Y510" s="845"/>
    </row>
    <row r="511" spans="1:25" x14ac:dyDescent="0.2">
      <c r="A511" s="1828"/>
      <c r="B511" s="1828"/>
      <c r="C511" s="1828"/>
      <c r="D511" s="1828"/>
      <c r="E511" s="844"/>
      <c r="R511" s="845"/>
      <c r="S511" s="845"/>
      <c r="T511" s="845"/>
      <c r="U511" s="845"/>
      <c r="V511" s="845"/>
      <c r="W511" s="845"/>
      <c r="X511" s="845"/>
      <c r="Y511" s="845"/>
    </row>
    <row r="512" spans="1:25" x14ac:dyDescent="0.2">
      <c r="A512" s="1828"/>
      <c r="B512" s="1828"/>
      <c r="C512" s="1828"/>
      <c r="D512" s="1828"/>
      <c r="E512" s="844"/>
      <c r="R512" s="845"/>
      <c r="S512" s="845"/>
      <c r="T512" s="845"/>
      <c r="U512" s="845"/>
      <c r="V512" s="845"/>
      <c r="W512" s="845"/>
      <c r="X512" s="845"/>
      <c r="Y512" s="845"/>
    </row>
    <row r="513" spans="1:25" x14ac:dyDescent="0.2">
      <c r="A513" s="1828"/>
      <c r="B513" s="1828"/>
      <c r="C513" s="1828"/>
      <c r="D513" s="1828"/>
      <c r="E513" s="844"/>
      <c r="R513" s="845"/>
      <c r="S513" s="845"/>
      <c r="T513" s="845"/>
      <c r="U513" s="845"/>
      <c r="V513" s="845"/>
      <c r="W513" s="845"/>
      <c r="X513" s="845"/>
      <c r="Y513" s="845"/>
    </row>
    <row r="514" spans="1:25" x14ac:dyDescent="0.2">
      <c r="A514" s="1828"/>
      <c r="B514" s="1828"/>
      <c r="C514" s="1828"/>
      <c r="D514" s="1828"/>
      <c r="E514" s="844"/>
      <c r="R514" s="845"/>
      <c r="S514" s="845"/>
      <c r="T514" s="845"/>
      <c r="U514" s="845"/>
      <c r="V514" s="845"/>
      <c r="W514" s="845"/>
      <c r="X514" s="845"/>
      <c r="Y514" s="845"/>
    </row>
    <row r="515" spans="1:25" x14ac:dyDescent="0.2">
      <c r="A515" s="1828"/>
      <c r="B515" s="1828"/>
      <c r="C515" s="1828"/>
      <c r="D515" s="1828"/>
      <c r="E515" s="844"/>
      <c r="R515" s="845"/>
      <c r="S515" s="845"/>
      <c r="T515" s="845"/>
      <c r="U515" s="845"/>
      <c r="V515" s="845"/>
      <c r="W515" s="845"/>
      <c r="X515" s="845"/>
      <c r="Y515" s="845"/>
    </row>
    <row r="516" spans="1:25" x14ac:dyDescent="0.2">
      <c r="A516" s="1828"/>
      <c r="B516" s="1828"/>
      <c r="C516" s="1828"/>
      <c r="D516" s="1828"/>
      <c r="E516" s="844"/>
      <c r="R516" s="845"/>
      <c r="S516" s="845"/>
      <c r="T516" s="845"/>
      <c r="U516" s="845"/>
      <c r="V516" s="845"/>
      <c r="W516" s="845"/>
      <c r="X516" s="845"/>
      <c r="Y516" s="845"/>
    </row>
    <row r="517" spans="1:25" x14ac:dyDescent="0.2">
      <c r="A517" s="1828"/>
      <c r="B517" s="1828"/>
      <c r="C517" s="1828"/>
      <c r="D517" s="1828"/>
      <c r="E517" s="844"/>
      <c r="R517" s="845"/>
      <c r="S517" s="845"/>
      <c r="T517" s="845"/>
      <c r="U517" s="845"/>
      <c r="V517" s="845"/>
      <c r="W517" s="845"/>
      <c r="X517" s="845"/>
      <c r="Y517" s="845"/>
    </row>
    <row r="518" spans="1:25" x14ac:dyDescent="0.2">
      <c r="A518" s="1828"/>
      <c r="B518" s="1828"/>
      <c r="C518" s="1828"/>
      <c r="D518" s="1828"/>
      <c r="E518" s="844"/>
      <c r="R518" s="845"/>
      <c r="S518" s="845"/>
      <c r="T518" s="845"/>
      <c r="U518" s="845"/>
      <c r="V518" s="845"/>
      <c r="W518" s="845"/>
      <c r="X518" s="845"/>
      <c r="Y518" s="845"/>
    </row>
    <row r="519" spans="1:25" x14ac:dyDescent="0.2">
      <c r="A519" s="1828"/>
      <c r="B519" s="1828"/>
      <c r="C519" s="1828"/>
      <c r="D519" s="1828"/>
      <c r="E519" s="844"/>
      <c r="R519" s="845"/>
      <c r="S519" s="845"/>
      <c r="T519" s="845"/>
      <c r="U519" s="845"/>
      <c r="V519" s="845"/>
      <c r="W519" s="845"/>
      <c r="X519" s="845"/>
      <c r="Y519" s="845"/>
    </row>
    <row r="520" spans="1:25" x14ac:dyDescent="0.2">
      <c r="A520" s="1828"/>
      <c r="B520" s="1828"/>
      <c r="C520" s="1828"/>
      <c r="D520" s="1828"/>
      <c r="E520" s="844"/>
      <c r="R520" s="845"/>
      <c r="S520" s="845"/>
      <c r="T520" s="845"/>
      <c r="U520" s="845"/>
      <c r="V520" s="845"/>
      <c r="W520" s="845"/>
      <c r="X520" s="845"/>
      <c r="Y520" s="845"/>
    </row>
    <row r="521" spans="1:25" x14ac:dyDescent="0.2">
      <c r="A521" s="1828"/>
      <c r="B521" s="1828"/>
      <c r="C521" s="1828"/>
      <c r="D521" s="1828"/>
      <c r="E521" s="844"/>
      <c r="R521" s="845"/>
      <c r="S521" s="845"/>
      <c r="T521" s="845"/>
      <c r="U521" s="845"/>
      <c r="V521" s="845"/>
      <c r="W521" s="845"/>
      <c r="X521" s="845"/>
      <c r="Y521" s="845"/>
    </row>
    <row r="522" spans="1:25" x14ac:dyDescent="0.2">
      <c r="A522" s="1828"/>
      <c r="B522" s="1828"/>
      <c r="C522" s="1828"/>
      <c r="D522" s="1828"/>
      <c r="E522" s="844"/>
      <c r="R522" s="845"/>
      <c r="S522" s="845"/>
      <c r="T522" s="845"/>
      <c r="U522" s="845"/>
      <c r="V522" s="845"/>
      <c r="W522" s="845"/>
      <c r="X522" s="845"/>
      <c r="Y522" s="845"/>
    </row>
    <row r="523" spans="1:25" x14ac:dyDescent="0.2">
      <c r="A523" s="1828"/>
      <c r="B523" s="1828"/>
      <c r="C523" s="1828"/>
      <c r="D523" s="1828"/>
      <c r="E523" s="844"/>
      <c r="R523" s="845"/>
      <c r="S523" s="845"/>
      <c r="T523" s="845"/>
      <c r="U523" s="845"/>
      <c r="V523" s="845"/>
      <c r="W523" s="845"/>
      <c r="X523" s="845"/>
      <c r="Y523" s="845"/>
    </row>
    <row r="524" spans="1:25" x14ac:dyDescent="0.2">
      <c r="A524" s="1828"/>
      <c r="B524" s="1828"/>
      <c r="C524" s="1828"/>
      <c r="D524" s="1828"/>
      <c r="E524" s="844"/>
      <c r="R524" s="845"/>
      <c r="S524" s="845"/>
      <c r="T524" s="845"/>
      <c r="U524" s="845"/>
      <c r="V524" s="845"/>
      <c r="W524" s="845"/>
      <c r="X524" s="845"/>
      <c r="Y524" s="845"/>
    </row>
    <row r="525" spans="1:25" x14ac:dyDescent="0.2">
      <c r="A525" s="1828"/>
      <c r="B525" s="1828"/>
      <c r="C525" s="1828"/>
      <c r="D525" s="1828"/>
      <c r="E525" s="844"/>
      <c r="R525" s="845"/>
      <c r="S525" s="845"/>
      <c r="T525" s="845"/>
      <c r="U525" s="845"/>
      <c r="V525" s="845"/>
      <c r="W525" s="845"/>
      <c r="X525" s="845"/>
      <c r="Y525" s="845"/>
    </row>
    <row r="526" spans="1:25" x14ac:dyDescent="0.2">
      <c r="A526" s="1828"/>
      <c r="B526" s="1828"/>
      <c r="C526" s="1828"/>
      <c r="D526" s="1828"/>
      <c r="E526" s="844"/>
      <c r="R526" s="845"/>
      <c r="S526" s="845"/>
      <c r="T526" s="845"/>
      <c r="U526" s="845"/>
      <c r="V526" s="845"/>
      <c r="W526" s="845"/>
      <c r="X526" s="845"/>
      <c r="Y526" s="845"/>
    </row>
    <row r="527" spans="1:25" x14ac:dyDescent="0.2">
      <c r="A527" s="1828"/>
      <c r="B527" s="1828"/>
      <c r="C527" s="1828"/>
      <c r="D527" s="1828"/>
      <c r="E527" s="844"/>
      <c r="R527" s="845"/>
      <c r="S527" s="845"/>
      <c r="T527" s="845"/>
      <c r="U527" s="845"/>
      <c r="V527" s="845"/>
      <c r="W527" s="845"/>
      <c r="X527" s="845"/>
      <c r="Y527" s="845"/>
    </row>
    <row r="528" spans="1:25" x14ac:dyDescent="0.2">
      <c r="A528" s="1828"/>
      <c r="B528" s="1828"/>
      <c r="C528" s="1828"/>
      <c r="D528" s="1828"/>
      <c r="E528" s="844"/>
      <c r="R528" s="845"/>
      <c r="S528" s="845"/>
      <c r="T528" s="845"/>
      <c r="U528" s="845"/>
      <c r="V528" s="845"/>
      <c r="W528" s="845"/>
      <c r="X528" s="845"/>
      <c r="Y528" s="845"/>
    </row>
    <row r="529" spans="1:25" x14ac:dyDescent="0.2">
      <c r="A529" s="1828"/>
      <c r="B529" s="1828"/>
      <c r="C529" s="1828"/>
      <c r="D529" s="1828"/>
      <c r="E529" s="844"/>
      <c r="R529" s="845"/>
      <c r="S529" s="845"/>
      <c r="T529" s="845"/>
      <c r="U529" s="845"/>
      <c r="V529" s="845"/>
      <c r="W529" s="845"/>
      <c r="X529" s="845"/>
      <c r="Y529" s="845"/>
    </row>
    <row r="530" spans="1:25" x14ac:dyDescent="0.2">
      <c r="A530" s="1828"/>
      <c r="B530" s="1828"/>
      <c r="C530" s="1828"/>
      <c r="D530" s="1828"/>
      <c r="E530" s="844"/>
      <c r="R530" s="845"/>
      <c r="S530" s="845"/>
      <c r="T530" s="845"/>
      <c r="U530" s="845"/>
      <c r="V530" s="845"/>
      <c r="W530" s="845"/>
      <c r="X530" s="845"/>
      <c r="Y530" s="845"/>
    </row>
    <row r="531" spans="1:25" x14ac:dyDescent="0.2">
      <c r="A531" s="1828"/>
      <c r="B531" s="1828"/>
      <c r="C531" s="1828"/>
      <c r="D531" s="1828"/>
      <c r="E531" s="844"/>
      <c r="R531" s="845"/>
      <c r="S531" s="845"/>
      <c r="T531" s="845"/>
      <c r="U531" s="845"/>
      <c r="V531" s="845"/>
      <c r="W531" s="845"/>
      <c r="X531" s="845"/>
      <c r="Y531" s="845"/>
    </row>
    <row r="532" spans="1:25" x14ac:dyDescent="0.2">
      <c r="A532" s="1828"/>
      <c r="B532" s="1828"/>
      <c r="C532" s="1828"/>
      <c r="D532" s="1828"/>
      <c r="E532" s="844"/>
      <c r="R532" s="845"/>
      <c r="S532" s="845"/>
      <c r="T532" s="845"/>
      <c r="U532" s="845"/>
      <c r="V532" s="845"/>
      <c r="W532" s="845"/>
      <c r="X532" s="845"/>
      <c r="Y532" s="845"/>
    </row>
    <row r="533" spans="1:25" x14ac:dyDescent="0.2">
      <c r="A533" s="1828"/>
      <c r="B533" s="1828"/>
      <c r="C533" s="1828"/>
      <c r="D533" s="1828"/>
      <c r="E533" s="844"/>
      <c r="R533" s="845"/>
      <c r="S533" s="845"/>
      <c r="T533" s="845"/>
      <c r="U533" s="845"/>
      <c r="V533" s="845"/>
      <c r="W533" s="845"/>
      <c r="X533" s="845"/>
      <c r="Y533" s="845"/>
    </row>
    <row r="534" spans="1:25" x14ac:dyDescent="0.2">
      <c r="A534" s="1828"/>
      <c r="B534" s="1828"/>
      <c r="C534" s="1828"/>
      <c r="D534" s="1828"/>
      <c r="E534" s="844"/>
      <c r="R534" s="845"/>
      <c r="S534" s="845"/>
      <c r="T534" s="845"/>
      <c r="U534" s="845"/>
      <c r="V534" s="845"/>
      <c r="W534" s="845"/>
      <c r="X534" s="845"/>
      <c r="Y534" s="845"/>
    </row>
    <row r="535" spans="1:25" x14ac:dyDescent="0.2">
      <c r="A535" s="1828"/>
      <c r="B535" s="1828"/>
      <c r="C535" s="1828"/>
      <c r="D535" s="1828"/>
      <c r="E535" s="844"/>
      <c r="R535" s="845"/>
      <c r="S535" s="845"/>
      <c r="T535" s="845"/>
      <c r="U535" s="845"/>
      <c r="V535" s="845"/>
      <c r="W535" s="845"/>
      <c r="X535" s="845"/>
      <c r="Y535" s="845"/>
    </row>
    <row r="536" spans="1:25" x14ac:dyDescent="0.2">
      <c r="A536" s="1828"/>
      <c r="B536" s="1828"/>
      <c r="C536" s="1828"/>
      <c r="D536" s="1828"/>
      <c r="E536" s="844"/>
      <c r="R536" s="845"/>
      <c r="S536" s="845"/>
      <c r="T536" s="845"/>
      <c r="U536" s="845"/>
      <c r="V536" s="845"/>
      <c r="W536" s="845"/>
      <c r="X536" s="845"/>
      <c r="Y536" s="845"/>
    </row>
    <row r="537" spans="1:25" x14ac:dyDescent="0.2">
      <c r="A537" s="1828"/>
      <c r="B537" s="1828"/>
      <c r="C537" s="1828"/>
      <c r="D537" s="1828"/>
      <c r="E537" s="844"/>
      <c r="R537" s="845"/>
      <c r="S537" s="845"/>
      <c r="T537" s="845"/>
      <c r="U537" s="845"/>
      <c r="V537" s="845"/>
      <c r="W537" s="845"/>
      <c r="X537" s="845"/>
      <c r="Y537" s="845"/>
    </row>
    <row r="538" spans="1:25" x14ac:dyDescent="0.2">
      <c r="A538" s="1828"/>
      <c r="B538" s="1828"/>
      <c r="C538" s="1828"/>
      <c r="D538" s="1828"/>
      <c r="E538" s="844"/>
      <c r="R538" s="845"/>
      <c r="S538" s="845"/>
      <c r="T538" s="845"/>
      <c r="U538" s="845"/>
      <c r="V538" s="845"/>
      <c r="W538" s="845"/>
      <c r="X538" s="845"/>
      <c r="Y538" s="845"/>
    </row>
    <row r="539" spans="1:25" x14ac:dyDescent="0.2">
      <c r="A539" s="1828"/>
      <c r="B539" s="1828"/>
      <c r="C539" s="1828"/>
      <c r="D539" s="1828"/>
      <c r="E539" s="844"/>
      <c r="R539" s="845"/>
      <c r="S539" s="845"/>
      <c r="T539" s="845"/>
      <c r="U539" s="845"/>
      <c r="V539" s="845"/>
      <c r="W539" s="845"/>
      <c r="X539" s="845"/>
      <c r="Y539" s="845"/>
    </row>
    <row r="540" spans="1:25" x14ac:dyDescent="0.2">
      <c r="A540" s="1828"/>
      <c r="B540" s="1828"/>
      <c r="C540" s="1828"/>
      <c r="D540" s="1828"/>
      <c r="E540" s="844"/>
      <c r="R540" s="845"/>
      <c r="S540" s="845"/>
      <c r="T540" s="845"/>
      <c r="U540" s="845"/>
      <c r="V540" s="845"/>
      <c r="W540" s="845"/>
      <c r="X540" s="845"/>
      <c r="Y540" s="845"/>
    </row>
    <row r="541" spans="1:25" x14ac:dyDescent="0.2">
      <c r="A541" s="1828"/>
      <c r="B541" s="1828"/>
      <c r="C541" s="1828"/>
      <c r="D541" s="1828"/>
      <c r="E541" s="844"/>
      <c r="R541" s="845"/>
      <c r="S541" s="845"/>
      <c r="T541" s="845"/>
      <c r="U541" s="845"/>
      <c r="V541" s="845"/>
      <c r="W541" s="845"/>
      <c r="X541" s="845"/>
      <c r="Y541" s="845"/>
    </row>
    <row r="542" spans="1:25" x14ac:dyDescent="0.2">
      <c r="A542" s="1828"/>
      <c r="B542" s="1828"/>
      <c r="C542" s="1828"/>
      <c r="D542" s="1828"/>
      <c r="E542" s="844"/>
      <c r="R542" s="845"/>
      <c r="S542" s="845"/>
      <c r="T542" s="845"/>
      <c r="U542" s="845"/>
      <c r="V542" s="845"/>
      <c r="W542" s="845"/>
      <c r="X542" s="845"/>
      <c r="Y542" s="845"/>
    </row>
    <row r="543" spans="1:25" x14ac:dyDescent="0.2">
      <c r="A543" s="1828"/>
      <c r="B543" s="1828"/>
      <c r="C543" s="1828"/>
      <c r="D543" s="1828"/>
      <c r="E543" s="844"/>
      <c r="R543" s="845"/>
      <c r="S543" s="845"/>
      <c r="T543" s="845"/>
      <c r="U543" s="845"/>
      <c r="V543" s="845"/>
      <c r="W543" s="845"/>
      <c r="X543" s="845"/>
      <c r="Y543" s="845"/>
    </row>
    <row r="544" spans="1:25" x14ac:dyDescent="0.2">
      <c r="A544" s="1828"/>
      <c r="B544" s="1828"/>
      <c r="C544" s="1828"/>
      <c r="D544" s="1828"/>
      <c r="E544" s="844"/>
      <c r="R544" s="845"/>
      <c r="S544" s="845"/>
      <c r="T544" s="845"/>
      <c r="U544" s="845"/>
      <c r="V544" s="845"/>
      <c r="W544" s="845"/>
      <c r="X544" s="845"/>
      <c r="Y544" s="845"/>
    </row>
    <row r="545" spans="1:25" x14ac:dyDescent="0.2">
      <c r="A545" s="1828"/>
      <c r="B545" s="1828"/>
      <c r="C545" s="1828"/>
      <c r="D545" s="1828"/>
      <c r="E545" s="844"/>
      <c r="R545" s="845"/>
      <c r="S545" s="845"/>
      <c r="T545" s="845"/>
      <c r="U545" s="845"/>
      <c r="V545" s="845"/>
      <c r="W545" s="845"/>
      <c r="X545" s="845"/>
      <c r="Y545" s="845"/>
    </row>
    <row r="546" spans="1:25" x14ac:dyDescent="0.2">
      <c r="A546" s="1828"/>
      <c r="B546" s="1828"/>
      <c r="C546" s="1828"/>
      <c r="D546" s="1828"/>
      <c r="E546" s="844"/>
      <c r="R546" s="845"/>
      <c r="S546" s="845"/>
      <c r="T546" s="845"/>
      <c r="U546" s="845"/>
      <c r="V546" s="845"/>
      <c r="W546" s="845"/>
      <c r="X546" s="845"/>
      <c r="Y546" s="845"/>
    </row>
    <row r="547" spans="1:25" x14ac:dyDescent="0.2">
      <c r="A547" s="1828"/>
      <c r="B547" s="1828"/>
      <c r="C547" s="1828"/>
      <c r="D547" s="1828"/>
      <c r="E547" s="844"/>
      <c r="R547" s="845"/>
      <c r="S547" s="845"/>
      <c r="T547" s="845"/>
      <c r="U547" s="845"/>
      <c r="V547" s="845"/>
      <c r="W547" s="845"/>
      <c r="X547" s="845"/>
      <c r="Y547" s="845"/>
    </row>
    <row r="548" spans="1:25" x14ac:dyDescent="0.2">
      <c r="A548" s="1828"/>
      <c r="B548" s="1828"/>
      <c r="C548" s="1828"/>
      <c r="D548" s="1828"/>
      <c r="E548" s="844"/>
      <c r="R548" s="845"/>
      <c r="S548" s="845"/>
      <c r="T548" s="845"/>
      <c r="U548" s="845"/>
      <c r="V548" s="845"/>
      <c r="W548" s="845"/>
      <c r="X548" s="845"/>
      <c r="Y548" s="845"/>
    </row>
    <row r="549" spans="1:25" x14ac:dyDescent="0.2">
      <c r="A549" s="1828"/>
      <c r="B549" s="1828"/>
      <c r="C549" s="1828"/>
      <c r="D549" s="1828"/>
      <c r="E549" s="844"/>
      <c r="R549" s="845"/>
      <c r="S549" s="845"/>
      <c r="T549" s="845"/>
      <c r="U549" s="845"/>
      <c r="V549" s="845"/>
      <c r="W549" s="845"/>
      <c r="X549" s="845"/>
      <c r="Y549" s="845"/>
    </row>
    <row r="550" spans="1:25" x14ac:dyDescent="0.2">
      <c r="A550" s="1828"/>
      <c r="B550" s="1828"/>
      <c r="C550" s="1828"/>
      <c r="D550" s="1828"/>
      <c r="E550" s="844"/>
      <c r="R550" s="845"/>
      <c r="S550" s="845"/>
      <c r="T550" s="845"/>
      <c r="U550" s="845"/>
      <c r="V550" s="845"/>
      <c r="W550" s="845"/>
      <c r="X550" s="845"/>
      <c r="Y550" s="845"/>
    </row>
    <row r="551" spans="1:25" x14ac:dyDescent="0.2">
      <c r="A551" s="1828"/>
      <c r="B551" s="1828"/>
      <c r="C551" s="1828"/>
      <c r="D551" s="1828"/>
      <c r="E551" s="844"/>
      <c r="R551" s="845"/>
      <c r="S551" s="845"/>
      <c r="T551" s="845"/>
      <c r="U551" s="845"/>
      <c r="V551" s="845"/>
      <c r="W551" s="845"/>
      <c r="X551" s="845"/>
      <c r="Y551" s="845"/>
    </row>
    <row r="552" spans="1:25" x14ac:dyDescent="0.2">
      <c r="A552" s="1828"/>
      <c r="B552" s="1828"/>
      <c r="C552" s="1828"/>
      <c r="D552" s="1828"/>
      <c r="E552" s="844"/>
      <c r="R552" s="845"/>
      <c r="S552" s="845"/>
      <c r="T552" s="845"/>
      <c r="U552" s="845"/>
      <c r="V552" s="845"/>
      <c r="W552" s="845"/>
      <c r="X552" s="845"/>
      <c r="Y552" s="845"/>
    </row>
    <row r="553" spans="1:25" x14ac:dyDescent="0.2">
      <c r="A553" s="1828"/>
      <c r="B553" s="1828"/>
      <c r="C553" s="1828"/>
      <c r="D553" s="1828"/>
      <c r="E553" s="844"/>
      <c r="R553" s="845"/>
      <c r="S553" s="845"/>
      <c r="T553" s="845"/>
      <c r="U553" s="845"/>
      <c r="V553" s="845"/>
      <c r="W553" s="845"/>
      <c r="X553" s="845"/>
      <c r="Y553" s="845"/>
    </row>
    <row r="554" spans="1:25" x14ac:dyDescent="0.2">
      <c r="A554" s="1828"/>
      <c r="B554" s="1828"/>
      <c r="C554" s="1828"/>
      <c r="D554" s="1828"/>
      <c r="E554" s="844"/>
      <c r="R554" s="845"/>
      <c r="S554" s="845"/>
      <c r="T554" s="845"/>
      <c r="U554" s="845"/>
      <c r="V554" s="845"/>
      <c r="W554" s="845"/>
      <c r="X554" s="845"/>
      <c r="Y554" s="845"/>
    </row>
    <row r="555" spans="1:25" x14ac:dyDescent="0.2">
      <c r="A555" s="1828"/>
      <c r="B555" s="1828"/>
      <c r="C555" s="1828"/>
      <c r="D555" s="1828"/>
      <c r="E555" s="844"/>
      <c r="R555" s="845"/>
      <c r="S555" s="845"/>
      <c r="T555" s="845"/>
      <c r="U555" s="845"/>
      <c r="V555" s="845"/>
      <c r="W555" s="845"/>
      <c r="X555" s="845"/>
      <c r="Y555" s="845"/>
    </row>
    <row r="556" spans="1:25" x14ac:dyDescent="0.2">
      <c r="A556" s="1828"/>
      <c r="B556" s="1828"/>
      <c r="C556" s="1828"/>
      <c r="D556" s="1828"/>
      <c r="E556" s="844"/>
      <c r="R556" s="845"/>
      <c r="S556" s="845"/>
      <c r="T556" s="845"/>
      <c r="U556" s="845"/>
      <c r="V556" s="845"/>
      <c r="W556" s="845"/>
      <c r="X556" s="845"/>
      <c r="Y556" s="845"/>
    </row>
    <row r="557" spans="1:25" x14ac:dyDescent="0.2">
      <c r="A557" s="1828"/>
      <c r="B557" s="1828"/>
      <c r="C557" s="1828"/>
      <c r="D557" s="1828"/>
      <c r="E557" s="844"/>
      <c r="R557" s="845"/>
      <c r="S557" s="845"/>
      <c r="T557" s="845"/>
      <c r="U557" s="845"/>
      <c r="V557" s="845"/>
      <c r="W557" s="845"/>
      <c r="X557" s="845"/>
      <c r="Y557" s="845"/>
    </row>
    <row r="558" spans="1:25" x14ac:dyDescent="0.2">
      <c r="A558" s="1828"/>
      <c r="B558" s="1828"/>
      <c r="C558" s="1828"/>
      <c r="D558" s="1828"/>
      <c r="E558" s="844"/>
      <c r="R558" s="845"/>
      <c r="S558" s="845"/>
      <c r="T558" s="845"/>
      <c r="U558" s="845"/>
      <c r="V558" s="845"/>
      <c r="W558" s="845"/>
      <c r="X558" s="845"/>
      <c r="Y558" s="845"/>
    </row>
    <row r="559" spans="1:25" x14ac:dyDescent="0.2">
      <c r="A559" s="1828"/>
      <c r="B559" s="1828"/>
      <c r="C559" s="1828"/>
      <c r="D559" s="1828"/>
      <c r="E559" s="844"/>
      <c r="R559" s="845"/>
      <c r="S559" s="845"/>
      <c r="T559" s="845"/>
      <c r="U559" s="845"/>
      <c r="V559" s="845"/>
      <c r="W559" s="845"/>
      <c r="X559" s="845"/>
      <c r="Y559" s="845"/>
    </row>
    <row r="560" spans="1:25" x14ac:dyDescent="0.2">
      <c r="A560" s="1828"/>
      <c r="B560" s="1828"/>
      <c r="C560" s="1828"/>
      <c r="D560" s="1828"/>
      <c r="E560" s="844"/>
      <c r="R560" s="845"/>
      <c r="S560" s="845"/>
      <c r="T560" s="845"/>
      <c r="U560" s="845"/>
      <c r="V560" s="845"/>
      <c r="W560" s="845"/>
      <c r="X560" s="845"/>
      <c r="Y560" s="845"/>
    </row>
    <row r="561" spans="1:25" x14ac:dyDescent="0.2">
      <c r="A561" s="1828"/>
      <c r="B561" s="1828"/>
      <c r="C561" s="1828"/>
      <c r="D561" s="1828"/>
      <c r="E561" s="844"/>
      <c r="R561" s="845"/>
      <c r="S561" s="845"/>
      <c r="T561" s="845"/>
      <c r="U561" s="845"/>
      <c r="V561" s="845"/>
      <c r="W561" s="845"/>
      <c r="X561" s="845"/>
      <c r="Y561" s="845"/>
    </row>
    <row r="562" spans="1:25" x14ac:dyDescent="0.2">
      <c r="A562" s="1828"/>
      <c r="B562" s="1828"/>
      <c r="C562" s="1828"/>
      <c r="D562" s="1828"/>
      <c r="E562" s="844"/>
      <c r="R562" s="845"/>
      <c r="S562" s="845"/>
      <c r="T562" s="845"/>
      <c r="U562" s="845"/>
      <c r="V562" s="845"/>
      <c r="W562" s="845"/>
      <c r="X562" s="845"/>
      <c r="Y562" s="845"/>
    </row>
    <row r="563" spans="1:25" x14ac:dyDescent="0.2">
      <c r="A563" s="1828"/>
      <c r="B563" s="1828"/>
      <c r="C563" s="1828"/>
      <c r="D563" s="1828"/>
      <c r="E563" s="844"/>
      <c r="R563" s="845"/>
      <c r="S563" s="845"/>
      <c r="T563" s="845"/>
      <c r="U563" s="845"/>
      <c r="V563" s="845"/>
      <c r="W563" s="845"/>
      <c r="X563" s="845"/>
      <c r="Y563" s="845"/>
    </row>
    <row r="564" spans="1:25" x14ac:dyDescent="0.2">
      <c r="A564" s="1828"/>
      <c r="B564" s="1828"/>
      <c r="C564" s="1828"/>
      <c r="D564" s="1828"/>
      <c r="E564" s="844"/>
      <c r="R564" s="845"/>
      <c r="S564" s="845"/>
      <c r="T564" s="845"/>
      <c r="U564" s="845"/>
      <c r="V564" s="845"/>
      <c r="W564" s="845"/>
      <c r="X564" s="845"/>
      <c r="Y564" s="845"/>
    </row>
    <row r="565" spans="1:25" x14ac:dyDescent="0.2">
      <c r="A565" s="1828"/>
      <c r="B565" s="1828"/>
      <c r="C565" s="1828"/>
      <c r="D565" s="1828"/>
      <c r="E565" s="844"/>
      <c r="R565" s="845"/>
      <c r="S565" s="845"/>
      <c r="T565" s="845"/>
      <c r="U565" s="845"/>
      <c r="V565" s="845"/>
      <c r="W565" s="845"/>
      <c r="X565" s="845"/>
      <c r="Y565" s="845"/>
    </row>
    <row r="566" spans="1:25" x14ac:dyDescent="0.2">
      <c r="A566" s="1828"/>
      <c r="B566" s="1828"/>
      <c r="C566" s="1828"/>
      <c r="D566" s="1828"/>
      <c r="E566" s="844"/>
      <c r="R566" s="845"/>
      <c r="S566" s="845"/>
      <c r="T566" s="845"/>
      <c r="U566" s="845"/>
      <c r="V566" s="845"/>
      <c r="W566" s="845"/>
      <c r="X566" s="845"/>
      <c r="Y566" s="845"/>
    </row>
    <row r="567" spans="1:25" x14ac:dyDescent="0.2">
      <c r="A567" s="1828"/>
      <c r="B567" s="1828"/>
      <c r="C567" s="1828"/>
      <c r="D567" s="1828"/>
      <c r="E567" s="844"/>
      <c r="R567" s="845"/>
      <c r="S567" s="845"/>
      <c r="T567" s="845"/>
      <c r="U567" s="845"/>
      <c r="V567" s="845"/>
      <c r="W567" s="845"/>
      <c r="X567" s="845"/>
      <c r="Y567" s="845"/>
    </row>
    <row r="568" spans="1:25" x14ac:dyDescent="0.2">
      <c r="A568" s="1828"/>
      <c r="B568" s="1828"/>
      <c r="C568" s="1828"/>
      <c r="D568" s="1828"/>
      <c r="E568" s="844"/>
      <c r="R568" s="845"/>
      <c r="S568" s="845"/>
      <c r="T568" s="845"/>
      <c r="U568" s="845"/>
      <c r="V568" s="845"/>
      <c r="W568" s="845"/>
      <c r="X568" s="845"/>
      <c r="Y568" s="845"/>
    </row>
    <row r="569" spans="1:25" x14ac:dyDescent="0.2">
      <c r="A569" s="1828"/>
      <c r="B569" s="1828"/>
      <c r="C569" s="1828"/>
      <c r="D569" s="1828"/>
      <c r="E569" s="844"/>
      <c r="R569" s="845"/>
      <c r="S569" s="845"/>
      <c r="T569" s="845"/>
      <c r="U569" s="845"/>
      <c r="V569" s="845"/>
      <c r="W569" s="845"/>
      <c r="X569" s="845"/>
      <c r="Y569" s="845"/>
    </row>
    <row r="570" spans="1:25" x14ac:dyDescent="0.2">
      <c r="A570" s="1828"/>
      <c r="B570" s="1828"/>
      <c r="C570" s="1828"/>
      <c r="D570" s="1828"/>
      <c r="E570" s="844"/>
      <c r="R570" s="845"/>
      <c r="S570" s="845"/>
      <c r="T570" s="845"/>
      <c r="U570" s="845"/>
      <c r="V570" s="845"/>
      <c r="W570" s="845"/>
      <c r="X570" s="845"/>
      <c r="Y570" s="845"/>
    </row>
    <row r="571" spans="1:25" x14ac:dyDescent="0.2">
      <c r="A571" s="1828"/>
      <c r="B571" s="1828"/>
      <c r="C571" s="1828"/>
      <c r="D571" s="1828"/>
      <c r="E571" s="844"/>
      <c r="R571" s="845"/>
      <c r="S571" s="845"/>
      <c r="T571" s="845"/>
      <c r="U571" s="845"/>
      <c r="V571" s="845"/>
      <c r="W571" s="845"/>
      <c r="X571" s="845"/>
      <c r="Y571" s="845"/>
    </row>
    <row r="572" spans="1:25" x14ac:dyDescent="0.2">
      <c r="A572" s="1828"/>
      <c r="B572" s="1828"/>
      <c r="C572" s="1828"/>
      <c r="D572" s="1828"/>
      <c r="E572" s="844"/>
      <c r="R572" s="845"/>
      <c r="S572" s="845"/>
      <c r="T572" s="845"/>
      <c r="U572" s="845"/>
      <c r="V572" s="845"/>
      <c r="W572" s="845"/>
      <c r="X572" s="845"/>
      <c r="Y572" s="845"/>
    </row>
    <row r="573" spans="1:25" x14ac:dyDescent="0.2">
      <c r="A573" s="1828"/>
      <c r="B573" s="1828"/>
      <c r="C573" s="1828"/>
      <c r="D573" s="1828"/>
      <c r="E573" s="844"/>
      <c r="R573" s="845"/>
      <c r="S573" s="845"/>
      <c r="T573" s="845"/>
      <c r="U573" s="845"/>
      <c r="V573" s="845"/>
      <c r="W573" s="845"/>
      <c r="X573" s="845"/>
      <c r="Y573" s="845"/>
    </row>
    <row r="574" spans="1:25" x14ac:dyDescent="0.2">
      <c r="A574" s="1828"/>
      <c r="B574" s="1828"/>
      <c r="C574" s="1828"/>
      <c r="D574" s="1828"/>
      <c r="E574" s="844"/>
      <c r="R574" s="845"/>
      <c r="S574" s="845"/>
      <c r="T574" s="845"/>
      <c r="U574" s="845"/>
      <c r="V574" s="845"/>
      <c r="W574" s="845"/>
      <c r="X574" s="845"/>
      <c r="Y574" s="845"/>
    </row>
    <row r="575" spans="1:25" x14ac:dyDescent="0.2">
      <c r="A575" s="1828"/>
      <c r="B575" s="1828"/>
      <c r="C575" s="1828"/>
      <c r="D575" s="1828"/>
      <c r="E575" s="844"/>
      <c r="R575" s="845"/>
      <c r="S575" s="845"/>
      <c r="T575" s="845"/>
      <c r="U575" s="845"/>
      <c r="V575" s="845"/>
      <c r="W575" s="845"/>
      <c r="X575" s="845"/>
      <c r="Y575" s="845"/>
    </row>
    <row r="576" spans="1:25" x14ac:dyDescent="0.2">
      <c r="A576" s="1828"/>
      <c r="B576" s="1828"/>
      <c r="C576" s="1828"/>
      <c r="D576" s="1828"/>
      <c r="E576" s="844"/>
      <c r="R576" s="845"/>
      <c r="S576" s="845"/>
      <c r="T576" s="845"/>
      <c r="U576" s="845"/>
      <c r="V576" s="845"/>
      <c r="W576" s="845"/>
      <c r="X576" s="845"/>
      <c r="Y576" s="845"/>
    </row>
    <row r="577" spans="1:25" x14ac:dyDescent="0.2">
      <c r="A577" s="1828"/>
      <c r="B577" s="1828"/>
      <c r="C577" s="1828"/>
      <c r="D577" s="1828"/>
      <c r="E577" s="844"/>
      <c r="R577" s="845"/>
      <c r="S577" s="845"/>
      <c r="T577" s="845"/>
      <c r="U577" s="845"/>
      <c r="V577" s="845"/>
      <c r="W577" s="845"/>
      <c r="X577" s="845"/>
      <c r="Y577" s="845"/>
    </row>
    <row r="578" spans="1:25" x14ac:dyDescent="0.2">
      <c r="A578" s="1828"/>
      <c r="B578" s="1828"/>
      <c r="C578" s="1828"/>
      <c r="D578" s="1828"/>
      <c r="E578" s="844"/>
      <c r="R578" s="845"/>
      <c r="S578" s="845"/>
      <c r="T578" s="845"/>
      <c r="U578" s="845"/>
      <c r="V578" s="845"/>
      <c r="W578" s="845"/>
      <c r="X578" s="845"/>
      <c r="Y578" s="845"/>
    </row>
    <row r="579" spans="1:25" x14ac:dyDescent="0.2">
      <c r="A579" s="1828"/>
      <c r="B579" s="1828"/>
      <c r="C579" s="1828"/>
      <c r="D579" s="1828"/>
      <c r="E579" s="844"/>
      <c r="R579" s="845"/>
      <c r="S579" s="845"/>
      <c r="T579" s="845"/>
      <c r="U579" s="845"/>
      <c r="V579" s="845"/>
      <c r="W579" s="845"/>
      <c r="X579" s="845"/>
      <c r="Y579" s="845"/>
    </row>
    <row r="580" spans="1:25" x14ac:dyDescent="0.2">
      <c r="A580" s="1828"/>
      <c r="B580" s="1828"/>
      <c r="C580" s="1828"/>
      <c r="D580" s="1828"/>
      <c r="E580" s="844"/>
      <c r="R580" s="845"/>
      <c r="S580" s="845"/>
      <c r="T580" s="845"/>
      <c r="U580" s="845"/>
      <c r="V580" s="845"/>
      <c r="W580" s="845"/>
      <c r="X580" s="845"/>
      <c r="Y580" s="845"/>
    </row>
    <row r="581" spans="1:25" x14ac:dyDescent="0.2">
      <c r="A581" s="1828"/>
      <c r="B581" s="1828"/>
      <c r="C581" s="1828"/>
      <c r="D581" s="1828"/>
      <c r="E581" s="844"/>
      <c r="R581" s="845"/>
      <c r="S581" s="845"/>
      <c r="T581" s="845"/>
      <c r="U581" s="845"/>
      <c r="V581" s="845"/>
      <c r="W581" s="845"/>
      <c r="X581" s="845"/>
      <c r="Y581" s="845"/>
    </row>
    <row r="582" spans="1:25" x14ac:dyDescent="0.2">
      <c r="A582" s="1828"/>
      <c r="B582" s="1828"/>
      <c r="C582" s="1828"/>
      <c r="D582" s="1828"/>
      <c r="E582" s="844"/>
      <c r="R582" s="845"/>
      <c r="S582" s="845"/>
      <c r="T582" s="845"/>
      <c r="U582" s="845"/>
      <c r="V582" s="845"/>
      <c r="W582" s="845"/>
      <c r="X582" s="845"/>
      <c r="Y582" s="845"/>
    </row>
    <row r="583" spans="1:25" x14ac:dyDescent="0.2">
      <c r="A583" s="1828"/>
      <c r="B583" s="1828"/>
      <c r="C583" s="1828"/>
      <c r="D583" s="1828"/>
      <c r="E583" s="844"/>
      <c r="R583" s="845"/>
      <c r="S583" s="845"/>
      <c r="T583" s="845"/>
      <c r="U583" s="845"/>
      <c r="V583" s="845"/>
      <c r="W583" s="845"/>
      <c r="X583" s="845"/>
      <c r="Y583" s="845"/>
    </row>
    <row r="584" spans="1:25" x14ac:dyDescent="0.2">
      <c r="A584" s="1828"/>
      <c r="B584" s="1828"/>
      <c r="C584" s="1828"/>
      <c r="D584" s="1828"/>
      <c r="E584" s="844"/>
      <c r="R584" s="845"/>
      <c r="S584" s="845"/>
      <c r="T584" s="845"/>
      <c r="U584" s="845"/>
      <c r="V584" s="845"/>
      <c r="W584" s="845"/>
      <c r="X584" s="845"/>
      <c r="Y584" s="845"/>
    </row>
    <row r="585" spans="1:25" x14ac:dyDescent="0.2">
      <c r="A585" s="1828"/>
      <c r="B585" s="1828"/>
      <c r="C585" s="1828"/>
      <c r="D585" s="1828"/>
      <c r="E585" s="844"/>
      <c r="R585" s="845"/>
      <c r="S585" s="845"/>
      <c r="T585" s="845"/>
      <c r="U585" s="845"/>
      <c r="V585" s="845"/>
      <c r="W585" s="845"/>
      <c r="X585" s="845"/>
      <c r="Y585" s="845"/>
    </row>
    <row r="586" spans="1:25" x14ac:dyDescent="0.2">
      <c r="A586" s="1828"/>
      <c r="B586" s="1828"/>
      <c r="C586" s="1828"/>
      <c r="D586" s="1828"/>
      <c r="E586" s="844"/>
      <c r="R586" s="845"/>
      <c r="S586" s="845"/>
      <c r="T586" s="845"/>
      <c r="U586" s="845"/>
      <c r="V586" s="845"/>
      <c r="W586" s="845"/>
      <c r="X586" s="845"/>
      <c r="Y586" s="845"/>
    </row>
    <row r="587" spans="1:25" x14ac:dyDescent="0.2">
      <c r="A587" s="1828"/>
      <c r="B587" s="1828"/>
      <c r="C587" s="1828"/>
      <c r="D587" s="1828"/>
      <c r="E587" s="844"/>
      <c r="R587" s="845"/>
      <c r="S587" s="845"/>
      <c r="T587" s="845"/>
      <c r="U587" s="845"/>
      <c r="V587" s="845"/>
      <c r="W587" s="845"/>
      <c r="X587" s="845"/>
      <c r="Y587" s="845"/>
    </row>
    <row r="588" spans="1:25" x14ac:dyDescent="0.2">
      <c r="A588" s="1828"/>
      <c r="B588" s="1828"/>
      <c r="C588" s="1828"/>
      <c r="D588" s="1828"/>
      <c r="E588" s="844"/>
      <c r="R588" s="845"/>
      <c r="S588" s="845"/>
      <c r="T588" s="845"/>
      <c r="U588" s="845"/>
      <c r="V588" s="845"/>
      <c r="W588" s="845"/>
      <c r="X588" s="845"/>
      <c r="Y588" s="845"/>
    </row>
    <row r="589" spans="1:25" x14ac:dyDescent="0.2">
      <c r="A589" s="1828"/>
      <c r="B589" s="1828"/>
      <c r="C589" s="1828"/>
      <c r="D589" s="1828"/>
      <c r="E589" s="844"/>
      <c r="R589" s="845"/>
      <c r="S589" s="845"/>
      <c r="T589" s="845"/>
      <c r="U589" s="845"/>
      <c r="V589" s="845"/>
      <c r="W589" s="845"/>
      <c r="X589" s="845"/>
      <c r="Y589" s="845"/>
    </row>
    <row r="590" spans="1:25" x14ac:dyDescent="0.2">
      <c r="A590" s="1828"/>
      <c r="B590" s="1828"/>
      <c r="C590" s="1828"/>
      <c r="D590" s="1828"/>
      <c r="E590" s="844"/>
      <c r="R590" s="845"/>
      <c r="S590" s="845"/>
      <c r="T590" s="845"/>
      <c r="U590" s="845"/>
      <c r="V590" s="845"/>
      <c r="W590" s="845"/>
      <c r="X590" s="845"/>
      <c r="Y590" s="845"/>
    </row>
    <row r="591" spans="1:25" x14ac:dyDescent="0.2">
      <c r="A591" s="1828"/>
      <c r="B591" s="1828"/>
      <c r="C591" s="1828"/>
      <c r="D591" s="1828"/>
      <c r="E591" s="844"/>
      <c r="R591" s="845"/>
      <c r="S591" s="845"/>
      <c r="T591" s="845"/>
      <c r="U591" s="845"/>
      <c r="V591" s="845"/>
      <c r="W591" s="845"/>
      <c r="X591" s="845"/>
      <c r="Y591" s="845"/>
    </row>
    <row r="592" spans="1:25" x14ac:dyDescent="0.2">
      <c r="A592" s="1828"/>
      <c r="B592" s="1828"/>
      <c r="C592" s="1828"/>
      <c r="D592" s="1828"/>
      <c r="E592" s="844"/>
      <c r="R592" s="845"/>
      <c r="S592" s="845"/>
      <c r="T592" s="845"/>
      <c r="U592" s="845"/>
      <c r="V592" s="845"/>
      <c r="W592" s="845"/>
      <c r="X592" s="845"/>
      <c r="Y592" s="845"/>
    </row>
    <row r="593" spans="1:25" x14ac:dyDescent="0.2">
      <c r="A593" s="1828"/>
      <c r="B593" s="1828"/>
      <c r="C593" s="1828"/>
      <c r="D593" s="1828"/>
      <c r="E593" s="844"/>
      <c r="R593" s="845"/>
      <c r="S593" s="845"/>
      <c r="T593" s="845"/>
      <c r="U593" s="845"/>
      <c r="V593" s="845"/>
      <c r="W593" s="845"/>
      <c r="X593" s="845"/>
      <c r="Y593" s="845"/>
    </row>
    <row r="594" spans="1:25" x14ac:dyDescent="0.2">
      <c r="A594" s="1828"/>
      <c r="B594" s="1828"/>
      <c r="C594" s="1828"/>
      <c r="D594" s="1828"/>
      <c r="E594" s="844"/>
      <c r="R594" s="845"/>
      <c r="S594" s="845"/>
      <c r="T594" s="845"/>
      <c r="U594" s="845"/>
      <c r="V594" s="845"/>
      <c r="W594" s="845"/>
      <c r="X594" s="845"/>
      <c r="Y594" s="845"/>
    </row>
    <row r="595" spans="1:25" x14ac:dyDescent="0.2">
      <c r="A595" s="1828"/>
      <c r="B595" s="1828"/>
      <c r="C595" s="1828"/>
      <c r="D595" s="1828"/>
      <c r="E595" s="844"/>
      <c r="R595" s="845"/>
      <c r="S595" s="845"/>
      <c r="T595" s="845"/>
      <c r="U595" s="845"/>
      <c r="V595" s="845"/>
      <c r="W595" s="845"/>
      <c r="X595" s="845"/>
      <c r="Y595" s="845"/>
    </row>
    <row r="596" spans="1:25" x14ac:dyDescent="0.2">
      <c r="A596" s="1828"/>
      <c r="B596" s="1828"/>
      <c r="C596" s="1828"/>
      <c r="D596" s="1828"/>
      <c r="E596" s="844"/>
      <c r="R596" s="845"/>
      <c r="S596" s="845"/>
      <c r="T596" s="845"/>
      <c r="U596" s="845"/>
      <c r="V596" s="845"/>
      <c r="W596" s="845"/>
      <c r="X596" s="845"/>
      <c r="Y596" s="845"/>
    </row>
    <row r="597" spans="1:25" x14ac:dyDescent="0.2">
      <c r="A597" s="1828"/>
      <c r="B597" s="1828"/>
      <c r="C597" s="1828"/>
      <c r="D597" s="1828"/>
      <c r="E597" s="844"/>
      <c r="R597" s="845"/>
      <c r="S597" s="845"/>
      <c r="T597" s="845"/>
      <c r="U597" s="845"/>
      <c r="V597" s="845"/>
      <c r="W597" s="845"/>
      <c r="X597" s="845"/>
      <c r="Y597" s="845"/>
    </row>
    <row r="598" spans="1:25" x14ac:dyDescent="0.2">
      <c r="A598" s="1828"/>
      <c r="B598" s="1828"/>
      <c r="C598" s="1828"/>
      <c r="D598" s="1828"/>
      <c r="E598" s="844"/>
      <c r="R598" s="845"/>
      <c r="S598" s="845"/>
      <c r="T598" s="845"/>
      <c r="U598" s="845"/>
      <c r="V598" s="845"/>
      <c r="W598" s="845"/>
      <c r="X598" s="845"/>
      <c r="Y598" s="845"/>
    </row>
    <row r="599" spans="1:25" x14ac:dyDescent="0.2">
      <c r="A599" s="1828"/>
      <c r="B599" s="1828"/>
      <c r="C599" s="1828"/>
      <c r="D599" s="1828"/>
      <c r="E599" s="844"/>
      <c r="R599" s="845"/>
      <c r="S599" s="845"/>
      <c r="T599" s="845"/>
      <c r="U599" s="845"/>
      <c r="V599" s="845"/>
      <c r="W599" s="845"/>
      <c r="X599" s="845"/>
      <c r="Y599" s="845"/>
    </row>
    <row r="600" spans="1:25" x14ac:dyDescent="0.2">
      <c r="A600" s="1828"/>
      <c r="B600" s="1828"/>
      <c r="C600" s="1828"/>
      <c r="D600" s="1828"/>
      <c r="E600" s="844"/>
      <c r="R600" s="845"/>
      <c r="S600" s="845"/>
      <c r="T600" s="845"/>
      <c r="U600" s="845"/>
      <c r="V600" s="845"/>
      <c r="W600" s="845"/>
      <c r="X600" s="845"/>
      <c r="Y600" s="845"/>
    </row>
    <row r="601" spans="1:25" x14ac:dyDescent="0.2">
      <c r="A601" s="1828"/>
      <c r="B601" s="1828"/>
      <c r="C601" s="1828"/>
      <c r="D601" s="1828"/>
      <c r="E601" s="844"/>
      <c r="R601" s="845"/>
      <c r="S601" s="845"/>
      <c r="T601" s="845"/>
      <c r="U601" s="845"/>
      <c r="V601" s="845"/>
      <c r="W601" s="845"/>
      <c r="X601" s="845"/>
      <c r="Y601" s="845"/>
    </row>
    <row r="602" spans="1:25" x14ac:dyDescent="0.2">
      <c r="A602" s="1828"/>
      <c r="B602" s="1828"/>
      <c r="C602" s="1828"/>
      <c r="D602" s="1828"/>
      <c r="E602" s="844"/>
      <c r="R602" s="845"/>
      <c r="S602" s="845"/>
      <c r="T602" s="845"/>
      <c r="U602" s="845"/>
      <c r="V602" s="845"/>
      <c r="W602" s="845"/>
      <c r="X602" s="845"/>
      <c r="Y602" s="845"/>
    </row>
    <row r="603" spans="1:25" x14ac:dyDescent="0.2">
      <c r="A603" s="1828"/>
      <c r="B603" s="1828"/>
      <c r="C603" s="1828"/>
      <c r="D603" s="1828"/>
      <c r="E603" s="844"/>
      <c r="R603" s="845"/>
      <c r="S603" s="845"/>
      <c r="T603" s="845"/>
      <c r="U603" s="845"/>
      <c r="V603" s="845"/>
      <c r="W603" s="845"/>
      <c r="X603" s="845"/>
      <c r="Y603" s="845"/>
    </row>
    <row r="604" spans="1:25" x14ac:dyDescent="0.2">
      <c r="A604" s="1828"/>
      <c r="B604" s="1828"/>
      <c r="C604" s="1828"/>
      <c r="D604" s="1828"/>
      <c r="E604" s="844"/>
      <c r="R604" s="845"/>
      <c r="S604" s="845"/>
      <c r="T604" s="845"/>
      <c r="U604" s="845"/>
      <c r="V604" s="845"/>
      <c r="W604" s="845"/>
      <c r="X604" s="845"/>
      <c r="Y604" s="845"/>
    </row>
    <row r="605" spans="1:25" x14ac:dyDescent="0.2">
      <c r="A605" s="1828"/>
      <c r="B605" s="1828"/>
      <c r="C605" s="1828"/>
      <c r="D605" s="1828"/>
      <c r="E605" s="844"/>
      <c r="R605" s="845"/>
      <c r="S605" s="845"/>
      <c r="T605" s="845"/>
      <c r="U605" s="845"/>
      <c r="V605" s="845"/>
      <c r="W605" s="845"/>
      <c r="X605" s="845"/>
      <c r="Y605" s="845"/>
    </row>
    <row r="606" spans="1:25" x14ac:dyDescent="0.2">
      <c r="A606" s="1828"/>
      <c r="B606" s="1828"/>
      <c r="C606" s="1828"/>
      <c r="D606" s="1828"/>
      <c r="E606" s="844"/>
      <c r="R606" s="845"/>
      <c r="S606" s="845"/>
      <c r="T606" s="845"/>
      <c r="U606" s="845"/>
      <c r="V606" s="845"/>
      <c r="W606" s="845"/>
      <c r="X606" s="845"/>
      <c r="Y606" s="845"/>
    </row>
    <row r="607" spans="1:25" x14ac:dyDescent="0.2">
      <c r="A607" s="1828"/>
      <c r="B607" s="1828"/>
      <c r="C607" s="1828"/>
      <c r="D607" s="1828"/>
      <c r="E607" s="844"/>
      <c r="R607" s="845"/>
      <c r="S607" s="845"/>
      <c r="T607" s="845"/>
      <c r="U607" s="845"/>
      <c r="V607" s="845"/>
      <c r="W607" s="845"/>
      <c r="X607" s="845"/>
      <c r="Y607" s="845"/>
    </row>
    <row r="608" spans="1:25" x14ac:dyDescent="0.2">
      <c r="A608" s="1828"/>
      <c r="B608" s="1828"/>
      <c r="C608" s="1828"/>
      <c r="D608" s="1828"/>
      <c r="E608" s="844"/>
      <c r="R608" s="845"/>
      <c r="S608" s="845"/>
      <c r="T608" s="845"/>
      <c r="U608" s="845"/>
      <c r="V608" s="845"/>
      <c r="W608" s="845"/>
      <c r="X608" s="845"/>
      <c r="Y608" s="845"/>
    </row>
    <row r="609" spans="1:25" x14ac:dyDescent="0.2">
      <c r="A609" s="1828"/>
      <c r="B609" s="1828"/>
      <c r="C609" s="1828"/>
      <c r="D609" s="1828"/>
      <c r="E609" s="844"/>
      <c r="R609" s="845"/>
      <c r="S609" s="845"/>
      <c r="T609" s="845"/>
      <c r="U609" s="845"/>
      <c r="V609" s="845"/>
      <c r="W609" s="845"/>
      <c r="X609" s="845"/>
      <c r="Y609" s="845"/>
    </row>
    <row r="610" spans="1:25" x14ac:dyDescent="0.2">
      <c r="A610" s="1828"/>
      <c r="B610" s="1828"/>
      <c r="C610" s="1828"/>
      <c r="D610" s="1828"/>
      <c r="E610" s="844"/>
      <c r="R610" s="845"/>
      <c r="S610" s="845"/>
      <c r="T610" s="845"/>
      <c r="U610" s="845"/>
      <c r="V610" s="845"/>
      <c r="W610" s="845"/>
      <c r="X610" s="845"/>
      <c r="Y610" s="845"/>
    </row>
    <row r="611" spans="1:25" x14ac:dyDescent="0.2">
      <c r="A611" s="1828"/>
      <c r="B611" s="1828"/>
      <c r="C611" s="1828"/>
      <c r="D611" s="1828"/>
      <c r="E611" s="844"/>
      <c r="R611" s="845"/>
      <c r="S611" s="845"/>
      <c r="T611" s="845"/>
      <c r="U611" s="845"/>
      <c r="V611" s="845"/>
      <c r="W611" s="845"/>
      <c r="X611" s="845"/>
      <c r="Y611" s="845"/>
    </row>
    <row r="612" spans="1:25" x14ac:dyDescent="0.2">
      <c r="A612" s="1828"/>
      <c r="B612" s="1828"/>
      <c r="C612" s="1828"/>
      <c r="D612" s="1828"/>
      <c r="E612" s="844"/>
      <c r="R612" s="845"/>
      <c r="S612" s="845"/>
      <c r="T612" s="845"/>
      <c r="U612" s="845"/>
      <c r="V612" s="845"/>
      <c r="W612" s="845"/>
      <c r="X612" s="845"/>
      <c r="Y612" s="845"/>
    </row>
    <row r="613" spans="1:25" x14ac:dyDescent="0.2">
      <c r="A613" s="1828"/>
      <c r="B613" s="1828"/>
      <c r="C613" s="1828"/>
      <c r="D613" s="1828"/>
      <c r="E613" s="844"/>
      <c r="R613" s="845"/>
      <c r="S613" s="845"/>
      <c r="T613" s="845"/>
      <c r="U613" s="845"/>
      <c r="V613" s="845"/>
      <c r="W613" s="845"/>
      <c r="X613" s="845"/>
      <c r="Y613" s="845"/>
    </row>
    <row r="614" spans="1:25" x14ac:dyDescent="0.2">
      <c r="A614" s="1828"/>
      <c r="B614" s="1828"/>
      <c r="C614" s="1828"/>
      <c r="D614" s="1828"/>
      <c r="E614" s="844"/>
      <c r="R614" s="845"/>
      <c r="S614" s="845"/>
      <c r="T614" s="845"/>
      <c r="U614" s="845"/>
      <c r="V614" s="845"/>
      <c r="W614" s="845"/>
      <c r="X614" s="845"/>
      <c r="Y614" s="845"/>
    </row>
    <row r="615" spans="1:25" x14ac:dyDescent="0.2">
      <c r="A615" s="1828"/>
      <c r="B615" s="1828"/>
      <c r="C615" s="1828"/>
      <c r="D615" s="1828"/>
      <c r="E615" s="844"/>
      <c r="R615" s="845"/>
      <c r="S615" s="845"/>
      <c r="T615" s="845"/>
      <c r="U615" s="845"/>
      <c r="V615" s="845"/>
      <c r="W615" s="845"/>
      <c r="X615" s="845"/>
      <c r="Y615" s="845"/>
    </row>
    <row r="616" spans="1:25" x14ac:dyDescent="0.2">
      <c r="A616" s="1828"/>
      <c r="B616" s="1828"/>
      <c r="C616" s="1828"/>
      <c r="D616" s="1828"/>
      <c r="E616" s="844"/>
      <c r="R616" s="845"/>
      <c r="S616" s="845"/>
      <c r="T616" s="845"/>
      <c r="U616" s="845"/>
      <c r="V616" s="845"/>
      <c r="W616" s="845"/>
      <c r="X616" s="845"/>
      <c r="Y616" s="845"/>
    </row>
    <row r="617" spans="1:25" x14ac:dyDescent="0.2">
      <c r="A617" s="1828"/>
      <c r="B617" s="1828"/>
      <c r="C617" s="1828"/>
      <c r="D617" s="1828"/>
      <c r="E617" s="844"/>
      <c r="R617" s="845"/>
      <c r="S617" s="845"/>
      <c r="T617" s="845"/>
      <c r="U617" s="845"/>
      <c r="V617" s="845"/>
      <c r="W617" s="845"/>
      <c r="X617" s="845"/>
      <c r="Y617" s="845"/>
    </row>
    <row r="618" spans="1:25" x14ac:dyDescent="0.2">
      <c r="A618" s="1828"/>
      <c r="B618" s="1828"/>
      <c r="C618" s="1828"/>
      <c r="D618" s="1828"/>
      <c r="E618" s="844"/>
      <c r="R618" s="845"/>
      <c r="S618" s="845"/>
      <c r="T618" s="845"/>
      <c r="U618" s="845"/>
      <c r="V618" s="845"/>
      <c r="W618" s="845"/>
      <c r="X618" s="845"/>
      <c r="Y618" s="845"/>
    </row>
    <row r="619" spans="1:25" x14ac:dyDescent="0.2">
      <c r="A619" s="1828"/>
      <c r="B619" s="1828"/>
      <c r="C619" s="1828"/>
      <c r="D619" s="1828"/>
      <c r="E619" s="844"/>
      <c r="R619" s="845"/>
      <c r="S619" s="845"/>
      <c r="T619" s="845"/>
      <c r="U619" s="845"/>
      <c r="V619" s="845"/>
      <c r="W619" s="845"/>
      <c r="X619" s="845"/>
      <c r="Y619" s="845"/>
    </row>
    <row r="620" spans="1:25" x14ac:dyDescent="0.2">
      <c r="A620" s="1828"/>
      <c r="B620" s="1828"/>
      <c r="C620" s="1828"/>
      <c r="D620" s="1828"/>
      <c r="E620" s="844"/>
      <c r="R620" s="845"/>
      <c r="S620" s="845"/>
      <c r="T620" s="845"/>
      <c r="U620" s="845"/>
      <c r="V620" s="845"/>
      <c r="W620" s="845"/>
      <c r="X620" s="845"/>
      <c r="Y620" s="845"/>
    </row>
    <row r="621" spans="1:25" x14ac:dyDescent="0.2">
      <c r="A621" s="1828"/>
      <c r="B621" s="1828"/>
      <c r="C621" s="1828"/>
      <c r="D621" s="1828"/>
      <c r="E621" s="844"/>
      <c r="R621" s="845"/>
      <c r="S621" s="845"/>
      <c r="T621" s="845"/>
      <c r="U621" s="845"/>
      <c r="V621" s="845"/>
      <c r="W621" s="845"/>
      <c r="X621" s="845"/>
      <c r="Y621" s="845"/>
    </row>
    <row r="622" spans="1:25" x14ac:dyDescent="0.2">
      <c r="A622" s="1828"/>
      <c r="B622" s="1828"/>
      <c r="C622" s="1828"/>
      <c r="D622" s="1828"/>
      <c r="E622" s="844"/>
      <c r="R622" s="845"/>
      <c r="S622" s="845"/>
      <c r="T622" s="845"/>
      <c r="U622" s="845"/>
      <c r="V622" s="845"/>
      <c r="W622" s="845"/>
      <c r="X622" s="845"/>
      <c r="Y622" s="845"/>
    </row>
    <row r="623" spans="1:25" x14ac:dyDescent="0.2">
      <c r="A623" s="1828"/>
      <c r="B623" s="1828"/>
      <c r="C623" s="1828"/>
      <c r="D623" s="1828"/>
      <c r="E623" s="844"/>
      <c r="R623" s="845"/>
      <c r="S623" s="845"/>
      <c r="T623" s="845"/>
      <c r="U623" s="845"/>
      <c r="V623" s="845"/>
      <c r="W623" s="845"/>
      <c r="X623" s="845"/>
      <c r="Y623" s="845"/>
    </row>
    <row r="624" spans="1:25" x14ac:dyDescent="0.2">
      <c r="A624" s="1828"/>
      <c r="B624" s="1828"/>
      <c r="C624" s="1828"/>
      <c r="D624" s="1828"/>
      <c r="E624" s="844"/>
      <c r="R624" s="845"/>
      <c r="S624" s="845"/>
      <c r="T624" s="845"/>
      <c r="U624" s="845"/>
      <c r="V624" s="845"/>
      <c r="W624" s="845"/>
      <c r="X624" s="845"/>
      <c r="Y624" s="845"/>
    </row>
    <row r="625" spans="1:25" x14ac:dyDescent="0.2">
      <c r="A625" s="1828"/>
      <c r="B625" s="1828"/>
      <c r="C625" s="1828"/>
      <c r="D625" s="1828"/>
      <c r="E625" s="844"/>
      <c r="R625" s="845"/>
      <c r="S625" s="845"/>
      <c r="T625" s="845"/>
      <c r="U625" s="845"/>
      <c r="V625" s="845"/>
      <c r="W625" s="845"/>
      <c r="X625" s="845"/>
      <c r="Y625" s="845"/>
    </row>
    <row r="626" spans="1:25" x14ac:dyDescent="0.2">
      <c r="A626" s="1828"/>
      <c r="B626" s="1828"/>
      <c r="C626" s="1828"/>
      <c r="D626" s="1828"/>
      <c r="E626" s="844"/>
      <c r="R626" s="845"/>
      <c r="S626" s="845"/>
      <c r="T626" s="845"/>
      <c r="U626" s="845"/>
      <c r="V626" s="845"/>
      <c r="W626" s="845"/>
      <c r="X626" s="845"/>
      <c r="Y626" s="845"/>
    </row>
    <row r="627" spans="1:25" x14ac:dyDescent="0.2">
      <c r="A627" s="1828"/>
      <c r="B627" s="1828"/>
      <c r="C627" s="1828"/>
      <c r="D627" s="1828"/>
      <c r="E627" s="844"/>
      <c r="R627" s="845"/>
      <c r="S627" s="845"/>
      <c r="T627" s="845"/>
      <c r="U627" s="845"/>
      <c r="V627" s="845"/>
      <c r="W627" s="845"/>
      <c r="X627" s="845"/>
      <c r="Y627" s="845"/>
    </row>
    <row r="628" spans="1:25" x14ac:dyDescent="0.2">
      <c r="A628" s="1828"/>
      <c r="B628" s="1828"/>
      <c r="C628" s="1828"/>
      <c r="D628" s="1828"/>
      <c r="E628" s="844"/>
      <c r="R628" s="845"/>
      <c r="S628" s="845"/>
      <c r="T628" s="845"/>
      <c r="U628" s="845"/>
      <c r="V628" s="845"/>
      <c r="W628" s="845"/>
      <c r="X628" s="845"/>
      <c r="Y628" s="845"/>
    </row>
    <row r="629" spans="1:25" x14ac:dyDescent="0.2">
      <c r="A629" s="1828"/>
      <c r="B629" s="1828"/>
      <c r="C629" s="1828"/>
      <c r="D629" s="1828"/>
      <c r="E629" s="844"/>
      <c r="R629" s="845"/>
      <c r="S629" s="845"/>
      <c r="T629" s="845"/>
      <c r="U629" s="845"/>
      <c r="V629" s="845"/>
      <c r="W629" s="845"/>
      <c r="X629" s="845"/>
      <c r="Y629" s="845"/>
    </row>
    <row r="630" spans="1:25" x14ac:dyDescent="0.2">
      <c r="A630" s="1828"/>
      <c r="B630" s="1828"/>
      <c r="C630" s="1828"/>
      <c r="D630" s="1828"/>
      <c r="E630" s="844"/>
      <c r="R630" s="845"/>
      <c r="S630" s="845"/>
      <c r="T630" s="845"/>
      <c r="U630" s="845"/>
      <c r="V630" s="845"/>
      <c r="W630" s="845"/>
      <c r="X630" s="845"/>
      <c r="Y630" s="845"/>
    </row>
    <row r="631" spans="1:25" x14ac:dyDescent="0.2">
      <c r="A631" s="1828"/>
      <c r="B631" s="1828"/>
      <c r="C631" s="1828"/>
      <c r="D631" s="1828"/>
      <c r="E631" s="844"/>
      <c r="R631" s="845"/>
      <c r="S631" s="845"/>
      <c r="T631" s="845"/>
      <c r="U631" s="845"/>
      <c r="V631" s="845"/>
      <c r="W631" s="845"/>
      <c r="X631" s="845"/>
      <c r="Y631" s="845"/>
    </row>
    <row r="632" spans="1:25" x14ac:dyDescent="0.2">
      <c r="A632" s="1828"/>
      <c r="B632" s="1828"/>
      <c r="C632" s="1828"/>
      <c r="D632" s="1828"/>
      <c r="E632" s="844"/>
      <c r="R632" s="845"/>
      <c r="S632" s="845"/>
      <c r="T632" s="845"/>
      <c r="U632" s="845"/>
      <c r="V632" s="845"/>
      <c r="W632" s="845"/>
      <c r="X632" s="845"/>
      <c r="Y632" s="845"/>
    </row>
    <row r="633" spans="1:25" x14ac:dyDescent="0.2">
      <c r="A633" s="1828"/>
      <c r="B633" s="1828"/>
      <c r="C633" s="1828"/>
      <c r="D633" s="1828"/>
      <c r="E633" s="844"/>
      <c r="R633" s="845"/>
      <c r="S633" s="845"/>
      <c r="T633" s="845"/>
      <c r="U633" s="845"/>
      <c r="V633" s="845"/>
      <c r="W633" s="845"/>
      <c r="X633" s="845"/>
      <c r="Y633" s="845"/>
    </row>
    <row r="634" spans="1:25" x14ac:dyDescent="0.2">
      <c r="A634" s="1828"/>
      <c r="B634" s="1828"/>
      <c r="C634" s="1828"/>
      <c r="D634" s="1828"/>
      <c r="E634" s="844"/>
      <c r="R634" s="845"/>
      <c r="S634" s="845"/>
      <c r="T634" s="845"/>
      <c r="U634" s="845"/>
      <c r="V634" s="845"/>
      <c r="W634" s="845"/>
      <c r="X634" s="845"/>
      <c r="Y634" s="845"/>
    </row>
    <row r="635" spans="1:25" x14ac:dyDescent="0.2">
      <c r="A635" s="1828"/>
      <c r="B635" s="1828"/>
      <c r="C635" s="1828"/>
      <c r="D635" s="1828"/>
      <c r="E635" s="844"/>
      <c r="R635" s="845"/>
      <c r="S635" s="845"/>
      <c r="T635" s="845"/>
      <c r="U635" s="845"/>
      <c r="V635" s="845"/>
      <c r="W635" s="845"/>
      <c r="X635" s="845"/>
      <c r="Y635" s="845"/>
    </row>
    <row r="636" spans="1:25" x14ac:dyDescent="0.2">
      <c r="A636" s="1828"/>
      <c r="B636" s="1828"/>
      <c r="C636" s="1828"/>
      <c r="D636" s="1828"/>
      <c r="E636" s="844"/>
      <c r="R636" s="845"/>
      <c r="S636" s="845"/>
      <c r="T636" s="845"/>
      <c r="U636" s="845"/>
      <c r="V636" s="845"/>
      <c r="W636" s="845"/>
      <c r="X636" s="845"/>
      <c r="Y636" s="845"/>
    </row>
    <row r="637" spans="1:25" x14ac:dyDescent="0.2">
      <c r="A637" s="1828"/>
      <c r="B637" s="1828"/>
      <c r="C637" s="1828"/>
      <c r="D637" s="1828"/>
      <c r="E637" s="844"/>
      <c r="R637" s="845"/>
      <c r="S637" s="845"/>
      <c r="T637" s="845"/>
      <c r="U637" s="845"/>
      <c r="V637" s="845"/>
      <c r="W637" s="845"/>
      <c r="X637" s="845"/>
      <c r="Y637" s="845"/>
    </row>
    <row r="638" spans="1:25" x14ac:dyDescent="0.2">
      <c r="A638" s="1828"/>
      <c r="B638" s="1828"/>
      <c r="C638" s="1828"/>
      <c r="D638" s="1828"/>
      <c r="E638" s="844"/>
      <c r="R638" s="845"/>
      <c r="S638" s="845"/>
      <c r="T638" s="845"/>
      <c r="U638" s="845"/>
      <c r="V638" s="845"/>
      <c r="W638" s="845"/>
      <c r="X638" s="845"/>
      <c r="Y638" s="845"/>
    </row>
    <row r="639" spans="1:25" x14ac:dyDescent="0.2">
      <c r="A639" s="1828"/>
      <c r="B639" s="1828"/>
      <c r="C639" s="1828"/>
      <c r="D639" s="1828"/>
      <c r="E639" s="844"/>
      <c r="R639" s="845"/>
      <c r="S639" s="845"/>
      <c r="T639" s="845"/>
      <c r="U639" s="845"/>
      <c r="V639" s="845"/>
      <c r="W639" s="845"/>
      <c r="X639" s="845"/>
      <c r="Y639" s="845"/>
    </row>
    <row r="640" spans="1:25" x14ac:dyDescent="0.2">
      <c r="A640" s="1828"/>
      <c r="B640" s="1828"/>
      <c r="C640" s="1828"/>
      <c r="D640" s="1828"/>
      <c r="E640" s="844"/>
      <c r="R640" s="845"/>
      <c r="S640" s="845"/>
      <c r="T640" s="845"/>
      <c r="U640" s="845"/>
      <c r="V640" s="845"/>
      <c r="W640" s="845"/>
      <c r="X640" s="845"/>
      <c r="Y640" s="845"/>
    </row>
    <row r="641" spans="1:25" x14ac:dyDescent="0.2">
      <c r="A641" s="1828"/>
      <c r="B641" s="1828"/>
      <c r="C641" s="1828"/>
      <c r="D641" s="1828"/>
      <c r="E641" s="844"/>
      <c r="R641" s="845"/>
      <c r="S641" s="845"/>
      <c r="T641" s="845"/>
      <c r="U641" s="845"/>
      <c r="V641" s="845"/>
      <c r="W641" s="845"/>
      <c r="X641" s="845"/>
      <c r="Y641" s="845"/>
    </row>
    <row r="642" spans="1:25" x14ac:dyDescent="0.2">
      <c r="A642" s="1828"/>
      <c r="B642" s="1828"/>
      <c r="C642" s="1828"/>
      <c r="D642" s="1828"/>
      <c r="E642" s="844"/>
      <c r="R642" s="845"/>
      <c r="S642" s="845"/>
      <c r="T642" s="845"/>
      <c r="U642" s="845"/>
      <c r="V642" s="845"/>
      <c r="W642" s="845"/>
      <c r="X642" s="845"/>
      <c r="Y642" s="845"/>
    </row>
    <row r="643" spans="1:25" x14ac:dyDescent="0.2">
      <c r="A643" s="1828"/>
      <c r="B643" s="1828"/>
      <c r="C643" s="1828"/>
      <c r="D643" s="1828"/>
      <c r="E643" s="844"/>
      <c r="R643" s="845"/>
      <c r="S643" s="845"/>
      <c r="T643" s="845"/>
      <c r="U643" s="845"/>
      <c r="V643" s="845"/>
      <c r="W643" s="845"/>
      <c r="X643" s="845"/>
      <c r="Y643" s="845"/>
    </row>
    <row r="644" spans="1:25" x14ac:dyDescent="0.2">
      <c r="A644" s="1828"/>
      <c r="B644" s="1828"/>
      <c r="C644" s="1828"/>
      <c r="D644" s="1828"/>
      <c r="E644" s="844"/>
      <c r="R644" s="845"/>
      <c r="S644" s="845"/>
      <c r="T644" s="845"/>
      <c r="U644" s="845"/>
      <c r="V644" s="845"/>
      <c r="W644" s="845"/>
      <c r="X644" s="845"/>
      <c r="Y644" s="845"/>
    </row>
    <row r="645" spans="1:25" x14ac:dyDescent="0.2">
      <c r="A645" s="1828"/>
      <c r="B645" s="1828"/>
      <c r="C645" s="1828"/>
      <c r="D645" s="1828"/>
      <c r="E645" s="844"/>
      <c r="R645" s="845"/>
      <c r="S645" s="845"/>
      <c r="T645" s="845"/>
      <c r="U645" s="845"/>
      <c r="V645" s="845"/>
      <c r="W645" s="845"/>
      <c r="X645" s="845"/>
      <c r="Y645" s="845"/>
    </row>
    <row r="646" spans="1:25" x14ac:dyDescent="0.2">
      <c r="A646" s="1828"/>
      <c r="B646" s="1828"/>
      <c r="C646" s="1828"/>
      <c r="D646" s="1828"/>
      <c r="E646" s="844"/>
      <c r="R646" s="845"/>
      <c r="S646" s="845"/>
      <c r="T646" s="845"/>
      <c r="U646" s="845"/>
      <c r="V646" s="845"/>
      <c r="W646" s="845"/>
      <c r="X646" s="845"/>
      <c r="Y646" s="845"/>
    </row>
    <row r="647" spans="1:25" x14ac:dyDescent="0.2">
      <c r="A647" s="1828"/>
      <c r="B647" s="1828"/>
      <c r="C647" s="1828"/>
      <c r="D647" s="1828"/>
      <c r="E647" s="844"/>
      <c r="R647" s="845"/>
      <c r="S647" s="845"/>
      <c r="T647" s="845"/>
      <c r="U647" s="845"/>
      <c r="V647" s="845"/>
      <c r="W647" s="845"/>
      <c r="X647" s="845"/>
      <c r="Y647" s="845"/>
    </row>
    <row r="648" spans="1:25" x14ac:dyDescent="0.2">
      <c r="A648" s="1828"/>
      <c r="B648" s="1828"/>
      <c r="C648" s="1828"/>
      <c r="D648" s="1828"/>
      <c r="E648" s="844"/>
      <c r="R648" s="845"/>
      <c r="S648" s="845"/>
      <c r="T648" s="845"/>
      <c r="U648" s="845"/>
      <c r="V648" s="845"/>
      <c r="W648" s="845"/>
      <c r="X648" s="845"/>
      <c r="Y648" s="845"/>
    </row>
    <row r="649" spans="1:25" x14ac:dyDescent="0.2">
      <c r="A649" s="1828"/>
      <c r="B649" s="1828"/>
      <c r="C649" s="1828"/>
      <c r="D649" s="1828"/>
      <c r="E649" s="844"/>
      <c r="R649" s="845"/>
      <c r="S649" s="845"/>
      <c r="T649" s="845"/>
      <c r="U649" s="845"/>
      <c r="V649" s="845"/>
      <c r="W649" s="845"/>
      <c r="X649" s="845"/>
      <c r="Y649" s="845"/>
    </row>
    <row r="650" spans="1:25" x14ac:dyDescent="0.2">
      <c r="A650" s="1828"/>
      <c r="B650" s="1828"/>
      <c r="C650" s="1828"/>
      <c r="D650" s="1828"/>
      <c r="E650" s="844"/>
      <c r="R650" s="845"/>
      <c r="S650" s="845"/>
      <c r="T650" s="845"/>
      <c r="U650" s="845"/>
      <c r="V650" s="845"/>
      <c r="W650" s="845"/>
      <c r="X650" s="845"/>
      <c r="Y650" s="845"/>
    </row>
    <row r="651" spans="1:25" x14ac:dyDescent="0.2">
      <c r="A651" s="1828"/>
      <c r="B651" s="1828"/>
      <c r="C651" s="1828"/>
      <c r="D651" s="1828"/>
      <c r="E651" s="844"/>
      <c r="R651" s="845"/>
      <c r="S651" s="845"/>
      <c r="T651" s="845"/>
      <c r="U651" s="845"/>
      <c r="V651" s="845"/>
      <c r="W651" s="845"/>
      <c r="X651" s="845"/>
      <c r="Y651" s="845"/>
    </row>
    <row r="652" spans="1:25" x14ac:dyDescent="0.2">
      <c r="A652" s="1828"/>
      <c r="B652" s="1828"/>
      <c r="C652" s="1828"/>
      <c r="D652" s="1828"/>
      <c r="E652" s="844"/>
      <c r="R652" s="845"/>
      <c r="S652" s="845"/>
      <c r="T652" s="845"/>
      <c r="U652" s="845"/>
      <c r="V652" s="845"/>
      <c r="W652" s="845"/>
      <c r="X652" s="845"/>
      <c r="Y652" s="845"/>
    </row>
    <row r="653" spans="1:25" x14ac:dyDescent="0.2">
      <c r="A653" s="1828"/>
      <c r="B653" s="1828"/>
      <c r="C653" s="1828"/>
      <c r="D653" s="1828"/>
      <c r="E653" s="844"/>
      <c r="R653" s="845"/>
      <c r="S653" s="845"/>
      <c r="T653" s="845"/>
      <c r="U653" s="845"/>
      <c r="V653" s="845"/>
      <c r="W653" s="845"/>
      <c r="X653" s="845"/>
      <c r="Y653" s="845"/>
    </row>
    <row r="654" spans="1:25" x14ac:dyDescent="0.2">
      <c r="A654" s="1828"/>
      <c r="B654" s="1828"/>
      <c r="C654" s="1828"/>
      <c r="D654" s="1828"/>
      <c r="E654" s="844"/>
      <c r="R654" s="845"/>
      <c r="S654" s="845"/>
      <c r="T654" s="845"/>
      <c r="U654" s="845"/>
      <c r="V654" s="845"/>
      <c r="W654" s="845"/>
      <c r="X654" s="845"/>
      <c r="Y654" s="845"/>
    </row>
    <row r="655" spans="1:25" x14ac:dyDescent="0.2">
      <c r="A655" s="1828"/>
      <c r="B655" s="1828"/>
      <c r="C655" s="1828"/>
      <c r="D655" s="1828"/>
      <c r="E655" s="844"/>
      <c r="R655" s="845"/>
      <c r="S655" s="845"/>
      <c r="T655" s="845"/>
      <c r="U655" s="845"/>
      <c r="V655" s="845"/>
      <c r="W655" s="845"/>
      <c r="X655" s="845"/>
      <c r="Y655" s="845"/>
    </row>
    <row r="656" spans="1:25" x14ac:dyDescent="0.2">
      <c r="A656" s="1828"/>
      <c r="B656" s="1828"/>
      <c r="C656" s="1828"/>
      <c r="D656" s="1828"/>
      <c r="E656" s="844"/>
      <c r="R656" s="845"/>
      <c r="S656" s="845"/>
      <c r="T656" s="845"/>
      <c r="U656" s="845"/>
      <c r="V656" s="845"/>
      <c r="W656" s="845"/>
      <c r="X656" s="845"/>
      <c r="Y656" s="845"/>
    </row>
    <row r="657" spans="1:25" x14ac:dyDescent="0.2">
      <c r="A657" s="1828"/>
      <c r="B657" s="1828"/>
      <c r="C657" s="1828"/>
      <c r="D657" s="1828"/>
      <c r="E657" s="844"/>
      <c r="R657" s="845"/>
      <c r="S657" s="845"/>
      <c r="T657" s="845"/>
      <c r="U657" s="845"/>
      <c r="V657" s="845"/>
      <c r="W657" s="845"/>
      <c r="X657" s="845"/>
      <c r="Y657" s="845"/>
    </row>
    <row r="658" spans="1:25" x14ac:dyDescent="0.2">
      <c r="A658" s="1828"/>
      <c r="B658" s="1828"/>
      <c r="C658" s="1828"/>
      <c r="D658" s="1828"/>
      <c r="E658" s="844"/>
      <c r="R658" s="845"/>
      <c r="S658" s="845"/>
      <c r="T658" s="845"/>
      <c r="U658" s="845"/>
      <c r="V658" s="845"/>
      <c r="W658" s="845"/>
      <c r="X658" s="845"/>
      <c r="Y658" s="845"/>
    </row>
    <row r="659" spans="1:25" x14ac:dyDescent="0.2">
      <c r="A659" s="1828"/>
      <c r="B659" s="1828"/>
      <c r="C659" s="1828"/>
      <c r="D659" s="1828"/>
      <c r="E659" s="844"/>
      <c r="R659" s="845"/>
      <c r="S659" s="845"/>
      <c r="T659" s="845"/>
      <c r="U659" s="845"/>
      <c r="V659" s="845"/>
      <c r="W659" s="845"/>
      <c r="X659" s="845"/>
      <c r="Y659" s="845"/>
    </row>
    <row r="660" spans="1:25" x14ac:dyDescent="0.2">
      <c r="A660" s="1828"/>
      <c r="B660" s="1828"/>
      <c r="C660" s="1828"/>
      <c r="D660" s="1828"/>
      <c r="E660" s="844"/>
      <c r="R660" s="845"/>
      <c r="S660" s="845"/>
      <c r="T660" s="845"/>
      <c r="U660" s="845"/>
      <c r="V660" s="845"/>
      <c r="W660" s="845"/>
      <c r="X660" s="845"/>
      <c r="Y660" s="845"/>
    </row>
    <row r="661" spans="1:25" x14ac:dyDescent="0.2">
      <c r="A661" s="1828"/>
      <c r="B661" s="1828"/>
      <c r="C661" s="1828"/>
      <c r="D661" s="1828"/>
      <c r="E661" s="844"/>
      <c r="R661" s="845"/>
      <c r="S661" s="845"/>
      <c r="T661" s="845"/>
      <c r="U661" s="845"/>
      <c r="V661" s="845"/>
      <c r="W661" s="845"/>
      <c r="X661" s="845"/>
      <c r="Y661" s="845"/>
    </row>
    <row r="662" spans="1:25" x14ac:dyDescent="0.2">
      <c r="A662" s="1828"/>
      <c r="B662" s="1828"/>
      <c r="C662" s="1828"/>
      <c r="D662" s="1828"/>
      <c r="E662" s="844"/>
      <c r="R662" s="845"/>
      <c r="S662" s="845"/>
      <c r="T662" s="845"/>
      <c r="U662" s="845"/>
      <c r="V662" s="845"/>
      <c r="W662" s="845"/>
      <c r="X662" s="845"/>
      <c r="Y662" s="845"/>
    </row>
    <row r="663" spans="1:25" x14ac:dyDescent="0.2">
      <c r="A663" s="1828"/>
      <c r="B663" s="1828"/>
      <c r="C663" s="1828"/>
      <c r="D663" s="1828"/>
      <c r="E663" s="844"/>
      <c r="R663" s="845"/>
      <c r="S663" s="845"/>
      <c r="T663" s="845"/>
      <c r="U663" s="845"/>
      <c r="V663" s="845"/>
      <c r="W663" s="845"/>
      <c r="X663" s="845"/>
      <c r="Y663" s="845"/>
    </row>
    <row r="664" spans="1:25" x14ac:dyDescent="0.2">
      <c r="A664" s="1828"/>
      <c r="B664" s="1828"/>
      <c r="C664" s="1828"/>
      <c r="D664" s="1828"/>
      <c r="E664" s="844"/>
      <c r="R664" s="845"/>
      <c r="S664" s="845"/>
      <c r="T664" s="845"/>
      <c r="U664" s="845"/>
      <c r="V664" s="845"/>
      <c r="W664" s="845"/>
      <c r="X664" s="845"/>
      <c r="Y664" s="845"/>
    </row>
    <row r="665" spans="1:25" x14ac:dyDescent="0.2">
      <c r="A665" s="1828"/>
      <c r="B665" s="1828"/>
      <c r="C665" s="1828"/>
      <c r="D665" s="1828"/>
      <c r="E665" s="844"/>
      <c r="R665" s="845"/>
      <c r="S665" s="845"/>
      <c r="T665" s="845"/>
      <c r="U665" s="845"/>
      <c r="V665" s="845"/>
      <c r="W665" s="845"/>
      <c r="X665" s="845"/>
      <c r="Y665" s="845"/>
    </row>
    <row r="666" spans="1:25" x14ac:dyDescent="0.2">
      <c r="A666" s="1828"/>
      <c r="B666" s="1828"/>
      <c r="C666" s="1828"/>
      <c r="D666" s="1828"/>
      <c r="E666" s="844"/>
      <c r="R666" s="845"/>
      <c r="S666" s="845"/>
      <c r="T666" s="845"/>
      <c r="U666" s="845"/>
      <c r="V666" s="845"/>
      <c r="W666" s="845"/>
      <c r="X666" s="845"/>
      <c r="Y666" s="845"/>
    </row>
    <row r="667" spans="1:25" x14ac:dyDescent="0.2">
      <c r="A667" s="1828"/>
      <c r="B667" s="1828"/>
      <c r="C667" s="1828"/>
      <c r="D667" s="1828"/>
      <c r="E667" s="844"/>
      <c r="R667" s="845"/>
      <c r="S667" s="845"/>
      <c r="T667" s="845"/>
      <c r="U667" s="845"/>
      <c r="V667" s="845"/>
      <c r="W667" s="845"/>
      <c r="X667" s="845"/>
      <c r="Y667" s="845"/>
    </row>
    <row r="668" spans="1:25" x14ac:dyDescent="0.2">
      <c r="A668" s="1828"/>
      <c r="B668" s="1828"/>
      <c r="C668" s="1828"/>
      <c r="D668" s="1828"/>
      <c r="E668" s="844"/>
      <c r="R668" s="845"/>
      <c r="S668" s="845"/>
      <c r="T668" s="845"/>
      <c r="U668" s="845"/>
      <c r="V668" s="845"/>
      <c r="W668" s="845"/>
      <c r="X668" s="845"/>
      <c r="Y668" s="845"/>
    </row>
    <row r="669" spans="1:25" x14ac:dyDescent="0.2">
      <c r="A669" s="1828"/>
      <c r="B669" s="1828"/>
      <c r="C669" s="1828"/>
      <c r="D669" s="1828"/>
      <c r="E669" s="844"/>
      <c r="R669" s="845"/>
      <c r="S669" s="845"/>
      <c r="T669" s="845"/>
      <c r="U669" s="845"/>
      <c r="V669" s="845"/>
      <c r="W669" s="845"/>
      <c r="X669" s="845"/>
      <c r="Y669" s="845"/>
    </row>
    <row r="670" spans="1:25" x14ac:dyDescent="0.2">
      <c r="A670" s="1828"/>
      <c r="B670" s="1828"/>
      <c r="C670" s="1828"/>
      <c r="D670" s="1828"/>
      <c r="E670" s="844"/>
      <c r="R670" s="845"/>
      <c r="S670" s="845"/>
      <c r="T670" s="845"/>
      <c r="U670" s="845"/>
      <c r="V670" s="845"/>
      <c r="W670" s="845"/>
      <c r="X670" s="845"/>
      <c r="Y670" s="845"/>
    </row>
    <row r="671" spans="1:25" x14ac:dyDescent="0.2">
      <c r="A671" s="1828"/>
      <c r="B671" s="1828"/>
      <c r="C671" s="1828"/>
      <c r="D671" s="1828"/>
      <c r="E671" s="844"/>
      <c r="R671" s="845"/>
      <c r="S671" s="845"/>
      <c r="T671" s="845"/>
      <c r="U671" s="845"/>
      <c r="V671" s="845"/>
      <c r="W671" s="845"/>
      <c r="X671" s="845"/>
      <c r="Y671" s="845"/>
    </row>
    <row r="672" spans="1:25" x14ac:dyDescent="0.2">
      <c r="A672" s="1828"/>
      <c r="B672" s="1828"/>
      <c r="C672" s="1828"/>
      <c r="D672" s="1828"/>
      <c r="E672" s="844"/>
      <c r="R672" s="845"/>
      <c r="S672" s="845"/>
      <c r="T672" s="845"/>
      <c r="U672" s="845"/>
      <c r="V672" s="845"/>
      <c r="W672" s="845"/>
      <c r="X672" s="845"/>
      <c r="Y672" s="845"/>
    </row>
    <row r="673" spans="1:25" x14ac:dyDescent="0.2">
      <c r="A673" s="1828"/>
      <c r="B673" s="1828"/>
      <c r="C673" s="1828"/>
      <c r="D673" s="1828"/>
      <c r="E673" s="844"/>
      <c r="R673" s="845"/>
      <c r="S673" s="845"/>
      <c r="T673" s="845"/>
      <c r="U673" s="845"/>
      <c r="V673" s="845"/>
      <c r="W673" s="845"/>
      <c r="X673" s="845"/>
      <c r="Y673" s="845"/>
    </row>
    <row r="674" spans="1:25" x14ac:dyDescent="0.2">
      <c r="A674" s="1828"/>
      <c r="B674" s="1828"/>
      <c r="C674" s="1828"/>
      <c r="D674" s="1828"/>
      <c r="E674" s="844"/>
      <c r="R674" s="845"/>
      <c r="S674" s="845"/>
      <c r="T674" s="845"/>
      <c r="U674" s="845"/>
      <c r="V674" s="845"/>
      <c r="W674" s="845"/>
      <c r="X674" s="845"/>
      <c r="Y674" s="845"/>
    </row>
    <row r="675" spans="1:25" x14ac:dyDescent="0.2">
      <c r="A675" s="1828"/>
      <c r="B675" s="1828"/>
      <c r="C675" s="1828"/>
      <c r="D675" s="1828"/>
      <c r="E675" s="844"/>
      <c r="R675" s="845"/>
      <c r="S675" s="845"/>
      <c r="T675" s="845"/>
      <c r="U675" s="845"/>
      <c r="V675" s="845"/>
      <c r="W675" s="845"/>
      <c r="X675" s="845"/>
      <c r="Y675" s="845"/>
    </row>
    <row r="676" spans="1:25" x14ac:dyDescent="0.2">
      <c r="A676" s="1828"/>
      <c r="B676" s="1828"/>
      <c r="C676" s="1828"/>
      <c r="D676" s="1828"/>
      <c r="E676" s="844"/>
      <c r="R676" s="845"/>
      <c r="S676" s="845"/>
      <c r="T676" s="845"/>
      <c r="U676" s="845"/>
      <c r="V676" s="845"/>
      <c r="W676" s="845"/>
      <c r="X676" s="845"/>
      <c r="Y676" s="845"/>
    </row>
    <row r="677" spans="1:25" x14ac:dyDescent="0.2">
      <c r="A677" s="1828"/>
      <c r="B677" s="1828"/>
      <c r="C677" s="1828"/>
      <c r="D677" s="1828"/>
      <c r="E677" s="844"/>
      <c r="R677" s="845"/>
      <c r="S677" s="845"/>
      <c r="T677" s="845"/>
      <c r="U677" s="845"/>
      <c r="V677" s="845"/>
      <c r="W677" s="845"/>
      <c r="X677" s="845"/>
      <c r="Y677" s="845"/>
    </row>
    <row r="678" spans="1:25" x14ac:dyDescent="0.2">
      <c r="A678" s="1828"/>
      <c r="B678" s="1828"/>
      <c r="C678" s="1828"/>
      <c r="D678" s="1828"/>
      <c r="E678" s="844"/>
      <c r="R678" s="845"/>
      <c r="S678" s="845"/>
      <c r="T678" s="845"/>
      <c r="U678" s="845"/>
      <c r="V678" s="845"/>
      <c r="W678" s="845"/>
      <c r="X678" s="845"/>
      <c r="Y678" s="845"/>
    </row>
    <row r="679" spans="1:25" x14ac:dyDescent="0.2">
      <c r="A679" s="1828"/>
      <c r="B679" s="1828"/>
      <c r="C679" s="1828"/>
      <c r="D679" s="1828"/>
      <c r="E679" s="844"/>
      <c r="R679" s="845"/>
      <c r="S679" s="845"/>
      <c r="T679" s="845"/>
      <c r="U679" s="845"/>
      <c r="V679" s="845"/>
      <c r="W679" s="845"/>
      <c r="X679" s="845"/>
      <c r="Y679" s="845"/>
    </row>
    <row r="680" spans="1:25" x14ac:dyDescent="0.2">
      <c r="A680" s="1828"/>
      <c r="B680" s="1828"/>
      <c r="C680" s="1828"/>
      <c r="D680" s="1828"/>
      <c r="E680" s="844"/>
      <c r="R680" s="845"/>
      <c r="S680" s="845"/>
      <c r="T680" s="845"/>
      <c r="U680" s="845"/>
      <c r="V680" s="845"/>
      <c r="W680" s="845"/>
      <c r="X680" s="845"/>
      <c r="Y680" s="845"/>
    </row>
    <row r="681" spans="1:25" x14ac:dyDescent="0.2">
      <c r="A681" s="1828"/>
      <c r="B681" s="1828"/>
      <c r="C681" s="1828"/>
      <c r="D681" s="1828"/>
      <c r="E681" s="844"/>
      <c r="R681" s="845"/>
      <c r="S681" s="845"/>
      <c r="T681" s="845"/>
      <c r="U681" s="845"/>
      <c r="V681" s="845"/>
      <c r="W681" s="845"/>
      <c r="X681" s="845"/>
      <c r="Y681" s="845"/>
    </row>
    <row r="682" spans="1:25" x14ac:dyDescent="0.2">
      <c r="A682" s="1828"/>
      <c r="B682" s="1828"/>
      <c r="C682" s="1828"/>
      <c r="D682" s="1828"/>
      <c r="E682" s="844"/>
      <c r="R682" s="845"/>
      <c r="S682" s="845"/>
      <c r="T682" s="845"/>
      <c r="U682" s="845"/>
      <c r="V682" s="845"/>
      <c r="W682" s="845"/>
      <c r="X682" s="845"/>
      <c r="Y682" s="845"/>
    </row>
    <row r="683" spans="1:25" x14ac:dyDescent="0.2">
      <c r="A683" s="1828"/>
      <c r="B683" s="1828"/>
      <c r="C683" s="1828"/>
      <c r="D683" s="1828"/>
      <c r="E683" s="844"/>
      <c r="R683" s="845"/>
      <c r="S683" s="845"/>
      <c r="T683" s="845"/>
      <c r="U683" s="845"/>
      <c r="V683" s="845"/>
      <c r="W683" s="845"/>
      <c r="X683" s="845"/>
      <c r="Y683" s="845"/>
    </row>
    <row r="684" spans="1:25" x14ac:dyDescent="0.2">
      <c r="A684" s="1828"/>
      <c r="B684" s="1828"/>
      <c r="C684" s="1828"/>
      <c r="D684" s="1828"/>
      <c r="E684" s="844"/>
      <c r="R684" s="845"/>
      <c r="S684" s="845"/>
      <c r="T684" s="845"/>
      <c r="U684" s="845"/>
      <c r="V684" s="845"/>
      <c r="W684" s="845"/>
      <c r="X684" s="845"/>
      <c r="Y684" s="845"/>
    </row>
    <row r="685" spans="1:25" x14ac:dyDescent="0.2">
      <c r="A685" s="1828"/>
      <c r="B685" s="1828"/>
      <c r="C685" s="1828"/>
      <c r="D685" s="1828"/>
      <c r="E685" s="844"/>
      <c r="R685" s="845"/>
      <c r="S685" s="845"/>
      <c r="T685" s="845"/>
      <c r="U685" s="845"/>
      <c r="V685" s="845"/>
      <c r="W685" s="845"/>
      <c r="X685" s="845"/>
      <c r="Y685" s="845"/>
    </row>
    <row r="686" spans="1:25" x14ac:dyDescent="0.2">
      <c r="A686" s="1828"/>
      <c r="B686" s="1828"/>
      <c r="C686" s="1828"/>
      <c r="D686" s="1828"/>
      <c r="E686" s="844"/>
      <c r="R686" s="845"/>
      <c r="S686" s="845"/>
      <c r="T686" s="845"/>
      <c r="U686" s="845"/>
      <c r="V686" s="845"/>
      <c r="W686" s="845"/>
      <c r="X686" s="845"/>
      <c r="Y686" s="845"/>
    </row>
    <row r="687" spans="1:25" x14ac:dyDescent="0.2">
      <c r="A687" s="1828"/>
      <c r="B687" s="1828"/>
      <c r="C687" s="1828"/>
      <c r="D687" s="1828"/>
      <c r="E687" s="844"/>
      <c r="R687" s="845"/>
      <c r="S687" s="845"/>
      <c r="T687" s="845"/>
      <c r="U687" s="845"/>
      <c r="V687" s="845"/>
      <c r="W687" s="845"/>
      <c r="X687" s="845"/>
      <c r="Y687" s="845"/>
    </row>
    <row r="688" spans="1:25" x14ac:dyDescent="0.2">
      <c r="A688" s="1828"/>
      <c r="B688" s="1828"/>
      <c r="C688" s="1828"/>
      <c r="D688" s="1828"/>
      <c r="E688" s="844"/>
      <c r="R688" s="845"/>
      <c r="S688" s="845"/>
      <c r="T688" s="845"/>
      <c r="U688" s="845"/>
      <c r="V688" s="845"/>
      <c r="W688" s="845"/>
      <c r="X688" s="845"/>
      <c r="Y688" s="845"/>
    </row>
    <row r="689" spans="1:25" x14ac:dyDescent="0.2">
      <c r="A689" s="1828"/>
      <c r="B689" s="1828"/>
      <c r="C689" s="1828"/>
      <c r="D689" s="1828"/>
      <c r="E689" s="844"/>
      <c r="R689" s="845"/>
      <c r="S689" s="845"/>
      <c r="T689" s="845"/>
      <c r="U689" s="845"/>
      <c r="V689" s="845"/>
      <c r="W689" s="845"/>
      <c r="X689" s="845"/>
      <c r="Y689" s="845"/>
    </row>
    <row r="690" spans="1:25" x14ac:dyDescent="0.2">
      <c r="A690" s="1828"/>
      <c r="B690" s="1828"/>
      <c r="C690" s="1828"/>
      <c r="D690" s="1828"/>
      <c r="E690" s="844"/>
      <c r="R690" s="845"/>
      <c r="S690" s="845"/>
      <c r="T690" s="845"/>
      <c r="U690" s="845"/>
      <c r="V690" s="845"/>
      <c r="W690" s="845"/>
      <c r="X690" s="845"/>
      <c r="Y690" s="845"/>
    </row>
    <row r="691" spans="1:25" x14ac:dyDescent="0.2">
      <c r="A691" s="1828"/>
      <c r="B691" s="1828"/>
      <c r="C691" s="1828"/>
      <c r="D691" s="1828"/>
      <c r="E691" s="844"/>
      <c r="R691" s="845"/>
      <c r="S691" s="845"/>
      <c r="T691" s="845"/>
      <c r="U691" s="845"/>
      <c r="V691" s="845"/>
      <c r="W691" s="845"/>
      <c r="X691" s="845"/>
      <c r="Y691" s="845"/>
    </row>
    <row r="692" spans="1:25" x14ac:dyDescent="0.2">
      <c r="A692" s="1828"/>
      <c r="B692" s="1828"/>
      <c r="C692" s="1828"/>
      <c r="D692" s="1828"/>
      <c r="E692" s="844"/>
      <c r="R692" s="845"/>
      <c r="S692" s="845"/>
      <c r="T692" s="845"/>
      <c r="U692" s="845"/>
      <c r="V692" s="845"/>
      <c r="W692" s="845"/>
      <c r="X692" s="845"/>
      <c r="Y692" s="845"/>
    </row>
    <row r="693" spans="1:25" x14ac:dyDescent="0.2">
      <c r="A693" s="1828"/>
      <c r="B693" s="1828"/>
      <c r="C693" s="1828"/>
      <c r="D693" s="1828"/>
      <c r="E693" s="844"/>
      <c r="R693" s="845"/>
      <c r="S693" s="845"/>
      <c r="T693" s="845"/>
      <c r="U693" s="845"/>
      <c r="V693" s="845"/>
      <c r="W693" s="845"/>
      <c r="X693" s="845"/>
      <c r="Y693" s="845"/>
    </row>
    <row r="694" spans="1:25" x14ac:dyDescent="0.2">
      <c r="A694" s="1828"/>
      <c r="B694" s="1828"/>
      <c r="C694" s="1828"/>
      <c r="D694" s="1828"/>
      <c r="E694" s="844"/>
      <c r="R694" s="845"/>
      <c r="S694" s="845"/>
      <c r="T694" s="845"/>
      <c r="U694" s="845"/>
      <c r="V694" s="845"/>
      <c r="W694" s="845"/>
      <c r="X694" s="845"/>
      <c r="Y694" s="845"/>
    </row>
    <row r="695" spans="1:25" x14ac:dyDescent="0.2">
      <c r="A695" s="1828"/>
      <c r="B695" s="1828"/>
      <c r="C695" s="1828"/>
      <c r="D695" s="1828"/>
      <c r="E695" s="844"/>
      <c r="R695" s="845"/>
      <c r="S695" s="845"/>
      <c r="T695" s="845"/>
      <c r="U695" s="845"/>
      <c r="V695" s="845"/>
      <c r="W695" s="845"/>
      <c r="X695" s="845"/>
      <c r="Y695" s="845"/>
    </row>
    <row r="696" spans="1:25" x14ac:dyDescent="0.2">
      <c r="A696" s="1828"/>
      <c r="B696" s="1828"/>
      <c r="C696" s="1828"/>
      <c r="D696" s="1828"/>
      <c r="E696" s="844"/>
      <c r="R696" s="845"/>
      <c r="S696" s="845"/>
      <c r="T696" s="845"/>
      <c r="U696" s="845"/>
      <c r="V696" s="845"/>
      <c r="W696" s="845"/>
      <c r="X696" s="845"/>
      <c r="Y696" s="845"/>
    </row>
    <row r="697" spans="1:25" x14ac:dyDescent="0.2">
      <c r="A697" s="1828"/>
      <c r="B697" s="1828"/>
      <c r="C697" s="1828"/>
      <c r="D697" s="1828"/>
      <c r="E697" s="844"/>
      <c r="R697" s="845"/>
      <c r="S697" s="845"/>
      <c r="T697" s="845"/>
      <c r="U697" s="845"/>
      <c r="V697" s="845"/>
      <c r="W697" s="845"/>
      <c r="X697" s="845"/>
      <c r="Y697" s="845"/>
    </row>
    <row r="698" spans="1:25" x14ac:dyDescent="0.2">
      <c r="A698" s="1828"/>
      <c r="B698" s="1828"/>
      <c r="C698" s="1828"/>
      <c r="D698" s="1828"/>
      <c r="E698" s="844"/>
      <c r="R698" s="845"/>
      <c r="S698" s="845"/>
      <c r="T698" s="845"/>
      <c r="U698" s="845"/>
      <c r="V698" s="845"/>
      <c r="W698" s="845"/>
      <c r="X698" s="845"/>
      <c r="Y698" s="845"/>
    </row>
    <row r="699" spans="1:25" x14ac:dyDescent="0.2">
      <c r="A699" s="1828"/>
      <c r="B699" s="1828"/>
      <c r="C699" s="1828"/>
      <c r="D699" s="1828"/>
      <c r="E699" s="844"/>
      <c r="R699" s="845"/>
      <c r="S699" s="845"/>
      <c r="T699" s="845"/>
      <c r="U699" s="845"/>
      <c r="V699" s="845"/>
      <c r="W699" s="845"/>
      <c r="X699" s="845"/>
      <c r="Y699" s="845"/>
    </row>
    <row r="700" spans="1:25" x14ac:dyDescent="0.2">
      <c r="A700" s="1828"/>
      <c r="B700" s="1828"/>
      <c r="C700" s="1828"/>
      <c r="D700" s="1828"/>
      <c r="E700" s="844"/>
      <c r="R700" s="845"/>
      <c r="S700" s="845"/>
      <c r="T700" s="845"/>
      <c r="U700" s="845"/>
      <c r="V700" s="845"/>
      <c r="W700" s="845"/>
      <c r="X700" s="845"/>
      <c r="Y700" s="845"/>
    </row>
    <row r="701" spans="1:25" x14ac:dyDescent="0.2">
      <c r="A701" s="1828"/>
      <c r="B701" s="1828"/>
      <c r="C701" s="1828"/>
      <c r="D701" s="1828"/>
      <c r="E701" s="844"/>
      <c r="R701" s="845"/>
      <c r="S701" s="845"/>
      <c r="T701" s="845"/>
      <c r="U701" s="845"/>
      <c r="V701" s="845"/>
      <c r="W701" s="845"/>
      <c r="X701" s="845"/>
      <c r="Y701" s="845"/>
    </row>
    <row r="702" spans="1:25" x14ac:dyDescent="0.2">
      <c r="A702" s="1828"/>
      <c r="B702" s="1828"/>
      <c r="C702" s="1828"/>
      <c r="D702" s="1828"/>
      <c r="E702" s="844"/>
      <c r="R702" s="845"/>
      <c r="S702" s="845"/>
      <c r="T702" s="845"/>
      <c r="U702" s="845"/>
      <c r="V702" s="845"/>
      <c r="W702" s="845"/>
      <c r="X702" s="845"/>
      <c r="Y702" s="845"/>
    </row>
    <row r="703" spans="1:25" x14ac:dyDescent="0.2">
      <c r="A703" s="1828"/>
      <c r="B703" s="1828"/>
      <c r="C703" s="1828"/>
      <c r="D703" s="1828"/>
      <c r="E703" s="844"/>
      <c r="R703" s="845"/>
      <c r="S703" s="845"/>
      <c r="T703" s="845"/>
      <c r="U703" s="845"/>
      <c r="V703" s="845"/>
      <c r="W703" s="845"/>
      <c r="X703" s="845"/>
      <c r="Y703" s="845"/>
    </row>
    <row r="704" spans="1:25" x14ac:dyDescent="0.2">
      <c r="A704" s="1828"/>
      <c r="B704" s="1828"/>
      <c r="C704" s="1828"/>
      <c r="D704" s="1828"/>
      <c r="E704" s="844"/>
      <c r="R704" s="845"/>
      <c r="S704" s="845"/>
      <c r="T704" s="845"/>
      <c r="U704" s="845"/>
      <c r="V704" s="845"/>
      <c r="W704" s="845"/>
      <c r="X704" s="845"/>
      <c r="Y704" s="845"/>
    </row>
    <row r="705" spans="1:25" x14ac:dyDescent="0.2">
      <c r="A705" s="1828"/>
      <c r="B705" s="1828"/>
      <c r="C705" s="1828"/>
      <c r="D705" s="1828"/>
      <c r="E705" s="844"/>
      <c r="R705" s="845"/>
      <c r="S705" s="845"/>
      <c r="T705" s="845"/>
      <c r="U705" s="845"/>
      <c r="V705" s="845"/>
      <c r="W705" s="845"/>
      <c r="X705" s="845"/>
      <c r="Y705" s="845"/>
    </row>
    <row r="706" spans="1:25" x14ac:dyDescent="0.2">
      <c r="A706" s="1828"/>
      <c r="B706" s="1828"/>
      <c r="C706" s="1828"/>
      <c r="D706" s="1828"/>
      <c r="E706" s="844"/>
      <c r="R706" s="845"/>
      <c r="S706" s="845"/>
      <c r="T706" s="845"/>
      <c r="U706" s="845"/>
      <c r="V706" s="845"/>
      <c r="W706" s="845"/>
      <c r="X706" s="845"/>
      <c r="Y706" s="845"/>
    </row>
    <row r="707" spans="1:25" x14ac:dyDescent="0.2">
      <c r="A707" s="1828"/>
      <c r="B707" s="1828"/>
      <c r="C707" s="1828"/>
      <c r="D707" s="1828"/>
      <c r="E707" s="844"/>
      <c r="R707" s="845"/>
      <c r="S707" s="845"/>
      <c r="T707" s="845"/>
      <c r="U707" s="845"/>
      <c r="V707" s="845"/>
      <c r="W707" s="845"/>
      <c r="X707" s="845"/>
      <c r="Y707" s="845"/>
    </row>
    <row r="708" spans="1:25" x14ac:dyDescent="0.2">
      <c r="A708" s="1828"/>
      <c r="B708" s="1828"/>
      <c r="C708" s="1828"/>
      <c r="D708" s="1828"/>
      <c r="E708" s="844"/>
      <c r="R708" s="845"/>
      <c r="S708" s="845"/>
      <c r="T708" s="845"/>
      <c r="U708" s="845"/>
      <c r="V708" s="845"/>
      <c r="W708" s="845"/>
      <c r="X708" s="845"/>
      <c r="Y708" s="845"/>
    </row>
    <row r="709" spans="1:25" x14ac:dyDescent="0.2">
      <c r="A709" s="1828"/>
      <c r="B709" s="1828"/>
      <c r="C709" s="1828"/>
      <c r="D709" s="1828"/>
      <c r="E709" s="844"/>
      <c r="R709" s="845"/>
      <c r="S709" s="845"/>
      <c r="T709" s="845"/>
      <c r="U709" s="845"/>
      <c r="V709" s="845"/>
      <c r="W709" s="845"/>
      <c r="X709" s="845"/>
      <c r="Y709" s="845"/>
    </row>
    <row r="710" spans="1:25" x14ac:dyDescent="0.2">
      <c r="A710" s="1828"/>
      <c r="B710" s="1828"/>
      <c r="C710" s="1828"/>
      <c r="D710" s="1828"/>
      <c r="E710" s="844"/>
      <c r="R710" s="845"/>
      <c r="S710" s="845"/>
      <c r="T710" s="845"/>
      <c r="U710" s="845"/>
      <c r="V710" s="845"/>
      <c r="W710" s="845"/>
      <c r="X710" s="845"/>
      <c r="Y710" s="845"/>
    </row>
    <row r="711" spans="1:25" x14ac:dyDescent="0.2">
      <c r="A711" s="1828"/>
      <c r="B711" s="1828"/>
      <c r="C711" s="1828"/>
      <c r="D711" s="1828"/>
      <c r="E711" s="844"/>
      <c r="R711" s="845"/>
      <c r="S711" s="845"/>
      <c r="T711" s="845"/>
      <c r="U711" s="845"/>
      <c r="V711" s="845"/>
      <c r="W711" s="845"/>
      <c r="X711" s="845"/>
      <c r="Y711" s="845"/>
    </row>
    <row r="712" spans="1:25" x14ac:dyDescent="0.2">
      <c r="A712" s="1828"/>
      <c r="B712" s="1828"/>
      <c r="C712" s="1828"/>
      <c r="D712" s="1828"/>
      <c r="E712" s="844"/>
      <c r="R712" s="845"/>
      <c r="S712" s="845"/>
      <c r="T712" s="845"/>
      <c r="U712" s="845"/>
      <c r="V712" s="845"/>
      <c r="W712" s="845"/>
      <c r="X712" s="845"/>
      <c r="Y712" s="845"/>
    </row>
    <row r="713" spans="1:25" x14ac:dyDescent="0.2">
      <c r="A713" s="1828"/>
      <c r="B713" s="1828"/>
      <c r="C713" s="1828"/>
      <c r="D713" s="1828"/>
      <c r="E713" s="844"/>
      <c r="R713" s="845"/>
      <c r="S713" s="845"/>
      <c r="T713" s="845"/>
      <c r="U713" s="845"/>
      <c r="V713" s="845"/>
      <c r="W713" s="845"/>
      <c r="X713" s="845"/>
      <c r="Y713" s="845"/>
    </row>
    <row r="714" spans="1:25" x14ac:dyDescent="0.2">
      <c r="A714" s="1828"/>
      <c r="B714" s="1828"/>
      <c r="C714" s="1828"/>
      <c r="D714" s="1828"/>
      <c r="E714" s="844"/>
      <c r="R714" s="845"/>
      <c r="S714" s="845"/>
      <c r="T714" s="845"/>
      <c r="U714" s="845"/>
      <c r="V714" s="845"/>
      <c r="W714" s="845"/>
      <c r="X714" s="845"/>
      <c r="Y714" s="845"/>
    </row>
    <row r="715" spans="1:25" x14ac:dyDescent="0.2">
      <c r="A715" s="1828"/>
      <c r="B715" s="1828"/>
      <c r="C715" s="1828"/>
      <c r="D715" s="1828"/>
      <c r="E715" s="844"/>
      <c r="R715" s="845"/>
      <c r="S715" s="845"/>
      <c r="T715" s="845"/>
      <c r="U715" s="845"/>
      <c r="V715" s="845"/>
      <c r="W715" s="845"/>
      <c r="X715" s="845"/>
      <c r="Y715" s="845"/>
    </row>
    <row r="716" spans="1:25" x14ac:dyDescent="0.2">
      <c r="A716" s="1828"/>
      <c r="B716" s="1828"/>
      <c r="C716" s="1828"/>
      <c r="D716" s="1828"/>
      <c r="E716" s="844"/>
      <c r="R716" s="845"/>
      <c r="S716" s="845"/>
      <c r="T716" s="845"/>
      <c r="U716" s="845"/>
      <c r="V716" s="845"/>
      <c r="W716" s="845"/>
      <c r="X716" s="845"/>
      <c r="Y716" s="845"/>
    </row>
    <row r="717" spans="1:25" x14ac:dyDescent="0.2">
      <c r="A717" s="1828"/>
      <c r="B717" s="1828"/>
      <c r="C717" s="1828"/>
      <c r="D717" s="1828"/>
      <c r="E717" s="844"/>
      <c r="R717" s="845"/>
      <c r="S717" s="845"/>
      <c r="T717" s="845"/>
      <c r="U717" s="845"/>
      <c r="V717" s="845"/>
      <c r="W717" s="845"/>
      <c r="X717" s="845"/>
      <c r="Y717" s="845"/>
    </row>
    <row r="718" spans="1:25" x14ac:dyDescent="0.2">
      <c r="A718" s="1828"/>
      <c r="B718" s="1828"/>
      <c r="C718" s="1828"/>
      <c r="D718" s="1828"/>
      <c r="E718" s="844"/>
      <c r="R718" s="845"/>
      <c r="S718" s="845"/>
      <c r="T718" s="845"/>
      <c r="U718" s="845"/>
      <c r="V718" s="845"/>
      <c r="W718" s="845"/>
      <c r="X718" s="845"/>
      <c r="Y718" s="845"/>
    </row>
    <row r="719" spans="1:25" x14ac:dyDescent="0.2">
      <c r="A719" s="1828"/>
      <c r="B719" s="1828"/>
      <c r="C719" s="1828"/>
      <c r="D719" s="1828"/>
      <c r="E719" s="844"/>
      <c r="R719" s="845"/>
      <c r="S719" s="845"/>
      <c r="T719" s="845"/>
      <c r="U719" s="845"/>
      <c r="V719" s="845"/>
      <c r="W719" s="845"/>
      <c r="X719" s="845"/>
      <c r="Y719" s="845"/>
    </row>
    <row r="720" spans="1:25" x14ac:dyDescent="0.2">
      <c r="A720" s="1828"/>
      <c r="B720" s="1828"/>
      <c r="C720" s="1828"/>
      <c r="D720" s="1828"/>
      <c r="E720" s="844"/>
      <c r="R720" s="845"/>
      <c r="S720" s="845"/>
      <c r="T720" s="845"/>
      <c r="U720" s="845"/>
      <c r="V720" s="845"/>
      <c r="W720" s="845"/>
      <c r="X720" s="845"/>
      <c r="Y720" s="845"/>
    </row>
    <row r="721" spans="1:25" x14ac:dyDescent="0.2">
      <c r="A721" s="1828"/>
      <c r="B721" s="1828"/>
      <c r="C721" s="1828"/>
      <c r="D721" s="1828"/>
      <c r="E721" s="844"/>
      <c r="R721" s="845"/>
      <c r="S721" s="845"/>
      <c r="T721" s="845"/>
      <c r="U721" s="845"/>
      <c r="V721" s="845"/>
      <c r="W721" s="845"/>
      <c r="X721" s="845"/>
      <c r="Y721" s="845"/>
    </row>
    <row r="722" spans="1:25" x14ac:dyDescent="0.2">
      <c r="A722" s="1828"/>
      <c r="B722" s="1828"/>
      <c r="C722" s="1828"/>
      <c r="D722" s="1828"/>
      <c r="E722" s="844"/>
      <c r="R722" s="845"/>
      <c r="S722" s="845"/>
      <c r="T722" s="845"/>
      <c r="U722" s="845"/>
      <c r="V722" s="845"/>
      <c r="W722" s="845"/>
      <c r="X722" s="845"/>
      <c r="Y722" s="845"/>
    </row>
    <row r="723" spans="1:25" x14ac:dyDescent="0.2">
      <c r="A723" s="1828"/>
      <c r="B723" s="1828"/>
      <c r="C723" s="1828"/>
      <c r="D723" s="1828"/>
      <c r="E723" s="844"/>
      <c r="R723" s="845"/>
      <c r="S723" s="845"/>
      <c r="T723" s="845"/>
      <c r="U723" s="845"/>
      <c r="V723" s="845"/>
      <c r="W723" s="845"/>
      <c r="X723" s="845"/>
      <c r="Y723" s="845"/>
    </row>
    <row r="724" spans="1:25" x14ac:dyDescent="0.2">
      <c r="A724" s="1828"/>
      <c r="B724" s="1828"/>
      <c r="C724" s="1828"/>
      <c r="D724" s="1828"/>
      <c r="E724" s="844"/>
      <c r="R724" s="845"/>
      <c r="S724" s="845"/>
      <c r="T724" s="845"/>
      <c r="U724" s="845"/>
      <c r="V724" s="845"/>
      <c r="W724" s="845"/>
      <c r="X724" s="845"/>
      <c r="Y724" s="845"/>
    </row>
    <row r="725" spans="1:25" x14ac:dyDescent="0.2">
      <c r="A725" s="1828"/>
      <c r="B725" s="1828"/>
      <c r="C725" s="1828"/>
      <c r="D725" s="1828"/>
      <c r="E725" s="844"/>
      <c r="R725" s="845"/>
      <c r="S725" s="845"/>
      <c r="T725" s="845"/>
      <c r="U725" s="845"/>
      <c r="V725" s="845"/>
      <c r="W725" s="845"/>
      <c r="X725" s="845"/>
      <c r="Y725" s="845"/>
    </row>
    <row r="726" spans="1:25" x14ac:dyDescent="0.2">
      <c r="A726" s="1828"/>
      <c r="B726" s="1828"/>
      <c r="C726" s="1828"/>
      <c r="D726" s="1828"/>
      <c r="E726" s="844"/>
      <c r="R726" s="845"/>
      <c r="S726" s="845"/>
      <c r="T726" s="845"/>
      <c r="U726" s="845"/>
      <c r="V726" s="845"/>
      <c r="W726" s="845"/>
      <c r="X726" s="845"/>
      <c r="Y726" s="845"/>
    </row>
    <row r="727" spans="1:25" x14ac:dyDescent="0.2">
      <c r="A727" s="1828"/>
      <c r="B727" s="1828"/>
      <c r="C727" s="1828"/>
      <c r="D727" s="1828"/>
      <c r="E727" s="844"/>
      <c r="R727" s="845"/>
      <c r="S727" s="845"/>
      <c r="T727" s="845"/>
      <c r="U727" s="845"/>
      <c r="V727" s="845"/>
      <c r="W727" s="845"/>
      <c r="X727" s="845"/>
      <c r="Y727" s="845"/>
    </row>
    <row r="728" spans="1:25" x14ac:dyDescent="0.2">
      <c r="A728" s="1828"/>
      <c r="B728" s="1828"/>
      <c r="C728" s="1828"/>
      <c r="D728" s="1828"/>
      <c r="E728" s="844"/>
      <c r="R728" s="845"/>
      <c r="S728" s="845"/>
      <c r="T728" s="845"/>
      <c r="U728" s="845"/>
      <c r="V728" s="845"/>
      <c r="W728" s="845"/>
      <c r="X728" s="845"/>
      <c r="Y728" s="845"/>
    </row>
    <row r="729" spans="1:25" x14ac:dyDescent="0.2">
      <c r="A729" s="1828"/>
      <c r="B729" s="1828"/>
      <c r="C729" s="1828"/>
      <c r="D729" s="1828"/>
      <c r="E729" s="844"/>
      <c r="R729" s="845"/>
      <c r="S729" s="845"/>
      <c r="T729" s="845"/>
      <c r="U729" s="845"/>
      <c r="V729" s="845"/>
      <c r="W729" s="845"/>
      <c r="X729" s="845"/>
      <c r="Y729" s="845"/>
    </row>
    <row r="730" spans="1:25" x14ac:dyDescent="0.2">
      <c r="A730" s="1828"/>
      <c r="B730" s="1828"/>
      <c r="C730" s="1828"/>
      <c r="D730" s="1828"/>
      <c r="E730" s="844"/>
      <c r="R730" s="845"/>
      <c r="S730" s="845"/>
      <c r="T730" s="845"/>
      <c r="U730" s="845"/>
      <c r="V730" s="845"/>
      <c r="W730" s="845"/>
      <c r="X730" s="845"/>
      <c r="Y730" s="845"/>
    </row>
    <row r="731" spans="1:25" x14ac:dyDescent="0.2">
      <c r="A731" s="1828"/>
      <c r="B731" s="1828"/>
      <c r="C731" s="1828"/>
      <c r="D731" s="1828"/>
      <c r="E731" s="844"/>
      <c r="R731" s="845"/>
      <c r="S731" s="845"/>
      <c r="T731" s="845"/>
      <c r="U731" s="845"/>
      <c r="V731" s="845"/>
      <c r="W731" s="845"/>
      <c r="X731" s="845"/>
      <c r="Y731" s="845"/>
    </row>
    <row r="732" spans="1:25" x14ac:dyDescent="0.2">
      <c r="A732" s="1828"/>
      <c r="B732" s="1828"/>
      <c r="C732" s="1828"/>
      <c r="D732" s="1828"/>
      <c r="E732" s="844"/>
      <c r="R732" s="845"/>
      <c r="S732" s="845"/>
      <c r="T732" s="845"/>
      <c r="U732" s="845"/>
      <c r="V732" s="845"/>
      <c r="W732" s="845"/>
      <c r="X732" s="845"/>
      <c r="Y732" s="845"/>
    </row>
    <row r="733" spans="1:25" x14ac:dyDescent="0.2">
      <c r="A733" s="1828"/>
      <c r="B733" s="1828"/>
      <c r="C733" s="1828"/>
      <c r="D733" s="1828"/>
      <c r="E733" s="844"/>
      <c r="R733" s="845"/>
      <c r="S733" s="845"/>
      <c r="T733" s="845"/>
      <c r="U733" s="845"/>
      <c r="V733" s="845"/>
      <c r="W733" s="845"/>
      <c r="X733" s="845"/>
      <c r="Y733" s="845"/>
    </row>
    <row r="734" spans="1:25" x14ac:dyDescent="0.2">
      <c r="A734" s="1828"/>
      <c r="B734" s="1828"/>
      <c r="C734" s="1828"/>
      <c r="D734" s="1828"/>
      <c r="E734" s="844"/>
      <c r="R734" s="845"/>
      <c r="S734" s="845"/>
      <c r="T734" s="845"/>
      <c r="U734" s="845"/>
      <c r="V734" s="845"/>
      <c r="W734" s="845"/>
      <c r="X734" s="845"/>
      <c r="Y734" s="845"/>
    </row>
    <row r="735" spans="1:25" x14ac:dyDescent="0.2">
      <c r="A735" s="1828"/>
      <c r="B735" s="1828"/>
      <c r="C735" s="1828"/>
      <c r="D735" s="1828"/>
      <c r="E735" s="844"/>
      <c r="R735" s="845"/>
      <c r="S735" s="845"/>
      <c r="T735" s="845"/>
      <c r="U735" s="845"/>
      <c r="V735" s="845"/>
      <c r="W735" s="845"/>
      <c r="X735" s="845"/>
      <c r="Y735" s="845"/>
    </row>
    <row r="736" spans="1:25" x14ac:dyDescent="0.2">
      <c r="A736" s="1828"/>
      <c r="B736" s="1828"/>
      <c r="C736" s="1828"/>
      <c r="D736" s="1828"/>
      <c r="E736" s="844"/>
      <c r="R736" s="845"/>
      <c r="S736" s="845"/>
      <c r="T736" s="845"/>
      <c r="U736" s="845"/>
      <c r="V736" s="845"/>
      <c r="W736" s="845"/>
      <c r="X736" s="845"/>
      <c r="Y736" s="845"/>
    </row>
    <row r="737" spans="1:25" x14ac:dyDescent="0.2">
      <c r="A737" s="1828"/>
      <c r="B737" s="1828"/>
      <c r="C737" s="1828"/>
      <c r="D737" s="1828"/>
      <c r="E737" s="844"/>
      <c r="R737" s="845"/>
      <c r="S737" s="845"/>
      <c r="T737" s="845"/>
      <c r="U737" s="845"/>
      <c r="V737" s="845"/>
      <c r="W737" s="845"/>
      <c r="X737" s="845"/>
      <c r="Y737" s="845"/>
    </row>
    <row r="738" spans="1:25" x14ac:dyDescent="0.2">
      <c r="A738" s="1828"/>
      <c r="B738" s="1828"/>
      <c r="C738" s="1828"/>
      <c r="D738" s="1828"/>
      <c r="E738" s="844"/>
      <c r="R738" s="845"/>
      <c r="S738" s="845"/>
      <c r="T738" s="845"/>
      <c r="U738" s="845"/>
      <c r="V738" s="845"/>
      <c r="W738" s="845"/>
      <c r="X738" s="845"/>
      <c r="Y738" s="845"/>
    </row>
    <row r="739" spans="1:25" x14ac:dyDescent="0.2">
      <c r="A739" s="1828"/>
      <c r="B739" s="1828"/>
      <c r="C739" s="1828"/>
      <c r="D739" s="1828"/>
      <c r="E739" s="844"/>
      <c r="R739" s="845"/>
      <c r="S739" s="845"/>
      <c r="T739" s="845"/>
      <c r="U739" s="845"/>
      <c r="V739" s="845"/>
      <c r="W739" s="845"/>
      <c r="X739" s="845"/>
      <c r="Y739" s="845"/>
    </row>
    <row r="740" spans="1:25" x14ac:dyDescent="0.2">
      <c r="A740" s="1828"/>
      <c r="B740" s="1828"/>
      <c r="C740" s="1828"/>
      <c r="D740" s="1828"/>
      <c r="E740" s="844"/>
      <c r="R740" s="845"/>
      <c r="S740" s="845"/>
      <c r="T740" s="845"/>
      <c r="U740" s="845"/>
      <c r="V740" s="845"/>
      <c r="W740" s="845"/>
      <c r="X740" s="845"/>
      <c r="Y740" s="845"/>
    </row>
    <row r="741" spans="1:25" x14ac:dyDescent="0.2">
      <c r="A741" s="1828"/>
      <c r="B741" s="1828"/>
      <c r="C741" s="1828"/>
      <c r="D741" s="1828"/>
      <c r="E741" s="844"/>
      <c r="R741" s="845"/>
      <c r="S741" s="845"/>
      <c r="T741" s="845"/>
      <c r="U741" s="845"/>
      <c r="V741" s="845"/>
      <c r="W741" s="845"/>
      <c r="X741" s="845"/>
      <c r="Y741" s="845"/>
    </row>
    <row r="742" spans="1:25" x14ac:dyDescent="0.2">
      <c r="A742" s="1828"/>
      <c r="B742" s="1828"/>
      <c r="C742" s="1828"/>
      <c r="D742" s="1828"/>
      <c r="E742" s="844"/>
      <c r="R742" s="845"/>
      <c r="S742" s="845"/>
      <c r="T742" s="845"/>
      <c r="U742" s="845"/>
      <c r="V742" s="845"/>
      <c r="W742" s="845"/>
      <c r="X742" s="845"/>
      <c r="Y742" s="845"/>
    </row>
    <row r="743" spans="1:25" x14ac:dyDescent="0.2">
      <c r="A743" s="1828"/>
      <c r="B743" s="1828"/>
      <c r="C743" s="1828"/>
      <c r="D743" s="1828"/>
      <c r="E743" s="844"/>
      <c r="R743" s="845"/>
      <c r="S743" s="845"/>
      <c r="T743" s="845"/>
      <c r="U743" s="845"/>
      <c r="V743" s="845"/>
      <c r="W743" s="845"/>
      <c r="X743" s="845"/>
      <c r="Y743" s="845"/>
    </row>
    <row r="744" spans="1:25" x14ac:dyDescent="0.2">
      <c r="A744" s="1828"/>
      <c r="B744" s="1828"/>
      <c r="C744" s="1828"/>
      <c r="D744" s="1828"/>
      <c r="E744" s="844"/>
      <c r="R744" s="845"/>
      <c r="S744" s="845"/>
      <c r="T744" s="845"/>
      <c r="U744" s="845"/>
      <c r="V744" s="845"/>
      <c r="W744" s="845"/>
      <c r="X744" s="845"/>
      <c r="Y744" s="845"/>
    </row>
    <row r="745" spans="1:25" x14ac:dyDescent="0.2">
      <c r="A745" s="1828"/>
      <c r="B745" s="1828"/>
      <c r="C745" s="1828"/>
      <c r="D745" s="1828"/>
      <c r="E745" s="844"/>
      <c r="R745" s="845"/>
      <c r="S745" s="845"/>
      <c r="T745" s="845"/>
      <c r="U745" s="845"/>
      <c r="V745" s="845"/>
      <c r="W745" s="845"/>
      <c r="X745" s="845"/>
      <c r="Y745" s="845"/>
    </row>
    <row r="746" spans="1:25" x14ac:dyDescent="0.2">
      <c r="A746" s="1828"/>
      <c r="B746" s="1828"/>
      <c r="C746" s="1828"/>
      <c r="D746" s="1828"/>
      <c r="E746" s="844"/>
      <c r="R746" s="845"/>
      <c r="S746" s="845"/>
      <c r="T746" s="845"/>
      <c r="U746" s="845"/>
      <c r="V746" s="845"/>
      <c r="W746" s="845"/>
      <c r="X746" s="845"/>
      <c r="Y746" s="845"/>
    </row>
    <row r="747" spans="1:25" x14ac:dyDescent="0.2">
      <c r="A747" s="1828"/>
      <c r="B747" s="1828"/>
      <c r="C747" s="1828"/>
      <c r="D747" s="1828"/>
      <c r="E747" s="844"/>
      <c r="R747" s="845"/>
      <c r="S747" s="845"/>
      <c r="T747" s="845"/>
      <c r="U747" s="845"/>
      <c r="V747" s="845"/>
      <c r="W747" s="845"/>
      <c r="X747" s="845"/>
      <c r="Y747" s="845"/>
    </row>
    <row r="748" spans="1:25" x14ac:dyDescent="0.2">
      <c r="A748" s="1828"/>
      <c r="B748" s="1828"/>
      <c r="C748" s="1828"/>
      <c r="D748" s="1828"/>
      <c r="E748" s="844"/>
      <c r="R748" s="845"/>
      <c r="S748" s="845"/>
      <c r="T748" s="845"/>
      <c r="U748" s="845"/>
      <c r="V748" s="845"/>
      <c r="W748" s="845"/>
      <c r="X748" s="845"/>
      <c r="Y748" s="845"/>
    </row>
    <row r="749" spans="1:25" x14ac:dyDescent="0.2">
      <c r="A749" s="1828"/>
      <c r="B749" s="1828"/>
      <c r="C749" s="1828"/>
      <c r="D749" s="1828"/>
      <c r="E749" s="844"/>
      <c r="R749" s="845"/>
      <c r="S749" s="845"/>
      <c r="T749" s="845"/>
      <c r="U749" s="845"/>
      <c r="V749" s="845"/>
      <c r="W749" s="845"/>
      <c r="X749" s="845"/>
      <c r="Y749" s="845"/>
    </row>
    <row r="750" spans="1:25" x14ac:dyDescent="0.2">
      <c r="A750" s="1828"/>
      <c r="B750" s="1828"/>
      <c r="C750" s="1828"/>
      <c r="D750" s="1828"/>
      <c r="E750" s="844"/>
      <c r="R750" s="845"/>
      <c r="S750" s="845"/>
      <c r="T750" s="845"/>
      <c r="U750" s="845"/>
      <c r="V750" s="845"/>
      <c r="W750" s="845"/>
      <c r="X750" s="845"/>
      <c r="Y750" s="845"/>
    </row>
    <row r="751" spans="1:25" x14ac:dyDescent="0.2">
      <c r="A751" s="1828"/>
      <c r="B751" s="1828"/>
      <c r="C751" s="1828"/>
      <c r="D751" s="1828"/>
      <c r="E751" s="844"/>
      <c r="R751" s="845"/>
      <c r="S751" s="845"/>
      <c r="T751" s="845"/>
      <c r="U751" s="845"/>
      <c r="V751" s="845"/>
      <c r="W751" s="845"/>
      <c r="X751" s="845"/>
      <c r="Y751" s="845"/>
    </row>
    <row r="752" spans="1:25" x14ac:dyDescent="0.2">
      <c r="A752" s="1828"/>
      <c r="B752" s="1828"/>
      <c r="C752" s="1828"/>
      <c r="D752" s="1828"/>
      <c r="E752" s="844"/>
      <c r="R752" s="845"/>
      <c r="S752" s="845"/>
      <c r="T752" s="845"/>
      <c r="U752" s="845"/>
      <c r="V752" s="845"/>
      <c r="W752" s="845"/>
      <c r="X752" s="845"/>
      <c r="Y752" s="845"/>
    </row>
    <row r="753" spans="1:25" x14ac:dyDescent="0.2">
      <c r="A753" s="1828"/>
      <c r="B753" s="1828"/>
      <c r="C753" s="1828"/>
      <c r="D753" s="1828"/>
      <c r="E753" s="844"/>
      <c r="R753" s="845"/>
      <c r="S753" s="845"/>
      <c r="T753" s="845"/>
      <c r="U753" s="845"/>
      <c r="V753" s="845"/>
      <c r="W753" s="845"/>
      <c r="X753" s="845"/>
      <c r="Y753" s="845"/>
    </row>
    <row r="754" spans="1:25" x14ac:dyDescent="0.2">
      <c r="A754" s="1828"/>
      <c r="B754" s="1828"/>
      <c r="C754" s="1828"/>
      <c r="D754" s="1828"/>
      <c r="E754" s="844"/>
      <c r="R754" s="845"/>
      <c r="S754" s="845"/>
      <c r="T754" s="845"/>
      <c r="U754" s="845"/>
      <c r="V754" s="845"/>
      <c r="W754" s="845"/>
      <c r="X754" s="845"/>
      <c r="Y754" s="845"/>
    </row>
    <row r="755" spans="1:25" x14ac:dyDescent="0.2">
      <c r="A755" s="1828"/>
      <c r="B755" s="1828"/>
      <c r="C755" s="1828"/>
      <c r="D755" s="1828"/>
      <c r="E755" s="844"/>
      <c r="R755" s="845"/>
      <c r="S755" s="845"/>
      <c r="T755" s="845"/>
      <c r="U755" s="845"/>
      <c r="V755" s="845"/>
      <c r="W755" s="845"/>
      <c r="X755" s="845"/>
      <c r="Y755" s="845"/>
    </row>
    <row r="756" spans="1:25" x14ac:dyDescent="0.2">
      <c r="A756" s="1828"/>
      <c r="B756" s="1828"/>
      <c r="C756" s="1828"/>
      <c r="D756" s="1828"/>
      <c r="E756" s="844"/>
      <c r="R756" s="845"/>
      <c r="S756" s="845"/>
      <c r="T756" s="845"/>
      <c r="U756" s="845"/>
      <c r="V756" s="845"/>
      <c r="W756" s="845"/>
      <c r="X756" s="845"/>
      <c r="Y756" s="845"/>
    </row>
    <row r="757" spans="1:25" x14ac:dyDescent="0.2">
      <c r="A757" s="1828"/>
      <c r="B757" s="1828"/>
      <c r="C757" s="1828"/>
      <c r="D757" s="1828"/>
      <c r="E757" s="844"/>
      <c r="R757" s="845"/>
      <c r="S757" s="845"/>
      <c r="T757" s="845"/>
      <c r="U757" s="845"/>
      <c r="V757" s="845"/>
      <c r="W757" s="845"/>
      <c r="X757" s="845"/>
      <c r="Y757" s="845"/>
    </row>
    <row r="758" spans="1:25" x14ac:dyDescent="0.2">
      <c r="A758" s="1828"/>
      <c r="B758" s="1828"/>
      <c r="C758" s="1828"/>
      <c r="D758" s="1828"/>
      <c r="E758" s="844"/>
      <c r="R758" s="845"/>
      <c r="S758" s="845"/>
      <c r="T758" s="845"/>
      <c r="U758" s="845"/>
      <c r="V758" s="845"/>
      <c r="W758" s="845"/>
      <c r="X758" s="845"/>
      <c r="Y758" s="845"/>
    </row>
    <row r="759" spans="1:25" x14ac:dyDescent="0.2">
      <c r="A759" s="1828"/>
      <c r="B759" s="1828"/>
      <c r="C759" s="1828"/>
      <c r="D759" s="1828"/>
      <c r="E759" s="844"/>
      <c r="R759" s="845"/>
      <c r="S759" s="845"/>
      <c r="T759" s="845"/>
      <c r="U759" s="845"/>
      <c r="V759" s="845"/>
      <c r="W759" s="845"/>
      <c r="X759" s="845"/>
      <c r="Y759" s="845"/>
    </row>
    <row r="760" spans="1:25" x14ac:dyDescent="0.2">
      <c r="A760" s="1828"/>
      <c r="B760" s="1828"/>
      <c r="C760" s="1828"/>
      <c r="D760" s="1828"/>
      <c r="E760" s="844"/>
      <c r="R760" s="845"/>
      <c r="S760" s="845"/>
      <c r="T760" s="845"/>
      <c r="U760" s="845"/>
      <c r="V760" s="845"/>
      <c r="W760" s="845"/>
      <c r="X760" s="845"/>
      <c r="Y760" s="845"/>
    </row>
    <row r="761" spans="1:25" x14ac:dyDescent="0.2">
      <c r="A761" s="1828"/>
      <c r="B761" s="1828"/>
      <c r="C761" s="1828"/>
      <c r="D761" s="1828"/>
      <c r="E761" s="844"/>
      <c r="R761" s="845"/>
      <c r="S761" s="845"/>
      <c r="T761" s="845"/>
      <c r="U761" s="845"/>
      <c r="V761" s="845"/>
      <c r="W761" s="845"/>
      <c r="X761" s="845"/>
      <c r="Y761" s="845"/>
    </row>
    <row r="762" spans="1:25" x14ac:dyDescent="0.2">
      <c r="A762" s="1828"/>
      <c r="B762" s="1828"/>
      <c r="C762" s="1828"/>
      <c r="D762" s="1828"/>
      <c r="E762" s="844"/>
      <c r="R762" s="845"/>
      <c r="S762" s="845"/>
      <c r="T762" s="845"/>
      <c r="U762" s="845"/>
      <c r="V762" s="845"/>
      <c r="W762" s="845"/>
      <c r="X762" s="845"/>
      <c r="Y762" s="845"/>
    </row>
    <row r="763" spans="1:25" x14ac:dyDescent="0.2">
      <c r="A763" s="1828"/>
      <c r="B763" s="1828"/>
      <c r="C763" s="1828"/>
      <c r="D763" s="1828"/>
      <c r="E763" s="844"/>
      <c r="R763" s="845"/>
      <c r="S763" s="845"/>
      <c r="T763" s="845"/>
      <c r="U763" s="845"/>
      <c r="V763" s="845"/>
      <c r="W763" s="845"/>
      <c r="X763" s="845"/>
      <c r="Y763" s="845"/>
    </row>
    <row r="764" spans="1:25" x14ac:dyDescent="0.2">
      <c r="A764" s="1828"/>
      <c r="B764" s="1828"/>
      <c r="C764" s="1828"/>
      <c r="D764" s="1828"/>
      <c r="E764" s="844"/>
      <c r="R764" s="845"/>
      <c r="S764" s="845"/>
      <c r="T764" s="845"/>
      <c r="U764" s="845"/>
      <c r="V764" s="845"/>
      <c r="W764" s="845"/>
      <c r="X764" s="845"/>
      <c r="Y764" s="845"/>
    </row>
    <row r="765" spans="1:25" x14ac:dyDescent="0.2">
      <c r="A765" s="1828"/>
      <c r="B765" s="1828"/>
      <c r="C765" s="1828"/>
      <c r="D765" s="1828"/>
      <c r="E765" s="844"/>
      <c r="R765" s="845"/>
      <c r="S765" s="845"/>
      <c r="T765" s="845"/>
      <c r="U765" s="845"/>
      <c r="V765" s="845"/>
      <c r="W765" s="845"/>
      <c r="X765" s="845"/>
      <c r="Y765" s="845"/>
    </row>
    <row r="766" spans="1:25" x14ac:dyDescent="0.2">
      <c r="A766" s="1828"/>
      <c r="B766" s="1828"/>
      <c r="C766" s="1828"/>
      <c r="D766" s="1828"/>
      <c r="E766" s="844"/>
      <c r="R766" s="845"/>
      <c r="S766" s="845"/>
      <c r="T766" s="845"/>
      <c r="U766" s="845"/>
      <c r="V766" s="845"/>
      <c r="W766" s="845"/>
      <c r="X766" s="845"/>
      <c r="Y766" s="845"/>
    </row>
    <row r="767" spans="1:25" x14ac:dyDescent="0.2">
      <c r="A767" s="1828"/>
      <c r="B767" s="1828"/>
      <c r="C767" s="1828"/>
      <c r="D767" s="1828"/>
      <c r="E767" s="844"/>
      <c r="R767" s="845"/>
      <c r="S767" s="845"/>
      <c r="T767" s="845"/>
      <c r="U767" s="845"/>
      <c r="V767" s="845"/>
      <c r="W767" s="845"/>
      <c r="X767" s="845"/>
      <c r="Y767" s="845"/>
    </row>
    <row r="768" spans="1:25" x14ac:dyDescent="0.2">
      <c r="A768" s="1828"/>
      <c r="B768" s="1828"/>
      <c r="C768" s="1828"/>
      <c r="D768" s="1828"/>
      <c r="E768" s="844"/>
      <c r="R768" s="845"/>
      <c r="S768" s="845"/>
      <c r="T768" s="845"/>
      <c r="U768" s="845"/>
      <c r="V768" s="845"/>
      <c r="W768" s="845"/>
      <c r="X768" s="845"/>
      <c r="Y768" s="845"/>
    </row>
    <row r="769" spans="1:25" x14ac:dyDescent="0.2">
      <c r="A769" s="1828"/>
      <c r="B769" s="1828"/>
      <c r="C769" s="1828"/>
      <c r="D769" s="1828"/>
      <c r="E769" s="844"/>
      <c r="R769" s="845"/>
      <c r="S769" s="845"/>
      <c r="T769" s="845"/>
      <c r="U769" s="845"/>
      <c r="V769" s="845"/>
      <c r="W769" s="845"/>
      <c r="X769" s="845"/>
      <c r="Y769" s="845"/>
    </row>
    <row r="770" spans="1:25" x14ac:dyDescent="0.2">
      <c r="A770" s="1828"/>
      <c r="B770" s="1828"/>
      <c r="C770" s="1828"/>
      <c r="D770" s="1828"/>
      <c r="E770" s="844"/>
      <c r="R770" s="845"/>
      <c r="S770" s="845"/>
      <c r="T770" s="845"/>
      <c r="U770" s="845"/>
      <c r="V770" s="845"/>
      <c r="W770" s="845"/>
      <c r="X770" s="845"/>
      <c r="Y770" s="845"/>
    </row>
    <row r="771" spans="1:25" x14ac:dyDescent="0.2">
      <c r="A771" s="1828"/>
      <c r="B771" s="1828"/>
      <c r="C771" s="1828"/>
      <c r="D771" s="1828"/>
      <c r="E771" s="844"/>
      <c r="R771" s="845"/>
      <c r="S771" s="845"/>
      <c r="T771" s="845"/>
      <c r="U771" s="845"/>
      <c r="V771" s="845"/>
      <c r="W771" s="845"/>
      <c r="X771" s="845"/>
      <c r="Y771" s="845"/>
    </row>
    <row r="772" spans="1:25" x14ac:dyDescent="0.2">
      <c r="A772" s="1828"/>
      <c r="B772" s="1828"/>
      <c r="C772" s="1828"/>
      <c r="D772" s="1828"/>
      <c r="E772" s="844"/>
      <c r="R772" s="845"/>
      <c r="S772" s="845"/>
      <c r="T772" s="845"/>
      <c r="U772" s="845"/>
      <c r="V772" s="845"/>
      <c r="W772" s="845"/>
      <c r="X772" s="845"/>
      <c r="Y772" s="845"/>
    </row>
    <row r="773" spans="1:25" x14ac:dyDescent="0.2">
      <c r="A773" s="1828"/>
      <c r="B773" s="1828"/>
      <c r="C773" s="1828"/>
      <c r="D773" s="1828"/>
      <c r="E773" s="844"/>
      <c r="R773" s="845"/>
      <c r="S773" s="845"/>
      <c r="T773" s="845"/>
      <c r="U773" s="845"/>
      <c r="V773" s="845"/>
      <c r="W773" s="845"/>
      <c r="X773" s="845"/>
      <c r="Y773" s="845"/>
    </row>
    <row r="774" spans="1:25" x14ac:dyDescent="0.2">
      <c r="A774" s="1828"/>
      <c r="B774" s="1828"/>
      <c r="C774" s="1828"/>
      <c r="D774" s="1828"/>
      <c r="E774" s="844"/>
      <c r="R774" s="845"/>
      <c r="S774" s="845"/>
      <c r="T774" s="845"/>
      <c r="U774" s="845"/>
      <c r="V774" s="845"/>
      <c r="W774" s="845"/>
      <c r="X774" s="845"/>
      <c r="Y774" s="845"/>
    </row>
    <row r="775" spans="1:25" x14ac:dyDescent="0.2">
      <c r="A775" s="1828"/>
      <c r="B775" s="1828"/>
      <c r="C775" s="1828"/>
      <c r="D775" s="1828"/>
      <c r="E775" s="844"/>
      <c r="R775" s="845"/>
      <c r="S775" s="845"/>
      <c r="T775" s="845"/>
      <c r="U775" s="845"/>
      <c r="V775" s="845"/>
      <c r="W775" s="845"/>
      <c r="X775" s="845"/>
      <c r="Y775" s="845"/>
    </row>
    <row r="776" spans="1:25" x14ac:dyDescent="0.2">
      <c r="A776" s="1828"/>
      <c r="B776" s="1828"/>
      <c r="C776" s="1828"/>
      <c r="D776" s="1828"/>
      <c r="E776" s="844"/>
      <c r="R776" s="845"/>
      <c r="S776" s="845"/>
      <c r="T776" s="845"/>
      <c r="U776" s="845"/>
      <c r="V776" s="845"/>
      <c r="W776" s="845"/>
      <c r="X776" s="845"/>
      <c r="Y776" s="845"/>
    </row>
    <row r="777" spans="1:25" x14ac:dyDescent="0.2">
      <c r="A777" s="1828"/>
      <c r="B777" s="1828"/>
      <c r="C777" s="1828"/>
      <c r="D777" s="1828"/>
      <c r="E777" s="844"/>
      <c r="R777" s="845"/>
      <c r="S777" s="845"/>
      <c r="T777" s="845"/>
      <c r="U777" s="845"/>
      <c r="V777" s="845"/>
      <c r="W777" s="845"/>
      <c r="X777" s="845"/>
      <c r="Y777" s="845"/>
    </row>
    <row r="778" spans="1:25" x14ac:dyDescent="0.2">
      <c r="A778" s="1828"/>
      <c r="B778" s="1828"/>
      <c r="C778" s="1828"/>
      <c r="D778" s="1828"/>
      <c r="E778" s="844"/>
      <c r="R778" s="845"/>
      <c r="S778" s="845"/>
      <c r="T778" s="845"/>
      <c r="U778" s="845"/>
      <c r="V778" s="845"/>
      <c r="W778" s="845"/>
      <c r="X778" s="845"/>
      <c r="Y778" s="845"/>
    </row>
    <row r="779" spans="1:25" x14ac:dyDescent="0.2">
      <c r="A779" s="1828"/>
      <c r="B779" s="1828"/>
      <c r="C779" s="1828"/>
      <c r="D779" s="1828"/>
      <c r="E779" s="844"/>
      <c r="R779" s="845"/>
      <c r="S779" s="845"/>
      <c r="T779" s="845"/>
      <c r="U779" s="845"/>
      <c r="V779" s="845"/>
      <c r="W779" s="845"/>
      <c r="X779" s="845"/>
      <c r="Y779" s="845"/>
    </row>
    <row r="780" spans="1:25" x14ac:dyDescent="0.2">
      <c r="A780" s="1828"/>
      <c r="B780" s="1828"/>
      <c r="C780" s="1828"/>
      <c r="D780" s="1828"/>
      <c r="E780" s="844"/>
      <c r="R780" s="845"/>
      <c r="S780" s="845"/>
      <c r="T780" s="845"/>
      <c r="U780" s="845"/>
      <c r="V780" s="845"/>
      <c r="W780" s="845"/>
      <c r="X780" s="845"/>
      <c r="Y780" s="845"/>
    </row>
    <row r="781" spans="1:25" x14ac:dyDescent="0.2">
      <c r="A781" s="1828"/>
      <c r="B781" s="1828"/>
      <c r="C781" s="1828"/>
      <c r="D781" s="1828"/>
      <c r="E781" s="844"/>
      <c r="R781" s="845"/>
      <c r="S781" s="845"/>
      <c r="T781" s="845"/>
      <c r="U781" s="845"/>
      <c r="V781" s="845"/>
      <c r="W781" s="845"/>
      <c r="X781" s="845"/>
      <c r="Y781" s="845"/>
    </row>
    <row r="782" spans="1:25" x14ac:dyDescent="0.2">
      <c r="A782" s="1828"/>
      <c r="B782" s="1828"/>
      <c r="C782" s="1828"/>
      <c r="D782" s="1828"/>
      <c r="E782" s="844"/>
      <c r="R782" s="845"/>
      <c r="S782" s="845"/>
      <c r="T782" s="845"/>
      <c r="U782" s="845"/>
      <c r="V782" s="845"/>
      <c r="W782" s="845"/>
      <c r="X782" s="845"/>
      <c r="Y782" s="845"/>
    </row>
    <row r="783" spans="1:25" x14ac:dyDescent="0.2">
      <c r="A783" s="1828"/>
      <c r="B783" s="1828"/>
      <c r="C783" s="1828"/>
      <c r="D783" s="1828"/>
      <c r="E783" s="844"/>
      <c r="R783" s="845"/>
      <c r="S783" s="845"/>
      <c r="T783" s="845"/>
      <c r="U783" s="845"/>
      <c r="V783" s="845"/>
      <c r="W783" s="845"/>
      <c r="X783" s="845"/>
      <c r="Y783" s="845"/>
    </row>
    <row r="784" spans="1:25" x14ac:dyDescent="0.2">
      <c r="A784" s="1828"/>
      <c r="B784" s="1828"/>
      <c r="C784" s="1828"/>
      <c r="D784" s="1828"/>
      <c r="E784" s="844"/>
      <c r="R784" s="845"/>
      <c r="S784" s="845"/>
      <c r="T784" s="845"/>
      <c r="U784" s="845"/>
      <c r="V784" s="845"/>
      <c r="W784" s="845"/>
      <c r="X784" s="845"/>
      <c r="Y784" s="845"/>
    </row>
    <row r="785" spans="1:25" x14ac:dyDescent="0.2">
      <c r="A785" s="1828"/>
      <c r="B785" s="1828"/>
      <c r="C785" s="1828"/>
      <c r="D785" s="1828"/>
      <c r="E785" s="844"/>
      <c r="R785" s="845"/>
      <c r="S785" s="845"/>
      <c r="T785" s="845"/>
      <c r="U785" s="845"/>
      <c r="V785" s="845"/>
      <c r="W785" s="845"/>
      <c r="X785" s="845"/>
      <c r="Y785" s="845"/>
    </row>
    <row r="786" spans="1:25" x14ac:dyDescent="0.2">
      <c r="A786" s="1828"/>
      <c r="B786" s="1828"/>
      <c r="C786" s="1828"/>
      <c r="D786" s="1828"/>
      <c r="E786" s="844"/>
      <c r="R786" s="845"/>
      <c r="S786" s="845"/>
      <c r="T786" s="845"/>
      <c r="U786" s="845"/>
      <c r="V786" s="845"/>
      <c r="W786" s="845"/>
      <c r="X786" s="845"/>
      <c r="Y786" s="845"/>
    </row>
    <row r="787" spans="1:25" x14ac:dyDescent="0.2">
      <c r="A787" s="1828"/>
      <c r="B787" s="1828"/>
      <c r="C787" s="1828"/>
      <c r="D787" s="1828"/>
      <c r="E787" s="844"/>
      <c r="R787" s="845"/>
      <c r="S787" s="845"/>
      <c r="T787" s="845"/>
      <c r="U787" s="845"/>
      <c r="V787" s="845"/>
      <c r="W787" s="845"/>
      <c r="X787" s="845"/>
      <c r="Y787" s="845"/>
    </row>
    <row r="788" spans="1:25" x14ac:dyDescent="0.2">
      <c r="A788" s="1828"/>
      <c r="B788" s="1828"/>
      <c r="C788" s="1828"/>
      <c r="D788" s="1828"/>
      <c r="E788" s="844"/>
      <c r="R788" s="845"/>
      <c r="S788" s="845"/>
      <c r="T788" s="845"/>
      <c r="U788" s="845"/>
      <c r="V788" s="845"/>
      <c r="W788" s="845"/>
      <c r="X788" s="845"/>
      <c r="Y788" s="845"/>
    </row>
    <row r="789" spans="1:25" x14ac:dyDescent="0.2">
      <c r="A789" s="1828"/>
      <c r="B789" s="1828"/>
      <c r="C789" s="1828"/>
      <c r="D789" s="1828"/>
      <c r="E789" s="844"/>
      <c r="R789" s="845"/>
      <c r="S789" s="845"/>
      <c r="T789" s="845"/>
      <c r="U789" s="845"/>
      <c r="V789" s="845"/>
      <c r="W789" s="845"/>
      <c r="X789" s="845"/>
      <c r="Y789" s="845"/>
    </row>
    <row r="790" spans="1:25" x14ac:dyDescent="0.2">
      <c r="A790" s="1828"/>
      <c r="B790" s="1828"/>
      <c r="C790" s="1828"/>
      <c r="D790" s="1828"/>
      <c r="E790" s="844"/>
      <c r="R790" s="845"/>
      <c r="S790" s="845"/>
      <c r="T790" s="845"/>
      <c r="U790" s="845"/>
      <c r="V790" s="845"/>
      <c r="W790" s="845"/>
      <c r="X790" s="845"/>
      <c r="Y790" s="845"/>
    </row>
    <row r="791" spans="1:25" x14ac:dyDescent="0.2">
      <c r="A791" s="1828"/>
      <c r="B791" s="1828"/>
      <c r="C791" s="1828"/>
      <c r="D791" s="1828"/>
      <c r="E791" s="844"/>
      <c r="R791" s="845"/>
      <c r="S791" s="845"/>
      <c r="T791" s="845"/>
      <c r="U791" s="845"/>
      <c r="V791" s="845"/>
      <c r="W791" s="845"/>
      <c r="X791" s="845"/>
      <c r="Y791" s="845"/>
    </row>
    <row r="792" spans="1:25" x14ac:dyDescent="0.2">
      <c r="A792" s="1828"/>
      <c r="B792" s="1828"/>
      <c r="C792" s="1828"/>
      <c r="D792" s="1828"/>
      <c r="E792" s="844"/>
      <c r="R792" s="845"/>
      <c r="S792" s="845"/>
      <c r="T792" s="845"/>
      <c r="U792" s="845"/>
      <c r="V792" s="845"/>
      <c r="W792" s="845"/>
      <c r="X792" s="845"/>
      <c r="Y792" s="845"/>
    </row>
    <row r="793" spans="1:25" x14ac:dyDescent="0.2">
      <c r="A793" s="1828"/>
      <c r="B793" s="1828"/>
      <c r="C793" s="1828"/>
      <c r="D793" s="1828"/>
      <c r="E793" s="844"/>
      <c r="R793" s="845"/>
      <c r="S793" s="845"/>
      <c r="T793" s="845"/>
      <c r="U793" s="845"/>
      <c r="V793" s="845"/>
      <c r="W793" s="845"/>
      <c r="X793" s="845"/>
      <c r="Y793" s="845"/>
    </row>
    <row r="794" spans="1:25" x14ac:dyDescent="0.2">
      <c r="A794" s="1828"/>
      <c r="B794" s="1828"/>
      <c r="C794" s="1828"/>
      <c r="D794" s="1828"/>
      <c r="E794" s="844"/>
      <c r="R794" s="845"/>
      <c r="S794" s="845"/>
      <c r="T794" s="845"/>
      <c r="U794" s="845"/>
      <c r="V794" s="845"/>
      <c r="W794" s="845"/>
      <c r="X794" s="845"/>
      <c r="Y794" s="845"/>
    </row>
    <row r="795" spans="1:25" x14ac:dyDescent="0.2">
      <c r="A795" s="1828"/>
      <c r="B795" s="1828"/>
      <c r="C795" s="1828"/>
      <c r="D795" s="1828"/>
      <c r="E795" s="844"/>
      <c r="R795" s="845"/>
      <c r="S795" s="845"/>
      <c r="T795" s="845"/>
      <c r="U795" s="845"/>
      <c r="V795" s="845"/>
      <c r="W795" s="845"/>
      <c r="X795" s="845"/>
      <c r="Y795" s="845"/>
    </row>
    <row r="796" spans="1:25" x14ac:dyDescent="0.2">
      <c r="A796" s="1828"/>
      <c r="B796" s="1828"/>
      <c r="C796" s="1828"/>
      <c r="D796" s="1828"/>
      <c r="E796" s="844"/>
      <c r="R796" s="845"/>
      <c r="S796" s="845"/>
      <c r="T796" s="845"/>
      <c r="U796" s="845"/>
      <c r="V796" s="845"/>
      <c r="W796" s="845"/>
      <c r="X796" s="845"/>
      <c r="Y796" s="845"/>
    </row>
    <row r="797" spans="1:25" x14ac:dyDescent="0.2">
      <c r="A797" s="1828"/>
      <c r="B797" s="1828"/>
      <c r="C797" s="1828"/>
      <c r="D797" s="1828"/>
      <c r="E797" s="844"/>
      <c r="R797" s="845"/>
      <c r="S797" s="845"/>
      <c r="T797" s="845"/>
      <c r="U797" s="845"/>
      <c r="V797" s="845"/>
      <c r="W797" s="845"/>
      <c r="X797" s="845"/>
      <c r="Y797" s="845"/>
    </row>
    <row r="798" spans="1:25" x14ac:dyDescent="0.2">
      <c r="A798" s="1828"/>
      <c r="B798" s="1828"/>
      <c r="C798" s="1828"/>
      <c r="D798" s="1828"/>
      <c r="E798" s="844"/>
      <c r="R798" s="845"/>
      <c r="S798" s="845"/>
      <c r="T798" s="845"/>
      <c r="U798" s="845"/>
      <c r="V798" s="845"/>
      <c r="W798" s="845"/>
      <c r="X798" s="845"/>
      <c r="Y798" s="845"/>
    </row>
    <row r="799" spans="1:25" x14ac:dyDescent="0.2">
      <c r="A799" s="1828"/>
      <c r="B799" s="1828"/>
      <c r="C799" s="1828"/>
      <c r="D799" s="1828"/>
      <c r="E799" s="844"/>
      <c r="R799" s="845"/>
      <c r="S799" s="845"/>
      <c r="T799" s="845"/>
      <c r="U799" s="845"/>
      <c r="V799" s="845"/>
      <c r="W799" s="845"/>
      <c r="X799" s="845"/>
      <c r="Y799" s="845"/>
    </row>
    <row r="800" spans="1:25" x14ac:dyDescent="0.2">
      <c r="A800" s="1828"/>
      <c r="B800" s="1828"/>
      <c r="C800" s="1828"/>
      <c r="D800" s="1828"/>
      <c r="E800" s="844"/>
      <c r="R800" s="845"/>
      <c r="S800" s="845"/>
      <c r="T800" s="845"/>
      <c r="U800" s="845"/>
      <c r="V800" s="845"/>
      <c r="W800" s="845"/>
      <c r="X800" s="845"/>
      <c r="Y800" s="845"/>
    </row>
    <row r="801" spans="1:25" x14ac:dyDescent="0.2">
      <c r="A801" s="1828"/>
      <c r="B801" s="1828"/>
      <c r="C801" s="1828"/>
      <c r="D801" s="1828"/>
      <c r="E801" s="844"/>
      <c r="R801" s="845"/>
      <c r="S801" s="845"/>
      <c r="T801" s="845"/>
      <c r="U801" s="845"/>
      <c r="V801" s="845"/>
      <c r="W801" s="845"/>
      <c r="X801" s="845"/>
      <c r="Y801" s="845"/>
    </row>
    <row r="802" spans="1:25" x14ac:dyDescent="0.2">
      <c r="A802" s="1828"/>
      <c r="B802" s="1828"/>
      <c r="C802" s="1828"/>
      <c r="D802" s="1828"/>
      <c r="E802" s="844"/>
      <c r="R802" s="845"/>
      <c r="S802" s="845"/>
      <c r="T802" s="845"/>
      <c r="U802" s="845"/>
      <c r="V802" s="845"/>
      <c r="W802" s="845"/>
      <c r="X802" s="845"/>
      <c r="Y802" s="845"/>
    </row>
    <row r="803" spans="1:25" x14ac:dyDescent="0.2">
      <c r="A803" s="1828"/>
      <c r="B803" s="1828"/>
      <c r="C803" s="1828"/>
      <c r="D803" s="1828"/>
      <c r="E803" s="844"/>
      <c r="R803" s="845"/>
      <c r="S803" s="845"/>
      <c r="T803" s="845"/>
      <c r="U803" s="845"/>
      <c r="V803" s="845"/>
      <c r="W803" s="845"/>
      <c r="X803" s="845"/>
      <c r="Y803" s="845"/>
    </row>
    <row r="804" spans="1:25" x14ac:dyDescent="0.2">
      <c r="A804" s="1828"/>
      <c r="B804" s="1828"/>
      <c r="C804" s="1828"/>
      <c r="D804" s="1828"/>
      <c r="E804" s="844"/>
      <c r="R804" s="845"/>
      <c r="S804" s="845"/>
      <c r="T804" s="845"/>
      <c r="U804" s="845"/>
      <c r="V804" s="845"/>
      <c r="W804" s="845"/>
      <c r="X804" s="845"/>
      <c r="Y804" s="845"/>
    </row>
    <row r="805" spans="1:25" x14ac:dyDescent="0.2">
      <c r="A805" s="1828"/>
      <c r="B805" s="1828"/>
      <c r="C805" s="1828"/>
      <c r="D805" s="1828"/>
      <c r="E805" s="844"/>
      <c r="R805" s="845"/>
      <c r="S805" s="845"/>
      <c r="T805" s="845"/>
      <c r="U805" s="845"/>
      <c r="V805" s="845"/>
      <c r="W805" s="845"/>
      <c r="X805" s="845"/>
      <c r="Y805" s="845"/>
    </row>
    <row r="806" spans="1:25" x14ac:dyDescent="0.2">
      <c r="A806" s="1828"/>
      <c r="B806" s="1828"/>
      <c r="C806" s="1828"/>
      <c r="D806" s="1828"/>
      <c r="E806" s="844"/>
      <c r="R806" s="845"/>
      <c r="S806" s="845"/>
      <c r="T806" s="845"/>
      <c r="U806" s="845"/>
      <c r="V806" s="845"/>
      <c r="W806" s="845"/>
      <c r="X806" s="845"/>
      <c r="Y806" s="845"/>
    </row>
    <row r="807" spans="1:25" x14ac:dyDescent="0.2">
      <c r="A807" s="1828"/>
      <c r="B807" s="1828"/>
      <c r="C807" s="1828"/>
      <c r="D807" s="1828"/>
      <c r="E807" s="844"/>
      <c r="R807" s="845"/>
      <c r="S807" s="845"/>
      <c r="T807" s="845"/>
      <c r="U807" s="845"/>
      <c r="V807" s="845"/>
      <c r="W807" s="845"/>
      <c r="X807" s="845"/>
      <c r="Y807" s="845"/>
    </row>
    <row r="808" spans="1:25" x14ac:dyDescent="0.2">
      <c r="A808" s="1828"/>
      <c r="B808" s="1828"/>
      <c r="C808" s="1828"/>
      <c r="D808" s="1828"/>
      <c r="E808" s="844"/>
      <c r="R808" s="845"/>
      <c r="S808" s="845"/>
      <c r="T808" s="845"/>
      <c r="U808" s="845"/>
      <c r="V808" s="845"/>
      <c r="W808" s="845"/>
      <c r="X808" s="845"/>
      <c r="Y808" s="845"/>
    </row>
    <row r="809" spans="1:25" x14ac:dyDescent="0.2">
      <c r="A809" s="1828"/>
      <c r="B809" s="1828"/>
      <c r="C809" s="1828"/>
      <c r="D809" s="1828"/>
      <c r="E809" s="844"/>
      <c r="R809" s="845"/>
      <c r="S809" s="845"/>
      <c r="T809" s="845"/>
      <c r="U809" s="845"/>
      <c r="V809" s="845"/>
      <c r="W809" s="845"/>
      <c r="X809" s="845"/>
      <c r="Y809" s="845"/>
    </row>
    <row r="810" spans="1:25" x14ac:dyDescent="0.2">
      <c r="A810" s="1828"/>
      <c r="B810" s="1828"/>
      <c r="C810" s="1828"/>
      <c r="D810" s="1828"/>
      <c r="E810" s="844"/>
      <c r="R810" s="845"/>
      <c r="S810" s="845"/>
      <c r="T810" s="845"/>
      <c r="U810" s="845"/>
      <c r="V810" s="845"/>
      <c r="W810" s="845"/>
      <c r="X810" s="845"/>
      <c r="Y810" s="845"/>
    </row>
    <row r="811" spans="1:25" x14ac:dyDescent="0.2">
      <c r="A811" s="1828"/>
      <c r="B811" s="1828"/>
      <c r="C811" s="1828"/>
      <c r="D811" s="1828"/>
      <c r="E811" s="844"/>
      <c r="R811" s="845"/>
      <c r="S811" s="845"/>
      <c r="T811" s="845"/>
      <c r="U811" s="845"/>
      <c r="V811" s="845"/>
      <c r="W811" s="845"/>
      <c r="X811" s="845"/>
      <c r="Y811" s="845"/>
    </row>
    <row r="812" spans="1:25" x14ac:dyDescent="0.2">
      <c r="A812" s="1828"/>
      <c r="B812" s="1828"/>
      <c r="C812" s="1828"/>
      <c r="D812" s="1828"/>
      <c r="E812" s="844"/>
      <c r="R812" s="845"/>
      <c r="S812" s="845"/>
      <c r="T812" s="845"/>
      <c r="U812" s="845"/>
      <c r="V812" s="845"/>
      <c r="W812" s="845"/>
      <c r="X812" s="845"/>
      <c r="Y812" s="845"/>
    </row>
    <row r="813" spans="1:25" x14ac:dyDescent="0.2">
      <c r="A813" s="1828"/>
      <c r="B813" s="1828"/>
      <c r="C813" s="1828"/>
      <c r="D813" s="1828"/>
      <c r="E813" s="844"/>
      <c r="R813" s="845"/>
      <c r="S813" s="845"/>
      <c r="T813" s="845"/>
      <c r="U813" s="845"/>
      <c r="V813" s="845"/>
      <c r="W813" s="845"/>
      <c r="X813" s="845"/>
      <c r="Y813" s="845"/>
    </row>
    <row r="814" spans="1:25" x14ac:dyDescent="0.2">
      <c r="A814" s="1828"/>
      <c r="B814" s="1828"/>
      <c r="C814" s="1828"/>
      <c r="D814" s="1828"/>
      <c r="E814" s="844"/>
      <c r="R814" s="845"/>
      <c r="S814" s="845"/>
      <c r="T814" s="845"/>
      <c r="U814" s="845"/>
      <c r="V814" s="845"/>
      <c r="W814" s="845"/>
      <c r="X814" s="845"/>
      <c r="Y814" s="845"/>
    </row>
    <row r="815" spans="1:25" x14ac:dyDescent="0.2">
      <c r="A815" s="1828"/>
      <c r="B815" s="1828"/>
      <c r="C815" s="1828"/>
      <c r="D815" s="1828"/>
      <c r="E815" s="844"/>
      <c r="R815" s="845"/>
      <c r="S815" s="845"/>
      <c r="T815" s="845"/>
      <c r="U815" s="845"/>
      <c r="V815" s="845"/>
      <c r="W815" s="845"/>
      <c r="X815" s="845"/>
      <c r="Y815" s="845"/>
    </row>
    <row r="816" spans="1:25" x14ac:dyDescent="0.2">
      <c r="A816" s="1828"/>
      <c r="B816" s="1828"/>
      <c r="C816" s="1828"/>
      <c r="D816" s="1828"/>
      <c r="E816" s="844"/>
      <c r="R816" s="845"/>
      <c r="S816" s="845"/>
      <c r="T816" s="845"/>
      <c r="U816" s="845"/>
      <c r="V816" s="845"/>
      <c r="W816" s="845"/>
      <c r="X816" s="845"/>
      <c r="Y816" s="845"/>
    </row>
    <row r="817" spans="1:25" x14ac:dyDescent="0.2">
      <c r="A817" s="1828"/>
      <c r="B817" s="1828"/>
      <c r="C817" s="1828"/>
      <c r="D817" s="1828"/>
      <c r="E817" s="844"/>
      <c r="R817" s="845"/>
      <c r="S817" s="845"/>
      <c r="T817" s="845"/>
      <c r="U817" s="845"/>
      <c r="V817" s="845"/>
      <c r="W817" s="845"/>
      <c r="X817" s="845"/>
      <c r="Y817" s="845"/>
    </row>
    <row r="818" spans="1:25" x14ac:dyDescent="0.2">
      <c r="A818" s="1828"/>
      <c r="B818" s="1828"/>
      <c r="C818" s="1828"/>
      <c r="D818" s="1828"/>
      <c r="E818" s="844"/>
      <c r="R818" s="845"/>
      <c r="S818" s="845"/>
      <c r="T818" s="845"/>
      <c r="U818" s="845"/>
      <c r="V818" s="845"/>
      <c r="W818" s="845"/>
      <c r="X818" s="845"/>
      <c r="Y818" s="845"/>
    </row>
    <row r="819" spans="1:25" x14ac:dyDescent="0.2">
      <c r="A819" s="1828"/>
      <c r="B819" s="1828"/>
      <c r="C819" s="1828"/>
      <c r="D819" s="1828"/>
      <c r="E819" s="844"/>
      <c r="R819" s="845"/>
      <c r="S819" s="845"/>
      <c r="T819" s="845"/>
      <c r="U819" s="845"/>
      <c r="V819" s="845"/>
      <c r="W819" s="845"/>
      <c r="X819" s="845"/>
      <c r="Y819" s="845"/>
    </row>
    <row r="820" spans="1:25" x14ac:dyDescent="0.2">
      <c r="A820" s="1828"/>
      <c r="B820" s="1828"/>
      <c r="C820" s="1828"/>
      <c r="D820" s="1828"/>
      <c r="E820" s="844"/>
      <c r="R820" s="845"/>
      <c r="S820" s="845"/>
      <c r="T820" s="845"/>
      <c r="U820" s="845"/>
      <c r="V820" s="845"/>
      <c r="W820" s="845"/>
      <c r="X820" s="845"/>
      <c r="Y820" s="845"/>
    </row>
    <row r="821" spans="1:25" x14ac:dyDescent="0.2">
      <c r="A821" s="1828"/>
      <c r="B821" s="1828"/>
      <c r="C821" s="1828"/>
      <c r="D821" s="1828"/>
      <c r="E821" s="844"/>
      <c r="R821" s="845"/>
      <c r="S821" s="845"/>
      <c r="T821" s="845"/>
      <c r="U821" s="845"/>
      <c r="V821" s="845"/>
      <c r="W821" s="845"/>
      <c r="X821" s="845"/>
      <c r="Y821" s="845"/>
    </row>
    <row r="822" spans="1:25" x14ac:dyDescent="0.2">
      <c r="A822" s="1828"/>
      <c r="B822" s="1828"/>
      <c r="C822" s="1828"/>
      <c r="D822" s="1828"/>
      <c r="E822" s="844"/>
      <c r="R822" s="845"/>
      <c r="S822" s="845"/>
      <c r="T822" s="845"/>
      <c r="U822" s="845"/>
      <c r="V822" s="845"/>
      <c r="W822" s="845"/>
      <c r="X822" s="845"/>
      <c r="Y822" s="845"/>
    </row>
    <row r="823" spans="1:25" x14ac:dyDescent="0.2">
      <c r="A823" s="1828"/>
      <c r="B823" s="1828"/>
      <c r="C823" s="1828"/>
      <c r="D823" s="1828"/>
      <c r="E823" s="844"/>
      <c r="R823" s="845"/>
      <c r="S823" s="845"/>
      <c r="T823" s="845"/>
      <c r="U823" s="845"/>
      <c r="V823" s="845"/>
      <c r="W823" s="845"/>
      <c r="X823" s="845"/>
      <c r="Y823" s="845"/>
    </row>
    <row r="824" spans="1:25" x14ac:dyDescent="0.2">
      <c r="A824" s="1828"/>
      <c r="B824" s="1828"/>
      <c r="C824" s="1828"/>
      <c r="D824" s="1828"/>
      <c r="E824" s="844"/>
      <c r="R824" s="845"/>
      <c r="S824" s="845"/>
      <c r="T824" s="845"/>
      <c r="U824" s="845"/>
      <c r="V824" s="845"/>
      <c r="W824" s="845"/>
      <c r="X824" s="845"/>
      <c r="Y824" s="845"/>
    </row>
    <row r="825" spans="1:25" x14ac:dyDescent="0.2">
      <c r="A825" s="1828"/>
      <c r="B825" s="1828"/>
      <c r="C825" s="1828"/>
      <c r="D825" s="1828"/>
      <c r="E825" s="844"/>
      <c r="R825" s="845"/>
      <c r="S825" s="845"/>
      <c r="T825" s="845"/>
      <c r="U825" s="845"/>
      <c r="V825" s="845"/>
      <c r="W825" s="845"/>
      <c r="X825" s="845"/>
      <c r="Y825" s="845"/>
    </row>
    <row r="826" spans="1:25" x14ac:dyDescent="0.2">
      <c r="A826" s="1828"/>
      <c r="B826" s="1828"/>
      <c r="C826" s="1828"/>
      <c r="D826" s="1828"/>
      <c r="E826" s="844"/>
      <c r="R826" s="845"/>
      <c r="S826" s="845"/>
      <c r="T826" s="845"/>
      <c r="U826" s="845"/>
      <c r="V826" s="845"/>
      <c r="W826" s="845"/>
      <c r="X826" s="845"/>
      <c r="Y826" s="845"/>
    </row>
    <row r="827" spans="1:25" x14ac:dyDescent="0.2">
      <c r="A827" s="1828"/>
      <c r="B827" s="1828"/>
      <c r="C827" s="1828"/>
      <c r="D827" s="1828"/>
      <c r="E827" s="844"/>
      <c r="R827" s="845"/>
      <c r="S827" s="845"/>
      <c r="T827" s="845"/>
      <c r="U827" s="845"/>
      <c r="V827" s="845"/>
      <c r="W827" s="845"/>
      <c r="X827" s="845"/>
      <c r="Y827" s="845"/>
    </row>
    <row r="828" spans="1:25" x14ac:dyDescent="0.2">
      <c r="A828" s="1828"/>
      <c r="B828" s="1828"/>
      <c r="C828" s="1828"/>
      <c r="D828" s="1828"/>
      <c r="E828" s="844"/>
      <c r="R828" s="845"/>
      <c r="S828" s="845"/>
      <c r="T828" s="845"/>
      <c r="U828" s="845"/>
      <c r="V828" s="845"/>
      <c r="W828" s="845"/>
      <c r="X828" s="845"/>
      <c r="Y828" s="845"/>
    </row>
    <row r="829" spans="1:25" x14ac:dyDescent="0.2">
      <c r="A829" s="1828"/>
      <c r="B829" s="1828"/>
      <c r="C829" s="1828"/>
      <c r="D829" s="1828"/>
      <c r="E829" s="844"/>
      <c r="R829" s="845"/>
      <c r="S829" s="845"/>
      <c r="T829" s="845"/>
      <c r="U829" s="845"/>
      <c r="V829" s="845"/>
      <c r="W829" s="845"/>
      <c r="X829" s="845"/>
      <c r="Y829" s="845"/>
    </row>
    <row r="830" spans="1:25" x14ac:dyDescent="0.2">
      <c r="A830" s="1828"/>
      <c r="B830" s="1828"/>
      <c r="C830" s="1828"/>
      <c r="D830" s="1828"/>
      <c r="E830" s="844"/>
      <c r="R830" s="845"/>
      <c r="S830" s="845"/>
      <c r="T830" s="845"/>
      <c r="U830" s="845"/>
      <c r="V830" s="845"/>
      <c r="W830" s="845"/>
      <c r="X830" s="845"/>
      <c r="Y830" s="845"/>
    </row>
    <row r="831" spans="1:25" x14ac:dyDescent="0.2">
      <c r="A831" s="1828"/>
      <c r="B831" s="1828"/>
      <c r="C831" s="1828"/>
      <c r="D831" s="1828"/>
      <c r="E831" s="844"/>
      <c r="R831" s="845"/>
      <c r="S831" s="845"/>
      <c r="T831" s="845"/>
      <c r="U831" s="845"/>
      <c r="V831" s="845"/>
      <c r="W831" s="845"/>
      <c r="X831" s="845"/>
      <c r="Y831" s="845"/>
    </row>
    <row r="832" spans="1:25" x14ac:dyDescent="0.2">
      <c r="A832" s="1828"/>
      <c r="B832" s="1828"/>
      <c r="C832" s="1828"/>
      <c r="D832" s="1828"/>
      <c r="E832" s="844"/>
      <c r="R832" s="845"/>
      <c r="S832" s="845"/>
      <c r="T832" s="845"/>
      <c r="U832" s="845"/>
      <c r="V832" s="845"/>
      <c r="W832" s="845"/>
      <c r="X832" s="845"/>
      <c r="Y832" s="845"/>
    </row>
    <row r="833" spans="1:25" x14ac:dyDescent="0.2">
      <c r="A833" s="1828"/>
      <c r="B833" s="1828"/>
      <c r="C833" s="1828"/>
      <c r="D833" s="1828"/>
      <c r="E833" s="844"/>
      <c r="R833" s="845"/>
      <c r="S833" s="845"/>
      <c r="T833" s="845"/>
      <c r="U833" s="845"/>
      <c r="V833" s="845"/>
      <c r="W833" s="845"/>
      <c r="X833" s="845"/>
      <c r="Y833" s="845"/>
    </row>
    <row r="834" spans="1:25" x14ac:dyDescent="0.2">
      <c r="A834" s="1828"/>
      <c r="B834" s="1828"/>
      <c r="C834" s="1828"/>
      <c r="D834" s="1828"/>
      <c r="E834" s="844"/>
      <c r="R834" s="845"/>
      <c r="S834" s="845"/>
      <c r="T834" s="845"/>
      <c r="U834" s="845"/>
      <c r="V834" s="845"/>
      <c r="W834" s="845"/>
      <c r="X834" s="845"/>
      <c r="Y834" s="845"/>
    </row>
    <row r="835" spans="1:25" x14ac:dyDescent="0.2">
      <c r="A835" s="1828"/>
      <c r="B835" s="1828"/>
      <c r="C835" s="1828"/>
      <c r="D835" s="1828"/>
      <c r="E835" s="844"/>
      <c r="R835" s="845"/>
      <c r="S835" s="845"/>
      <c r="T835" s="845"/>
      <c r="U835" s="845"/>
      <c r="V835" s="845"/>
      <c r="W835" s="845"/>
      <c r="X835" s="845"/>
      <c r="Y835" s="845"/>
    </row>
    <row r="836" spans="1:25" x14ac:dyDescent="0.2">
      <c r="A836" s="1828"/>
      <c r="B836" s="1828"/>
      <c r="C836" s="1828"/>
      <c r="D836" s="1828"/>
      <c r="E836" s="844"/>
      <c r="R836" s="845"/>
      <c r="S836" s="845"/>
      <c r="T836" s="845"/>
      <c r="U836" s="845"/>
      <c r="V836" s="845"/>
      <c r="W836" s="845"/>
      <c r="X836" s="845"/>
      <c r="Y836" s="845"/>
    </row>
    <row r="837" spans="1:25" x14ac:dyDescent="0.2">
      <c r="A837" s="1828"/>
      <c r="B837" s="1828"/>
      <c r="C837" s="1828"/>
      <c r="D837" s="1828"/>
      <c r="E837" s="844"/>
      <c r="R837" s="845"/>
      <c r="S837" s="845"/>
      <c r="T837" s="845"/>
      <c r="U837" s="845"/>
      <c r="V837" s="845"/>
      <c r="W837" s="845"/>
      <c r="X837" s="845"/>
      <c r="Y837" s="845"/>
    </row>
    <row r="838" spans="1:25" x14ac:dyDescent="0.2">
      <c r="A838" s="1828"/>
      <c r="B838" s="1828"/>
      <c r="C838" s="1828"/>
      <c r="D838" s="1828"/>
      <c r="E838" s="844"/>
      <c r="R838" s="845"/>
      <c r="S838" s="845"/>
      <c r="T838" s="845"/>
      <c r="U838" s="845"/>
      <c r="V838" s="845"/>
      <c r="W838" s="845"/>
      <c r="X838" s="845"/>
      <c r="Y838" s="845"/>
    </row>
    <row r="839" spans="1:25" x14ac:dyDescent="0.2">
      <c r="A839" s="1828"/>
      <c r="B839" s="1828"/>
      <c r="C839" s="1828"/>
      <c r="D839" s="1828"/>
      <c r="E839" s="844"/>
      <c r="R839" s="845"/>
      <c r="S839" s="845"/>
      <c r="T839" s="845"/>
      <c r="U839" s="845"/>
      <c r="V839" s="845"/>
      <c r="W839" s="845"/>
      <c r="X839" s="845"/>
      <c r="Y839" s="845"/>
    </row>
    <row r="840" spans="1:25" x14ac:dyDescent="0.2">
      <c r="A840" s="1828"/>
      <c r="B840" s="1828"/>
      <c r="C840" s="1828"/>
      <c r="D840" s="1828"/>
      <c r="E840" s="844"/>
      <c r="R840" s="845"/>
      <c r="S840" s="845"/>
      <c r="T840" s="845"/>
      <c r="U840" s="845"/>
      <c r="V840" s="845"/>
      <c r="W840" s="845"/>
      <c r="X840" s="845"/>
      <c r="Y840" s="845"/>
    </row>
    <row r="841" spans="1:25" x14ac:dyDescent="0.2">
      <c r="A841" s="1828"/>
      <c r="B841" s="1828"/>
      <c r="C841" s="1828"/>
      <c r="D841" s="1828"/>
      <c r="E841" s="844"/>
      <c r="R841" s="845"/>
      <c r="S841" s="845"/>
      <c r="T841" s="845"/>
      <c r="U841" s="845"/>
      <c r="V841" s="845"/>
      <c r="W841" s="845"/>
      <c r="X841" s="845"/>
      <c r="Y841" s="845"/>
    </row>
    <row r="842" spans="1:25" x14ac:dyDescent="0.2">
      <c r="A842" s="1828"/>
      <c r="B842" s="1828"/>
      <c r="C842" s="1828"/>
      <c r="D842" s="1828"/>
      <c r="E842" s="844"/>
      <c r="R842" s="845"/>
      <c r="S842" s="845"/>
      <c r="T842" s="845"/>
      <c r="U842" s="845"/>
      <c r="V842" s="845"/>
      <c r="W842" s="845"/>
      <c r="X842" s="845"/>
      <c r="Y842" s="845"/>
    </row>
    <row r="843" spans="1:25" x14ac:dyDescent="0.2">
      <c r="A843" s="1828"/>
      <c r="B843" s="1828"/>
      <c r="C843" s="1828"/>
      <c r="D843" s="1828"/>
      <c r="E843" s="844"/>
      <c r="R843" s="845"/>
      <c r="S843" s="845"/>
      <c r="T843" s="845"/>
      <c r="U843" s="845"/>
      <c r="V843" s="845"/>
      <c r="W843" s="845"/>
      <c r="X843" s="845"/>
      <c r="Y843" s="845"/>
    </row>
    <row r="844" spans="1:25" x14ac:dyDescent="0.2">
      <c r="A844" s="1828"/>
      <c r="B844" s="1828"/>
      <c r="C844" s="1828"/>
      <c r="D844" s="1828"/>
      <c r="E844" s="844"/>
      <c r="R844" s="845"/>
      <c r="S844" s="845"/>
      <c r="T844" s="845"/>
      <c r="U844" s="845"/>
      <c r="V844" s="845"/>
      <c r="W844" s="845"/>
      <c r="X844" s="845"/>
      <c r="Y844" s="845"/>
    </row>
    <row r="845" spans="1:25" x14ac:dyDescent="0.2">
      <c r="A845" s="1828"/>
      <c r="B845" s="1828"/>
      <c r="C845" s="1828"/>
      <c r="D845" s="1828"/>
      <c r="E845" s="844"/>
      <c r="R845" s="845"/>
      <c r="S845" s="845"/>
      <c r="T845" s="845"/>
      <c r="U845" s="845"/>
      <c r="V845" s="845"/>
      <c r="W845" s="845"/>
      <c r="X845" s="845"/>
      <c r="Y845" s="845"/>
    </row>
    <row r="846" spans="1:25" x14ac:dyDescent="0.2">
      <c r="A846" s="1828"/>
      <c r="B846" s="1828"/>
      <c r="C846" s="1828"/>
      <c r="D846" s="1828"/>
      <c r="E846" s="844"/>
      <c r="R846" s="845"/>
      <c r="S846" s="845"/>
      <c r="T846" s="845"/>
      <c r="U846" s="845"/>
      <c r="V846" s="845"/>
      <c r="W846" s="845"/>
      <c r="X846" s="845"/>
      <c r="Y846" s="845"/>
    </row>
    <row r="847" spans="1:25" x14ac:dyDescent="0.2">
      <c r="A847" s="1828"/>
      <c r="B847" s="1828"/>
      <c r="C847" s="1828"/>
      <c r="D847" s="1828"/>
      <c r="E847" s="844"/>
      <c r="R847" s="845"/>
      <c r="S847" s="845"/>
      <c r="T847" s="845"/>
      <c r="U847" s="845"/>
      <c r="V847" s="845"/>
      <c r="W847" s="845"/>
      <c r="X847" s="845"/>
      <c r="Y847" s="845"/>
    </row>
    <row r="848" spans="1:25" x14ac:dyDescent="0.2">
      <c r="A848" s="1828"/>
      <c r="B848" s="1828"/>
      <c r="C848" s="1828"/>
      <c r="D848" s="1828"/>
      <c r="E848" s="844"/>
      <c r="R848" s="845"/>
      <c r="S848" s="845"/>
      <c r="T848" s="845"/>
      <c r="U848" s="845"/>
      <c r="V848" s="845"/>
      <c r="W848" s="845"/>
      <c r="X848" s="845"/>
      <c r="Y848" s="845"/>
    </row>
    <row r="849" spans="1:25" x14ac:dyDescent="0.2">
      <c r="A849" s="1828"/>
      <c r="B849" s="1828"/>
      <c r="C849" s="1828"/>
      <c r="D849" s="1828"/>
      <c r="E849" s="844"/>
      <c r="R849" s="845"/>
      <c r="S849" s="845"/>
      <c r="T849" s="845"/>
      <c r="U849" s="845"/>
      <c r="V849" s="845"/>
      <c r="W849" s="845"/>
      <c r="X849" s="845"/>
      <c r="Y849" s="845"/>
    </row>
    <row r="850" spans="1:25" x14ac:dyDescent="0.2">
      <c r="A850" s="1828"/>
      <c r="B850" s="1828"/>
      <c r="C850" s="1828"/>
      <c r="D850" s="1828"/>
      <c r="E850" s="844"/>
      <c r="R850" s="845"/>
      <c r="S850" s="845"/>
      <c r="T850" s="845"/>
      <c r="U850" s="845"/>
      <c r="V850" s="845"/>
      <c r="W850" s="845"/>
      <c r="X850" s="845"/>
      <c r="Y850" s="845"/>
    </row>
    <row r="851" spans="1:25" x14ac:dyDescent="0.2">
      <c r="A851" s="1828"/>
      <c r="B851" s="1828"/>
      <c r="C851" s="1828"/>
      <c r="D851" s="1828"/>
      <c r="E851" s="844"/>
      <c r="R851" s="845"/>
      <c r="S851" s="845"/>
      <c r="T851" s="845"/>
      <c r="U851" s="845"/>
      <c r="V851" s="845"/>
      <c r="W851" s="845"/>
      <c r="X851" s="845"/>
      <c r="Y851" s="845"/>
    </row>
    <row r="852" spans="1:25" x14ac:dyDescent="0.2">
      <c r="A852" s="1828"/>
      <c r="B852" s="1828"/>
      <c r="C852" s="1828"/>
      <c r="D852" s="1828"/>
      <c r="E852" s="844"/>
      <c r="R852" s="845"/>
      <c r="S852" s="845"/>
      <c r="T852" s="845"/>
      <c r="U852" s="845"/>
      <c r="V852" s="845"/>
      <c r="W852" s="845"/>
      <c r="X852" s="845"/>
      <c r="Y852" s="845"/>
    </row>
    <row r="853" spans="1:25" x14ac:dyDescent="0.2">
      <c r="A853" s="1828"/>
      <c r="B853" s="1828"/>
      <c r="C853" s="1828"/>
      <c r="D853" s="1828"/>
      <c r="E853" s="844"/>
      <c r="R853" s="845"/>
      <c r="S853" s="845"/>
      <c r="T853" s="845"/>
      <c r="U853" s="845"/>
      <c r="V853" s="845"/>
      <c r="W853" s="845"/>
      <c r="X853" s="845"/>
      <c r="Y853" s="845"/>
    </row>
    <row r="854" spans="1:25" x14ac:dyDescent="0.2">
      <c r="A854" s="1828"/>
      <c r="B854" s="1828"/>
      <c r="C854" s="1828"/>
      <c r="D854" s="1828"/>
      <c r="E854" s="844"/>
      <c r="R854" s="845"/>
      <c r="S854" s="845"/>
      <c r="T854" s="845"/>
      <c r="U854" s="845"/>
      <c r="V854" s="845"/>
      <c r="W854" s="845"/>
      <c r="X854" s="845"/>
      <c r="Y854" s="845"/>
    </row>
    <row r="855" spans="1:25" x14ac:dyDescent="0.2">
      <c r="A855" s="1828"/>
      <c r="B855" s="1828"/>
      <c r="C855" s="1828"/>
      <c r="D855" s="1828"/>
      <c r="E855" s="844"/>
      <c r="R855" s="845"/>
      <c r="S855" s="845"/>
      <c r="T855" s="845"/>
      <c r="U855" s="845"/>
      <c r="V855" s="845"/>
      <c r="W855" s="845"/>
      <c r="X855" s="845"/>
      <c r="Y855" s="845"/>
    </row>
    <row r="856" spans="1:25" x14ac:dyDescent="0.2">
      <c r="A856" s="1828"/>
      <c r="B856" s="1828"/>
      <c r="C856" s="1828"/>
      <c r="D856" s="1828"/>
      <c r="E856" s="844"/>
      <c r="R856" s="845"/>
      <c r="S856" s="845"/>
      <c r="T856" s="845"/>
      <c r="U856" s="845"/>
      <c r="V856" s="845"/>
      <c r="W856" s="845"/>
      <c r="X856" s="845"/>
      <c r="Y856" s="845"/>
    </row>
    <row r="857" spans="1:25" x14ac:dyDescent="0.2">
      <c r="A857" s="1828"/>
      <c r="B857" s="1828"/>
      <c r="C857" s="1828"/>
      <c r="D857" s="1828"/>
      <c r="E857" s="844"/>
      <c r="R857" s="845"/>
      <c r="S857" s="845"/>
      <c r="T857" s="845"/>
      <c r="U857" s="845"/>
      <c r="V857" s="845"/>
      <c r="W857" s="845"/>
      <c r="X857" s="845"/>
      <c r="Y857" s="845"/>
    </row>
    <row r="858" spans="1:25" x14ac:dyDescent="0.2">
      <c r="A858" s="1828"/>
      <c r="B858" s="1828"/>
      <c r="C858" s="1828"/>
      <c r="D858" s="1828"/>
      <c r="E858" s="844"/>
      <c r="R858" s="845"/>
      <c r="S858" s="845"/>
      <c r="T858" s="845"/>
      <c r="U858" s="845"/>
      <c r="V858" s="845"/>
      <c r="W858" s="845"/>
      <c r="X858" s="845"/>
      <c r="Y858" s="845"/>
    </row>
    <row r="859" spans="1:25" x14ac:dyDescent="0.2">
      <c r="A859" s="1828"/>
      <c r="B859" s="1828"/>
      <c r="C859" s="1828"/>
      <c r="D859" s="1828"/>
      <c r="E859" s="844"/>
      <c r="R859" s="845"/>
      <c r="S859" s="845"/>
      <c r="T859" s="845"/>
      <c r="U859" s="845"/>
      <c r="V859" s="845"/>
      <c r="W859" s="845"/>
      <c r="X859" s="845"/>
      <c r="Y859" s="845"/>
    </row>
    <row r="860" spans="1:25" x14ac:dyDescent="0.2">
      <c r="A860" s="1828"/>
      <c r="B860" s="1828"/>
      <c r="C860" s="1828"/>
      <c r="D860" s="1828"/>
      <c r="E860" s="844"/>
      <c r="R860" s="845"/>
      <c r="S860" s="845"/>
      <c r="T860" s="845"/>
      <c r="U860" s="845"/>
      <c r="V860" s="845"/>
      <c r="W860" s="845"/>
      <c r="X860" s="845"/>
      <c r="Y860" s="845"/>
    </row>
    <row r="861" spans="1:25" x14ac:dyDescent="0.2">
      <c r="A861" s="1828"/>
      <c r="B861" s="1828"/>
      <c r="C861" s="1828"/>
      <c r="D861" s="1828"/>
      <c r="E861" s="844"/>
      <c r="R861" s="845"/>
      <c r="S861" s="845"/>
      <c r="T861" s="845"/>
      <c r="U861" s="845"/>
      <c r="V861" s="845"/>
      <c r="W861" s="845"/>
      <c r="X861" s="845"/>
      <c r="Y861" s="845"/>
    </row>
    <row r="862" spans="1:25" x14ac:dyDescent="0.2">
      <c r="A862" s="1828"/>
      <c r="B862" s="1828"/>
      <c r="C862" s="1828"/>
      <c r="D862" s="1828"/>
      <c r="E862" s="844"/>
      <c r="R862" s="845"/>
      <c r="S862" s="845"/>
      <c r="T862" s="845"/>
      <c r="U862" s="845"/>
      <c r="V862" s="845"/>
      <c r="W862" s="845"/>
      <c r="X862" s="845"/>
      <c r="Y862" s="845"/>
    </row>
    <row r="863" spans="1:25" x14ac:dyDescent="0.2">
      <c r="A863" s="1828"/>
      <c r="B863" s="1828"/>
      <c r="C863" s="1828"/>
      <c r="D863" s="1828"/>
      <c r="E863" s="844"/>
      <c r="R863" s="845"/>
      <c r="S863" s="845"/>
      <c r="T863" s="845"/>
      <c r="U863" s="845"/>
      <c r="V863" s="845"/>
      <c r="W863" s="845"/>
      <c r="X863" s="845"/>
      <c r="Y863" s="845"/>
    </row>
    <row r="864" spans="1:25" x14ac:dyDescent="0.2">
      <c r="A864" s="1828"/>
      <c r="B864" s="1828"/>
      <c r="C864" s="1828"/>
      <c r="D864" s="1828"/>
      <c r="E864" s="844"/>
      <c r="R864" s="845"/>
      <c r="S864" s="845"/>
      <c r="T864" s="845"/>
      <c r="U864" s="845"/>
      <c r="V864" s="845"/>
      <c r="W864" s="845"/>
      <c r="X864" s="845"/>
      <c r="Y864" s="845"/>
    </row>
    <row r="865" spans="1:25" x14ac:dyDescent="0.2">
      <c r="A865" s="1828"/>
      <c r="B865" s="1828"/>
      <c r="C865" s="1828"/>
      <c r="D865" s="1828"/>
      <c r="E865" s="844"/>
      <c r="R865" s="845"/>
      <c r="S865" s="845"/>
      <c r="T865" s="845"/>
      <c r="U865" s="845"/>
      <c r="V865" s="845"/>
      <c r="W865" s="845"/>
      <c r="X865" s="845"/>
      <c r="Y865" s="845"/>
    </row>
    <row r="866" spans="1:25" x14ac:dyDescent="0.2">
      <c r="A866" s="1828"/>
      <c r="B866" s="1828"/>
      <c r="C866" s="1828"/>
      <c r="D866" s="1828"/>
      <c r="E866" s="844"/>
      <c r="R866" s="845"/>
      <c r="S866" s="845"/>
      <c r="T866" s="845"/>
      <c r="U866" s="845"/>
      <c r="V866" s="845"/>
      <c r="W866" s="845"/>
      <c r="X866" s="845"/>
      <c r="Y866" s="845"/>
    </row>
    <row r="867" spans="1:25" x14ac:dyDescent="0.2">
      <c r="A867" s="1828"/>
      <c r="B867" s="1828"/>
      <c r="C867" s="1828"/>
      <c r="D867" s="1828"/>
      <c r="E867" s="844"/>
      <c r="R867" s="845"/>
      <c r="S867" s="845"/>
      <c r="T867" s="845"/>
      <c r="U867" s="845"/>
      <c r="V867" s="845"/>
      <c r="W867" s="845"/>
      <c r="X867" s="845"/>
      <c r="Y867" s="845"/>
    </row>
    <row r="868" spans="1:25" x14ac:dyDescent="0.2">
      <c r="A868" s="1828"/>
      <c r="B868" s="1828"/>
      <c r="C868" s="1828"/>
      <c r="D868" s="1828"/>
      <c r="E868" s="844"/>
      <c r="R868" s="845"/>
      <c r="S868" s="845"/>
      <c r="T868" s="845"/>
      <c r="U868" s="845"/>
      <c r="V868" s="845"/>
      <c r="W868" s="845"/>
      <c r="X868" s="845"/>
      <c r="Y868" s="845"/>
    </row>
    <row r="869" spans="1:25" x14ac:dyDescent="0.2">
      <c r="A869" s="1828"/>
      <c r="B869" s="1828"/>
      <c r="C869" s="1828"/>
      <c r="D869" s="1828"/>
      <c r="E869" s="844"/>
      <c r="R869" s="845"/>
      <c r="S869" s="845"/>
      <c r="T869" s="845"/>
      <c r="U869" s="845"/>
      <c r="V869" s="845"/>
      <c r="W869" s="845"/>
      <c r="X869" s="845"/>
      <c r="Y869" s="845"/>
    </row>
    <row r="870" spans="1:25" x14ac:dyDescent="0.2">
      <c r="A870" s="1828"/>
      <c r="B870" s="1828"/>
      <c r="C870" s="1828"/>
      <c r="D870" s="1828"/>
      <c r="E870" s="844"/>
      <c r="R870" s="845"/>
      <c r="S870" s="845"/>
      <c r="T870" s="845"/>
      <c r="U870" s="845"/>
      <c r="V870" s="845"/>
      <c r="W870" s="845"/>
      <c r="X870" s="845"/>
      <c r="Y870" s="845"/>
    </row>
    <row r="871" spans="1:25" x14ac:dyDescent="0.2">
      <c r="A871" s="1828"/>
      <c r="B871" s="1828"/>
      <c r="C871" s="1828"/>
      <c r="D871" s="1828"/>
      <c r="E871" s="844"/>
      <c r="R871" s="845"/>
      <c r="S871" s="845"/>
      <c r="T871" s="845"/>
      <c r="U871" s="845"/>
      <c r="V871" s="845"/>
      <c r="W871" s="845"/>
      <c r="X871" s="845"/>
      <c r="Y871" s="845"/>
    </row>
    <row r="872" spans="1:25" x14ac:dyDescent="0.2">
      <c r="A872" s="1828"/>
      <c r="B872" s="1828"/>
      <c r="C872" s="1828"/>
      <c r="D872" s="1828"/>
      <c r="E872" s="844"/>
      <c r="R872" s="845"/>
      <c r="S872" s="845"/>
      <c r="T872" s="845"/>
      <c r="U872" s="845"/>
      <c r="V872" s="845"/>
      <c r="W872" s="845"/>
      <c r="X872" s="845"/>
      <c r="Y872" s="845"/>
    </row>
    <row r="873" spans="1:25" x14ac:dyDescent="0.2">
      <c r="A873" s="1828"/>
      <c r="B873" s="1828"/>
      <c r="C873" s="1828"/>
      <c r="D873" s="1828"/>
      <c r="E873" s="844"/>
      <c r="R873" s="845"/>
      <c r="S873" s="845"/>
      <c r="T873" s="845"/>
      <c r="U873" s="845"/>
      <c r="V873" s="845"/>
      <c r="W873" s="845"/>
      <c r="X873" s="845"/>
      <c r="Y873" s="845"/>
    </row>
    <row r="874" spans="1:25" x14ac:dyDescent="0.2">
      <c r="A874" s="1828"/>
      <c r="B874" s="1828"/>
      <c r="C874" s="1828"/>
      <c r="D874" s="1828"/>
      <c r="E874" s="844"/>
      <c r="R874" s="845"/>
      <c r="S874" s="845"/>
      <c r="T874" s="845"/>
      <c r="U874" s="845"/>
      <c r="V874" s="845"/>
      <c r="W874" s="845"/>
      <c r="X874" s="845"/>
      <c r="Y874" s="845"/>
    </row>
    <row r="875" spans="1:25" x14ac:dyDescent="0.2">
      <c r="A875" s="1828"/>
      <c r="B875" s="1828"/>
      <c r="C875" s="1828"/>
      <c r="D875" s="1828"/>
      <c r="E875" s="844"/>
      <c r="R875" s="845"/>
      <c r="S875" s="845"/>
      <c r="T875" s="845"/>
      <c r="U875" s="845"/>
      <c r="V875" s="845"/>
      <c r="W875" s="845"/>
      <c r="X875" s="845"/>
      <c r="Y875" s="845"/>
    </row>
    <row r="876" spans="1:25" x14ac:dyDescent="0.2">
      <c r="A876" s="1828"/>
      <c r="B876" s="1828"/>
      <c r="C876" s="1828"/>
      <c r="D876" s="1828"/>
      <c r="E876" s="844"/>
      <c r="R876" s="845"/>
      <c r="S876" s="845"/>
      <c r="T876" s="845"/>
      <c r="U876" s="845"/>
      <c r="V876" s="845"/>
      <c r="W876" s="845"/>
      <c r="X876" s="845"/>
      <c r="Y876" s="845"/>
    </row>
    <row r="877" spans="1:25" x14ac:dyDescent="0.2">
      <c r="A877" s="1828"/>
      <c r="B877" s="1828"/>
      <c r="C877" s="1828"/>
      <c r="D877" s="1828"/>
      <c r="E877" s="844"/>
      <c r="R877" s="845"/>
      <c r="S877" s="845"/>
      <c r="T877" s="845"/>
      <c r="U877" s="845"/>
      <c r="V877" s="845"/>
      <c r="W877" s="845"/>
      <c r="X877" s="845"/>
      <c r="Y877" s="845"/>
    </row>
    <row r="878" spans="1:25" x14ac:dyDescent="0.2">
      <c r="A878" s="1828"/>
      <c r="B878" s="1828"/>
      <c r="C878" s="1828"/>
      <c r="D878" s="1828"/>
      <c r="E878" s="844"/>
      <c r="R878" s="845"/>
      <c r="S878" s="845"/>
      <c r="T878" s="845"/>
      <c r="U878" s="845"/>
      <c r="V878" s="845"/>
      <c r="W878" s="845"/>
      <c r="X878" s="845"/>
      <c r="Y878" s="845"/>
    </row>
    <row r="879" spans="1:25" x14ac:dyDescent="0.2">
      <c r="A879" s="1828"/>
      <c r="B879" s="1828"/>
      <c r="C879" s="1828"/>
      <c r="D879" s="1828"/>
      <c r="E879" s="844"/>
      <c r="R879" s="845"/>
      <c r="S879" s="845"/>
      <c r="T879" s="845"/>
      <c r="U879" s="845"/>
      <c r="V879" s="845"/>
      <c r="W879" s="845"/>
      <c r="X879" s="845"/>
      <c r="Y879" s="845"/>
    </row>
    <row r="880" spans="1:25" x14ac:dyDescent="0.2">
      <c r="A880" s="1828"/>
      <c r="B880" s="1828"/>
      <c r="C880" s="1828"/>
      <c r="D880" s="1828"/>
      <c r="E880" s="844"/>
      <c r="R880" s="845"/>
      <c r="S880" s="845"/>
      <c r="T880" s="845"/>
      <c r="U880" s="845"/>
      <c r="V880" s="845"/>
      <c r="W880" s="845"/>
      <c r="X880" s="845"/>
      <c r="Y880" s="845"/>
    </row>
    <row r="881" spans="1:25" x14ac:dyDescent="0.2">
      <c r="A881" s="1828"/>
      <c r="B881" s="1828"/>
      <c r="C881" s="1828"/>
      <c r="D881" s="1828"/>
      <c r="E881" s="844"/>
      <c r="R881" s="845"/>
      <c r="S881" s="845"/>
      <c r="T881" s="845"/>
      <c r="U881" s="845"/>
      <c r="V881" s="845"/>
      <c r="W881" s="845"/>
      <c r="X881" s="845"/>
      <c r="Y881" s="845"/>
    </row>
    <row r="882" spans="1:25" x14ac:dyDescent="0.2">
      <c r="A882" s="1828"/>
      <c r="B882" s="1828"/>
      <c r="C882" s="1828"/>
      <c r="D882" s="1828"/>
      <c r="E882" s="844"/>
      <c r="R882" s="845"/>
      <c r="S882" s="845"/>
      <c r="T882" s="845"/>
      <c r="U882" s="845"/>
      <c r="V882" s="845"/>
      <c r="W882" s="845"/>
      <c r="X882" s="845"/>
      <c r="Y882" s="845"/>
    </row>
    <row r="883" spans="1:25" x14ac:dyDescent="0.2">
      <c r="A883" s="1828"/>
      <c r="B883" s="1828"/>
      <c r="C883" s="1828"/>
      <c r="D883" s="1828"/>
      <c r="E883" s="844"/>
      <c r="R883" s="845"/>
      <c r="S883" s="845"/>
      <c r="T883" s="845"/>
      <c r="U883" s="845"/>
      <c r="V883" s="845"/>
      <c r="W883" s="845"/>
      <c r="X883" s="845"/>
      <c r="Y883" s="845"/>
    </row>
    <row r="884" spans="1:25" x14ac:dyDescent="0.2">
      <c r="A884" s="1828"/>
      <c r="B884" s="1828"/>
      <c r="C884" s="1828"/>
      <c r="D884" s="1828"/>
      <c r="E884" s="844"/>
      <c r="R884" s="845"/>
      <c r="S884" s="845"/>
      <c r="T884" s="845"/>
      <c r="U884" s="845"/>
      <c r="V884" s="845"/>
      <c r="W884" s="845"/>
      <c r="X884" s="845"/>
      <c r="Y884" s="845"/>
    </row>
    <row r="885" spans="1:25" x14ac:dyDescent="0.2">
      <c r="A885" s="1828"/>
      <c r="B885" s="1828"/>
      <c r="C885" s="1828"/>
      <c r="D885" s="1828"/>
      <c r="E885" s="844"/>
      <c r="R885" s="845"/>
      <c r="S885" s="845"/>
      <c r="T885" s="845"/>
      <c r="U885" s="845"/>
      <c r="V885" s="845"/>
      <c r="W885" s="845"/>
      <c r="X885" s="845"/>
      <c r="Y885" s="845"/>
    </row>
    <row r="886" spans="1:25" x14ac:dyDescent="0.2">
      <c r="A886" s="1828"/>
      <c r="B886" s="1828"/>
      <c r="C886" s="1828"/>
      <c r="D886" s="1828"/>
      <c r="E886" s="844"/>
      <c r="R886" s="845"/>
      <c r="S886" s="845"/>
      <c r="T886" s="845"/>
      <c r="U886" s="845"/>
      <c r="V886" s="845"/>
      <c r="W886" s="845"/>
      <c r="X886" s="845"/>
      <c r="Y886" s="845"/>
    </row>
    <row r="887" spans="1:25" x14ac:dyDescent="0.2">
      <c r="A887" s="1828"/>
      <c r="B887" s="1828"/>
      <c r="C887" s="1828"/>
      <c r="D887" s="1828"/>
      <c r="E887" s="844"/>
      <c r="R887" s="845"/>
      <c r="S887" s="845"/>
      <c r="T887" s="845"/>
      <c r="U887" s="845"/>
      <c r="V887" s="845"/>
      <c r="W887" s="845"/>
      <c r="X887" s="845"/>
      <c r="Y887" s="845"/>
    </row>
    <row r="888" spans="1:25" x14ac:dyDescent="0.2">
      <c r="A888" s="1828"/>
      <c r="B888" s="1828"/>
      <c r="C888" s="1828"/>
      <c r="D888" s="1828"/>
      <c r="E888" s="844"/>
      <c r="R888" s="845"/>
      <c r="S888" s="845"/>
      <c r="T888" s="845"/>
      <c r="U888" s="845"/>
      <c r="V888" s="845"/>
      <c r="W888" s="845"/>
      <c r="X888" s="845"/>
      <c r="Y888" s="845"/>
    </row>
    <row r="889" spans="1:25" x14ac:dyDescent="0.2">
      <c r="A889" s="1828"/>
      <c r="B889" s="1828"/>
      <c r="C889" s="1828"/>
      <c r="D889" s="1828"/>
      <c r="E889" s="844"/>
      <c r="R889" s="845"/>
      <c r="S889" s="845"/>
      <c r="T889" s="845"/>
      <c r="U889" s="845"/>
      <c r="V889" s="845"/>
      <c r="W889" s="845"/>
      <c r="X889" s="845"/>
      <c r="Y889" s="845"/>
    </row>
    <row r="890" spans="1:25" x14ac:dyDescent="0.2">
      <c r="A890" s="1828"/>
      <c r="B890" s="1828"/>
      <c r="C890" s="1828"/>
      <c r="D890" s="1828"/>
      <c r="E890" s="844"/>
      <c r="R890" s="845"/>
      <c r="S890" s="845"/>
      <c r="T890" s="845"/>
      <c r="U890" s="845"/>
      <c r="V890" s="845"/>
      <c r="W890" s="845"/>
      <c r="X890" s="845"/>
      <c r="Y890" s="845"/>
    </row>
    <row r="891" spans="1:25" x14ac:dyDescent="0.2">
      <c r="A891" s="1828"/>
      <c r="B891" s="1828"/>
      <c r="C891" s="1828"/>
      <c r="D891" s="1828"/>
      <c r="E891" s="844"/>
      <c r="R891" s="845"/>
      <c r="S891" s="845"/>
      <c r="T891" s="845"/>
      <c r="U891" s="845"/>
      <c r="V891" s="845"/>
      <c r="W891" s="845"/>
      <c r="X891" s="845"/>
      <c r="Y891" s="845"/>
    </row>
    <row r="892" spans="1:25" x14ac:dyDescent="0.2">
      <c r="A892" s="1828"/>
      <c r="B892" s="1828"/>
      <c r="C892" s="1828"/>
      <c r="D892" s="1828"/>
      <c r="E892" s="844"/>
      <c r="R892" s="845"/>
      <c r="S892" s="845"/>
      <c r="T892" s="845"/>
      <c r="U892" s="845"/>
      <c r="V892" s="845"/>
      <c r="W892" s="845"/>
      <c r="X892" s="845"/>
      <c r="Y892" s="845"/>
    </row>
    <row r="893" spans="1:25" x14ac:dyDescent="0.2">
      <c r="A893" s="1828"/>
      <c r="B893" s="1828"/>
      <c r="C893" s="1828"/>
      <c r="D893" s="1828"/>
      <c r="E893" s="844"/>
      <c r="R893" s="845"/>
      <c r="S893" s="845"/>
      <c r="T893" s="845"/>
      <c r="U893" s="845"/>
      <c r="V893" s="845"/>
      <c r="W893" s="845"/>
      <c r="X893" s="845"/>
      <c r="Y893" s="845"/>
    </row>
    <row r="894" spans="1:25" x14ac:dyDescent="0.2">
      <c r="A894" s="1828"/>
      <c r="B894" s="1828"/>
      <c r="C894" s="1828"/>
      <c r="D894" s="1828"/>
      <c r="E894" s="844"/>
      <c r="R894" s="845"/>
      <c r="S894" s="845"/>
      <c r="T894" s="845"/>
      <c r="U894" s="845"/>
      <c r="V894" s="845"/>
      <c r="W894" s="845"/>
      <c r="X894" s="845"/>
      <c r="Y894" s="845"/>
    </row>
    <row r="895" spans="1:25" x14ac:dyDescent="0.2">
      <c r="A895" s="1828"/>
      <c r="B895" s="1828"/>
      <c r="C895" s="1828"/>
      <c r="D895" s="1828"/>
      <c r="E895" s="844"/>
      <c r="R895" s="845"/>
      <c r="S895" s="845"/>
      <c r="T895" s="845"/>
      <c r="U895" s="845"/>
      <c r="V895" s="845"/>
      <c r="W895" s="845"/>
      <c r="X895" s="845"/>
      <c r="Y895" s="845"/>
    </row>
    <row r="896" spans="1:25" x14ac:dyDescent="0.2">
      <c r="A896" s="1828"/>
      <c r="B896" s="1828"/>
      <c r="C896" s="1828"/>
      <c r="D896" s="1828"/>
      <c r="E896" s="844"/>
      <c r="R896" s="845"/>
      <c r="S896" s="845"/>
      <c r="T896" s="845"/>
      <c r="U896" s="845"/>
      <c r="V896" s="845"/>
      <c r="W896" s="845"/>
      <c r="X896" s="845"/>
      <c r="Y896" s="845"/>
    </row>
    <row r="897" spans="1:25" x14ac:dyDescent="0.2">
      <c r="A897" s="1828"/>
      <c r="B897" s="1828"/>
      <c r="C897" s="1828"/>
      <c r="D897" s="1828"/>
      <c r="E897" s="844"/>
      <c r="R897" s="845"/>
      <c r="S897" s="845"/>
      <c r="T897" s="845"/>
      <c r="U897" s="845"/>
      <c r="V897" s="845"/>
      <c r="W897" s="845"/>
      <c r="X897" s="845"/>
      <c r="Y897" s="845"/>
    </row>
    <row r="898" spans="1:25" x14ac:dyDescent="0.2">
      <c r="A898" s="1828"/>
      <c r="B898" s="1828"/>
      <c r="C898" s="1828"/>
      <c r="D898" s="1828"/>
      <c r="E898" s="844"/>
      <c r="R898" s="845"/>
      <c r="S898" s="845"/>
      <c r="T898" s="845"/>
      <c r="U898" s="845"/>
      <c r="V898" s="845"/>
      <c r="W898" s="845"/>
      <c r="X898" s="845"/>
      <c r="Y898" s="845"/>
    </row>
    <row r="899" spans="1:25" x14ac:dyDescent="0.2">
      <c r="A899" s="1828"/>
      <c r="B899" s="1828"/>
      <c r="C899" s="1828"/>
      <c r="D899" s="1828"/>
      <c r="E899" s="844"/>
      <c r="R899" s="845"/>
      <c r="S899" s="845"/>
      <c r="T899" s="845"/>
      <c r="U899" s="845"/>
      <c r="V899" s="845"/>
      <c r="W899" s="845"/>
      <c r="X899" s="845"/>
      <c r="Y899" s="845"/>
    </row>
    <row r="900" spans="1:25" x14ac:dyDescent="0.2">
      <c r="A900" s="1828"/>
      <c r="B900" s="1828"/>
      <c r="C900" s="1828"/>
      <c r="D900" s="1828"/>
      <c r="E900" s="844"/>
      <c r="R900" s="845"/>
      <c r="S900" s="845"/>
      <c r="T900" s="845"/>
      <c r="U900" s="845"/>
      <c r="V900" s="845"/>
      <c r="W900" s="845"/>
      <c r="X900" s="845"/>
      <c r="Y900" s="845"/>
    </row>
    <row r="901" spans="1:25" x14ac:dyDescent="0.2">
      <c r="A901" s="1828"/>
      <c r="B901" s="1828"/>
      <c r="C901" s="1828"/>
      <c r="D901" s="1828"/>
      <c r="E901" s="844"/>
      <c r="R901" s="845"/>
      <c r="S901" s="845"/>
      <c r="T901" s="845"/>
      <c r="U901" s="845"/>
      <c r="V901" s="845"/>
      <c r="W901" s="845"/>
      <c r="X901" s="845"/>
      <c r="Y901" s="845"/>
    </row>
    <row r="902" spans="1:25" x14ac:dyDescent="0.2">
      <c r="A902" s="1828"/>
      <c r="B902" s="1828"/>
      <c r="C902" s="1828"/>
      <c r="D902" s="1828"/>
      <c r="E902" s="844"/>
      <c r="R902" s="845"/>
      <c r="S902" s="845"/>
      <c r="T902" s="845"/>
      <c r="U902" s="845"/>
      <c r="V902" s="845"/>
      <c r="W902" s="845"/>
      <c r="X902" s="845"/>
      <c r="Y902" s="845"/>
    </row>
    <row r="903" spans="1:25" x14ac:dyDescent="0.2">
      <c r="A903" s="1828"/>
      <c r="B903" s="1828"/>
      <c r="C903" s="1828"/>
      <c r="D903" s="1828"/>
      <c r="E903" s="844"/>
      <c r="R903" s="845"/>
      <c r="S903" s="845"/>
      <c r="T903" s="845"/>
      <c r="U903" s="845"/>
      <c r="V903" s="845"/>
      <c r="W903" s="845"/>
      <c r="X903" s="845"/>
      <c r="Y903" s="845"/>
    </row>
    <row r="904" spans="1:25" x14ac:dyDescent="0.2">
      <c r="A904" s="1828"/>
      <c r="B904" s="1828"/>
      <c r="C904" s="1828"/>
      <c r="D904" s="1828"/>
      <c r="E904" s="844"/>
      <c r="R904" s="845"/>
      <c r="S904" s="845"/>
      <c r="T904" s="845"/>
      <c r="U904" s="845"/>
      <c r="V904" s="845"/>
      <c r="W904" s="845"/>
      <c r="X904" s="845"/>
      <c r="Y904" s="845"/>
    </row>
    <row r="905" spans="1:25" x14ac:dyDescent="0.2">
      <c r="A905" s="1828"/>
      <c r="B905" s="1828"/>
      <c r="C905" s="1828"/>
      <c r="D905" s="1828"/>
      <c r="E905" s="844"/>
      <c r="R905" s="845"/>
      <c r="S905" s="845"/>
      <c r="T905" s="845"/>
      <c r="U905" s="845"/>
      <c r="V905" s="845"/>
      <c r="W905" s="845"/>
      <c r="X905" s="845"/>
      <c r="Y905" s="845"/>
    </row>
    <row r="906" spans="1:25" x14ac:dyDescent="0.2">
      <c r="A906" s="1828"/>
      <c r="B906" s="1828"/>
      <c r="C906" s="1828"/>
      <c r="D906" s="1828"/>
      <c r="E906" s="844"/>
      <c r="R906" s="845"/>
      <c r="S906" s="845"/>
      <c r="T906" s="845"/>
      <c r="U906" s="845"/>
      <c r="V906" s="845"/>
      <c r="W906" s="845"/>
      <c r="X906" s="845"/>
      <c r="Y906" s="845"/>
    </row>
    <row r="907" spans="1:25" x14ac:dyDescent="0.2">
      <c r="A907" s="1828"/>
      <c r="B907" s="1828"/>
      <c r="C907" s="1828"/>
      <c r="D907" s="1828"/>
      <c r="E907" s="844"/>
      <c r="R907" s="845"/>
      <c r="S907" s="845"/>
      <c r="T907" s="845"/>
      <c r="U907" s="845"/>
      <c r="V907" s="845"/>
      <c r="W907" s="845"/>
      <c r="X907" s="845"/>
      <c r="Y907" s="845"/>
    </row>
    <row r="908" spans="1:25" x14ac:dyDescent="0.2">
      <c r="A908" s="1828"/>
      <c r="B908" s="1828"/>
      <c r="C908" s="1828"/>
      <c r="D908" s="1828"/>
      <c r="E908" s="844"/>
      <c r="R908" s="845"/>
      <c r="S908" s="845"/>
      <c r="T908" s="845"/>
      <c r="U908" s="845"/>
      <c r="V908" s="845"/>
      <c r="W908" s="845"/>
      <c r="X908" s="845"/>
      <c r="Y908" s="845"/>
    </row>
    <row r="909" spans="1:25" x14ac:dyDescent="0.2">
      <c r="A909" s="1828"/>
      <c r="B909" s="1828"/>
      <c r="C909" s="1828"/>
      <c r="D909" s="1828"/>
      <c r="E909" s="844"/>
      <c r="R909" s="845"/>
      <c r="S909" s="845"/>
      <c r="T909" s="845"/>
      <c r="U909" s="845"/>
      <c r="V909" s="845"/>
      <c r="W909" s="845"/>
      <c r="X909" s="845"/>
      <c r="Y909" s="845"/>
    </row>
    <row r="910" spans="1:25" x14ac:dyDescent="0.2">
      <c r="A910" s="1828"/>
      <c r="B910" s="1828"/>
      <c r="C910" s="1828"/>
      <c r="D910" s="1828"/>
      <c r="E910" s="844"/>
      <c r="R910" s="845"/>
      <c r="S910" s="845"/>
      <c r="T910" s="845"/>
      <c r="U910" s="845"/>
      <c r="V910" s="845"/>
      <c r="W910" s="845"/>
      <c r="X910" s="845"/>
      <c r="Y910" s="845"/>
    </row>
    <row r="911" spans="1:25" x14ac:dyDescent="0.2">
      <c r="A911" s="1828"/>
      <c r="B911" s="1828"/>
      <c r="C911" s="1828"/>
      <c r="D911" s="1828"/>
      <c r="E911" s="844"/>
      <c r="R911" s="845"/>
      <c r="S911" s="845"/>
      <c r="T911" s="845"/>
      <c r="U911" s="845"/>
      <c r="V911" s="845"/>
      <c r="W911" s="845"/>
      <c r="X911" s="845"/>
      <c r="Y911" s="845"/>
    </row>
    <row r="912" spans="1:25" x14ac:dyDescent="0.2">
      <c r="A912" s="1828"/>
      <c r="B912" s="1828"/>
      <c r="C912" s="1828"/>
      <c r="D912" s="1828"/>
      <c r="E912" s="844"/>
      <c r="R912" s="845"/>
      <c r="S912" s="845"/>
      <c r="T912" s="845"/>
      <c r="U912" s="845"/>
      <c r="V912" s="845"/>
      <c r="W912" s="845"/>
      <c r="X912" s="845"/>
      <c r="Y912" s="845"/>
    </row>
    <row r="913" spans="1:25" x14ac:dyDescent="0.2">
      <c r="A913" s="1828"/>
      <c r="B913" s="1828"/>
      <c r="C913" s="1828"/>
      <c r="D913" s="1828"/>
      <c r="E913" s="844"/>
      <c r="R913" s="845"/>
      <c r="S913" s="845"/>
      <c r="T913" s="845"/>
      <c r="U913" s="845"/>
      <c r="V913" s="845"/>
      <c r="W913" s="845"/>
      <c r="X913" s="845"/>
      <c r="Y913" s="845"/>
    </row>
    <row r="914" spans="1:25" x14ac:dyDescent="0.2">
      <c r="A914" s="1828"/>
      <c r="B914" s="1828"/>
      <c r="C914" s="1828"/>
      <c r="D914" s="1828"/>
      <c r="E914" s="844"/>
      <c r="R914" s="845"/>
      <c r="S914" s="845"/>
      <c r="T914" s="845"/>
      <c r="U914" s="845"/>
      <c r="V914" s="845"/>
      <c r="W914" s="845"/>
      <c r="X914" s="845"/>
      <c r="Y914" s="845"/>
    </row>
    <row r="915" spans="1:25" x14ac:dyDescent="0.2">
      <c r="A915" s="1828"/>
      <c r="B915" s="1828"/>
      <c r="C915" s="1828"/>
      <c r="D915" s="1828"/>
      <c r="E915" s="844"/>
      <c r="R915" s="845"/>
      <c r="S915" s="845"/>
      <c r="T915" s="845"/>
      <c r="U915" s="845"/>
      <c r="V915" s="845"/>
      <c r="W915" s="845"/>
      <c r="X915" s="845"/>
      <c r="Y915" s="845"/>
    </row>
    <row r="916" spans="1:25" x14ac:dyDescent="0.2">
      <c r="A916" s="1828"/>
      <c r="B916" s="1828"/>
      <c r="C916" s="1828"/>
      <c r="D916" s="1828"/>
      <c r="E916" s="844"/>
      <c r="R916" s="845"/>
      <c r="S916" s="845"/>
      <c r="T916" s="845"/>
      <c r="U916" s="845"/>
      <c r="V916" s="845"/>
      <c r="W916" s="845"/>
      <c r="X916" s="845"/>
      <c r="Y916" s="845"/>
    </row>
    <row r="917" spans="1:25" x14ac:dyDescent="0.2">
      <c r="A917" s="1828"/>
      <c r="B917" s="1828"/>
      <c r="C917" s="1828"/>
      <c r="D917" s="1828"/>
      <c r="E917" s="844"/>
      <c r="R917" s="845"/>
      <c r="S917" s="845"/>
      <c r="T917" s="845"/>
      <c r="U917" s="845"/>
      <c r="V917" s="845"/>
      <c r="W917" s="845"/>
      <c r="X917" s="845"/>
      <c r="Y917" s="845"/>
    </row>
    <row r="918" spans="1:25" x14ac:dyDescent="0.2">
      <c r="A918" s="1828"/>
      <c r="B918" s="1828"/>
      <c r="C918" s="1828"/>
      <c r="D918" s="1828"/>
      <c r="E918" s="844"/>
      <c r="R918" s="845"/>
      <c r="S918" s="845"/>
      <c r="T918" s="845"/>
      <c r="U918" s="845"/>
      <c r="V918" s="845"/>
      <c r="W918" s="845"/>
      <c r="X918" s="845"/>
      <c r="Y918" s="845"/>
    </row>
    <row r="919" spans="1:25" x14ac:dyDescent="0.2">
      <c r="A919" s="1828"/>
      <c r="B919" s="1828"/>
      <c r="C919" s="1828"/>
      <c r="D919" s="1828"/>
      <c r="E919" s="844"/>
      <c r="R919" s="845"/>
      <c r="S919" s="845"/>
      <c r="T919" s="845"/>
      <c r="U919" s="845"/>
      <c r="V919" s="845"/>
      <c r="W919" s="845"/>
      <c r="X919" s="845"/>
      <c r="Y919" s="845"/>
    </row>
    <row r="920" spans="1:25" x14ac:dyDescent="0.2">
      <c r="A920" s="1828"/>
      <c r="B920" s="1828"/>
      <c r="C920" s="1828"/>
      <c r="D920" s="1828"/>
      <c r="E920" s="844"/>
      <c r="R920" s="845"/>
      <c r="S920" s="845"/>
      <c r="T920" s="845"/>
      <c r="U920" s="845"/>
      <c r="V920" s="845"/>
      <c r="W920" s="845"/>
      <c r="X920" s="845"/>
      <c r="Y920" s="845"/>
    </row>
    <row r="921" spans="1:25" x14ac:dyDescent="0.2">
      <c r="A921" s="1828"/>
      <c r="B921" s="1828"/>
      <c r="C921" s="1828"/>
      <c r="D921" s="1828"/>
      <c r="E921" s="844"/>
      <c r="R921" s="845"/>
      <c r="S921" s="845"/>
      <c r="T921" s="845"/>
      <c r="U921" s="845"/>
      <c r="V921" s="845"/>
      <c r="W921" s="845"/>
      <c r="X921" s="845"/>
      <c r="Y921" s="845"/>
    </row>
    <row r="922" spans="1:25" x14ac:dyDescent="0.2">
      <c r="A922" s="1828"/>
      <c r="B922" s="1828"/>
      <c r="C922" s="1828"/>
      <c r="D922" s="1828"/>
      <c r="E922" s="844"/>
      <c r="R922" s="845"/>
      <c r="S922" s="845"/>
      <c r="T922" s="845"/>
      <c r="U922" s="845"/>
      <c r="V922" s="845"/>
      <c r="W922" s="845"/>
      <c r="X922" s="845"/>
      <c r="Y922" s="845"/>
    </row>
    <row r="923" spans="1:25" x14ac:dyDescent="0.2">
      <c r="A923" s="1828"/>
      <c r="B923" s="1828"/>
      <c r="C923" s="1828"/>
      <c r="D923" s="1828"/>
      <c r="E923" s="844"/>
      <c r="R923" s="845"/>
      <c r="S923" s="845"/>
      <c r="T923" s="845"/>
      <c r="U923" s="845"/>
      <c r="V923" s="845"/>
      <c r="W923" s="845"/>
      <c r="X923" s="845"/>
      <c r="Y923" s="845"/>
    </row>
    <row r="924" spans="1:25" x14ac:dyDescent="0.2">
      <c r="A924" s="1828"/>
      <c r="B924" s="1828"/>
      <c r="C924" s="1828"/>
      <c r="D924" s="1828"/>
      <c r="E924" s="844"/>
      <c r="R924" s="845"/>
      <c r="S924" s="845"/>
      <c r="T924" s="845"/>
      <c r="U924" s="845"/>
      <c r="V924" s="845"/>
      <c r="W924" s="845"/>
      <c r="X924" s="845"/>
      <c r="Y924" s="845"/>
    </row>
    <row r="925" spans="1:25" x14ac:dyDescent="0.2">
      <c r="A925" s="1828"/>
      <c r="B925" s="1828"/>
      <c r="C925" s="1828"/>
      <c r="D925" s="1828"/>
      <c r="E925" s="844"/>
      <c r="R925" s="845"/>
      <c r="S925" s="845"/>
      <c r="T925" s="845"/>
      <c r="U925" s="845"/>
      <c r="V925" s="845"/>
      <c r="W925" s="845"/>
      <c r="X925" s="845"/>
      <c r="Y925" s="845"/>
    </row>
    <row r="926" spans="1:25" x14ac:dyDescent="0.2">
      <c r="A926" s="1828"/>
      <c r="B926" s="1828"/>
      <c r="C926" s="1828"/>
      <c r="D926" s="1828"/>
      <c r="E926" s="844"/>
      <c r="R926" s="845"/>
      <c r="S926" s="845"/>
      <c r="T926" s="845"/>
      <c r="U926" s="845"/>
      <c r="V926" s="845"/>
      <c r="W926" s="845"/>
      <c r="X926" s="845"/>
      <c r="Y926" s="845"/>
    </row>
    <row r="927" spans="1:25" x14ac:dyDescent="0.2">
      <c r="A927" s="1828"/>
      <c r="B927" s="1828"/>
      <c r="C927" s="1828"/>
      <c r="D927" s="1828"/>
      <c r="E927" s="844"/>
      <c r="R927" s="845"/>
      <c r="S927" s="845"/>
      <c r="T927" s="845"/>
      <c r="U927" s="845"/>
      <c r="V927" s="845"/>
      <c r="W927" s="845"/>
      <c r="X927" s="845"/>
      <c r="Y927" s="845"/>
    </row>
    <row r="928" spans="1:25" x14ac:dyDescent="0.2">
      <c r="A928" s="1828"/>
      <c r="B928" s="1828"/>
      <c r="C928" s="1828"/>
      <c r="D928" s="1828"/>
      <c r="E928" s="844"/>
      <c r="R928" s="845"/>
      <c r="S928" s="845"/>
      <c r="T928" s="845"/>
      <c r="U928" s="845"/>
      <c r="V928" s="845"/>
      <c r="W928" s="845"/>
      <c r="X928" s="845"/>
      <c r="Y928" s="845"/>
    </row>
    <row r="929" spans="1:25" x14ac:dyDescent="0.2">
      <c r="A929" s="1828"/>
      <c r="B929" s="1828"/>
      <c r="C929" s="1828"/>
      <c r="D929" s="1828"/>
      <c r="E929" s="844"/>
      <c r="R929" s="845"/>
      <c r="S929" s="845"/>
      <c r="T929" s="845"/>
      <c r="U929" s="845"/>
      <c r="V929" s="845"/>
      <c r="W929" s="845"/>
      <c r="X929" s="845"/>
      <c r="Y929" s="845"/>
    </row>
    <row r="930" spans="1:25" x14ac:dyDescent="0.2">
      <c r="A930" s="1828"/>
      <c r="B930" s="1828"/>
      <c r="C930" s="1828"/>
      <c r="D930" s="1828"/>
      <c r="E930" s="844"/>
      <c r="R930" s="845"/>
      <c r="S930" s="845"/>
      <c r="T930" s="845"/>
      <c r="U930" s="845"/>
      <c r="V930" s="845"/>
      <c r="W930" s="845"/>
      <c r="X930" s="845"/>
      <c r="Y930" s="845"/>
    </row>
    <row r="931" spans="1:25" x14ac:dyDescent="0.2">
      <c r="A931" s="1828"/>
      <c r="B931" s="1828"/>
      <c r="C931" s="1828"/>
      <c r="D931" s="1828"/>
      <c r="E931" s="844"/>
      <c r="R931" s="845"/>
      <c r="S931" s="845"/>
      <c r="T931" s="845"/>
      <c r="U931" s="845"/>
      <c r="V931" s="845"/>
      <c r="W931" s="845"/>
      <c r="X931" s="845"/>
      <c r="Y931" s="845"/>
    </row>
    <row r="932" spans="1:25" x14ac:dyDescent="0.2">
      <c r="A932" s="1828"/>
      <c r="B932" s="1828"/>
      <c r="C932" s="1828"/>
      <c r="D932" s="1828"/>
      <c r="E932" s="844"/>
      <c r="R932" s="845"/>
      <c r="S932" s="845"/>
      <c r="T932" s="845"/>
      <c r="U932" s="845"/>
      <c r="V932" s="845"/>
      <c r="W932" s="845"/>
      <c r="X932" s="845"/>
      <c r="Y932" s="845"/>
    </row>
    <row r="933" spans="1:25" x14ac:dyDescent="0.2">
      <c r="A933" s="1828"/>
      <c r="B933" s="1828"/>
      <c r="C933" s="1828"/>
      <c r="D933" s="1828"/>
      <c r="E933" s="844"/>
      <c r="R933" s="845"/>
      <c r="S933" s="845"/>
      <c r="T933" s="845"/>
      <c r="U933" s="845"/>
      <c r="V933" s="845"/>
      <c r="W933" s="845"/>
      <c r="X933" s="845"/>
      <c r="Y933" s="845"/>
    </row>
    <row r="934" spans="1:25" x14ac:dyDescent="0.2">
      <c r="A934" s="1828"/>
      <c r="B934" s="1828"/>
      <c r="C934" s="1828"/>
      <c r="D934" s="1828"/>
      <c r="E934" s="844"/>
      <c r="R934" s="845"/>
      <c r="S934" s="845"/>
      <c r="T934" s="845"/>
      <c r="U934" s="845"/>
      <c r="V934" s="845"/>
      <c r="W934" s="845"/>
      <c r="X934" s="845"/>
      <c r="Y934" s="845"/>
    </row>
    <row r="935" spans="1:25" x14ac:dyDescent="0.2">
      <c r="A935" s="1828"/>
      <c r="B935" s="1828"/>
      <c r="C935" s="1828"/>
      <c r="D935" s="1828"/>
      <c r="E935" s="844"/>
      <c r="R935" s="845"/>
      <c r="S935" s="845"/>
      <c r="T935" s="845"/>
      <c r="U935" s="845"/>
      <c r="V935" s="845"/>
      <c r="W935" s="845"/>
      <c r="X935" s="845"/>
      <c r="Y935" s="845"/>
    </row>
    <row r="936" spans="1:25" x14ac:dyDescent="0.2">
      <c r="A936" s="1828"/>
      <c r="B936" s="1828"/>
      <c r="C936" s="1828"/>
      <c r="D936" s="1828"/>
      <c r="E936" s="844"/>
      <c r="R936" s="845"/>
      <c r="S936" s="845"/>
      <c r="T936" s="845"/>
      <c r="U936" s="845"/>
      <c r="V936" s="845"/>
      <c r="W936" s="845"/>
      <c r="X936" s="845"/>
      <c r="Y936" s="845"/>
    </row>
    <row r="937" spans="1:25" x14ac:dyDescent="0.2">
      <c r="A937" s="1828"/>
      <c r="B937" s="1828"/>
      <c r="C937" s="1828"/>
      <c r="D937" s="1828"/>
      <c r="E937" s="844"/>
      <c r="R937" s="845"/>
      <c r="S937" s="845"/>
      <c r="T937" s="845"/>
      <c r="U937" s="845"/>
      <c r="V937" s="845"/>
      <c r="W937" s="845"/>
      <c r="X937" s="845"/>
      <c r="Y937" s="845"/>
    </row>
    <row r="938" spans="1:25" x14ac:dyDescent="0.2">
      <c r="A938" s="1828"/>
      <c r="B938" s="1828"/>
      <c r="C938" s="1828"/>
      <c r="D938" s="1828"/>
      <c r="E938" s="844"/>
      <c r="R938" s="845"/>
      <c r="S938" s="845"/>
      <c r="T938" s="845"/>
      <c r="U938" s="845"/>
      <c r="V938" s="845"/>
      <c r="W938" s="845"/>
      <c r="X938" s="845"/>
      <c r="Y938" s="845"/>
    </row>
    <row r="939" spans="1:25" x14ac:dyDescent="0.2">
      <c r="A939" s="1828"/>
      <c r="B939" s="1828"/>
      <c r="C939" s="1828"/>
      <c r="D939" s="1828"/>
      <c r="E939" s="844"/>
      <c r="R939" s="845"/>
      <c r="S939" s="845"/>
      <c r="T939" s="845"/>
      <c r="U939" s="845"/>
      <c r="V939" s="845"/>
      <c r="W939" s="845"/>
      <c r="X939" s="845"/>
      <c r="Y939" s="845"/>
    </row>
    <row r="940" spans="1:25" x14ac:dyDescent="0.2">
      <c r="A940" s="1828"/>
      <c r="B940" s="1828"/>
      <c r="C940" s="1828"/>
      <c r="D940" s="1828"/>
      <c r="E940" s="844"/>
      <c r="R940" s="845"/>
      <c r="S940" s="845"/>
      <c r="T940" s="845"/>
      <c r="U940" s="845"/>
      <c r="V940" s="845"/>
      <c r="W940" s="845"/>
      <c r="X940" s="845"/>
      <c r="Y940" s="845"/>
    </row>
    <row r="941" spans="1:25" x14ac:dyDescent="0.2">
      <c r="A941" s="1828"/>
      <c r="B941" s="1828"/>
      <c r="C941" s="1828"/>
      <c r="D941" s="1828"/>
      <c r="E941" s="844"/>
      <c r="R941" s="845"/>
      <c r="S941" s="845"/>
      <c r="T941" s="845"/>
      <c r="U941" s="845"/>
      <c r="V941" s="845"/>
      <c r="W941" s="845"/>
      <c r="X941" s="845"/>
      <c r="Y941" s="845"/>
    </row>
    <row r="942" spans="1:25" x14ac:dyDescent="0.2">
      <c r="A942" s="1828"/>
      <c r="B942" s="1828"/>
      <c r="C942" s="1828"/>
      <c r="D942" s="1828"/>
      <c r="E942" s="844"/>
      <c r="R942" s="845"/>
      <c r="S942" s="845"/>
      <c r="T942" s="845"/>
      <c r="U942" s="845"/>
      <c r="V942" s="845"/>
      <c r="W942" s="845"/>
      <c r="X942" s="845"/>
      <c r="Y942" s="845"/>
    </row>
    <row r="943" spans="1:25" x14ac:dyDescent="0.2">
      <c r="A943" s="1828"/>
      <c r="B943" s="1828"/>
      <c r="C943" s="1828"/>
      <c r="D943" s="1828"/>
      <c r="E943" s="844"/>
      <c r="R943" s="845"/>
      <c r="S943" s="845"/>
      <c r="T943" s="845"/>
      <c r="U943" s="845"/>
      <c r="V943" s="845"/>
      <c r="W943" s="845"/>
      <c r="X943" s="845"/>
      <c r="Y943" s="845"/>
    </row>
    <row r="944" spans="1:25" x14ac:dyDescent="0.2">
      <c r="A944" s="1828"/>
      <c r="B944" s="1828"/>
      <c r="C944" s="1828"/>
      <c r="D944" s="1828"/>
      <c r="E944" s="844"/>
      <c r="R944" s="845"/>
      <c r="S944" s="845"/>
      <c r="T944" s="845"/>
      <c r="U944" s="845"/>
      <c r="V944" s="845"/>
      <c r="W944" s="845"/>
      <c r="X944" s="845"/>
      <c r="Y944" s="845"/>
    </row>
    <row r="945" spans="1:25" x14ac:dyDescent="0.2">
      <c r="A945" s="1828"/>
      <c r="B945" s="1828"/>
      <c r="C945" s="1828"/>
      <c r="D945" s="1828"/>
      <c r="E945" s="844"/>
      <c r="R945" s="845"/>
      <c r="S945" s="845"/>
      <c r="T945" s="845"/>
      <c r="U945" s="845"/>
      <c r="V945" s="845"/>
      <c r="W945" s="845"/>
      <c r="X945" s="845"/>
      <c r="Y945" s="845"/>
    </row>
    <row r="946" spans="1:25" x14ac:dyDescent="0.2">
      <c r="A946" s="1828"/>
      <c r="B946" s="1828"/>
      <c r="C946" s="1828"/>
      <c r="D946" s="1828"/>
      <c r="E946" s="844"/>
      <c r="R946" s="845"/>
      <c r="S946" s="845"/>
      <c r="T946" s="845"/>
      <c r="U946" s="845"/>
      <c r="V946" s="845"/>
      <c r="W946" s="845"/>
      <c r="X946" s="845"/>
      <c r="Y946" s="845"/>
    </row>
    <row r="947" spans="1:25" x14ac:dyDescent="0.2">
      <c r="A947" s="1828"/>
      <c r="B947" s="1828"/>
      <c r="C947" s="1828"/>
      <c r="D947" s="1828"/>
      <c r="E947" s="844"/>
      <c r="R947" s="845"/>
      <c r="S947" s="845"/>
      <c r="T947" s="845"/>
      <c r="U947" s="845"/>
      <c r="V947" s="845"/>
      <c r="W947" s="845"/>
      <c r="X947" s="845"/>
      <c r="Y947" s="845"/>
    </row>
    <row r="948" spans="1:25" x14ac:dyDescent="0.2">
      <c r="A948" s="1828"/>
      <c r="B948" s="1828"/>
      <c r="C948" s="1828"/>
      <c r="D948" s="1828"/>
      <c r="E948" s="844"/>
      <c r="R948" s="845"/>
      <c r="S948" s="845"/>
      <c r="T948" s="845"/>
      <c r="U948" s="845"/>
      <c r="V948" s="845"/>
      <c r="W948" s="845"/>
      <c r="X948" s="845"/>
      <c r="Y948" s="845"/>
    </row>
    <row r="949" spans="1:25" x14ac:dyDescent="0.2">
      <c r="A949" s="1828"/>
      <c r="B949" s="1828"/>
      <c r="C949" s="1828"/>
      <c r="D949" s="1828"/>
      <c r="E949" s="844"/>
      <c r="R949" s="845"/>
      <c r="S949" s="845"/>
      <c r="T949" s="845"/>
      <c r="U949" s="845"/>
      <c r="V949" s="845"/>
      <c r="W949" s="845"/>
      <c r="X949" s="845"/>
      <c r="Y949" s="845"/>
    </row>
    <row r="950" spans="1:25" x14ac:dyDescent="0.2">
      <c r="A950" s="1828"/>
      <c r="B950" s="1828"/>
      <c r="C950" s="1828"/>
      <c r="D950" s="1828"/>
      <c r="E950" s="844"/>
      <c r="R950" s="845"/>
      <c r="S950" s="845"/>
      <c r="T950" s="845"/>
      <c r="U950" s="845"/>
      <c r="V950" s="845"/>
      <c r="W950" s="845"/>
      <c r="X950" s="845"/>
      <c r="Y950" s="845"/>
    </row>
    <row r="951" spans="1:25" x14ac:dyDescent="0.2">
      <c r="A951" s="1828"/>
      <c r="B951" s="1828"/>
      <c r="C951" s="1828"/>
      <c r="D951" s="1828"/>
      <c r="E951" s="844"/>
      <c r="R951" s="845"/>
      <c r="S951" s="845"/>
      <c r="T951" s="845"/>
      <c r="U951" s="845"/>
      <c r="V951" s="845"/>
      <c r="W951" s="845"/>
      <c r="X951" s="845"/>
      <c r="Y951" s="845"/>
    </row>
    <row r="952" spans="1:25" x14ac:dyDescent="0.2">
      <c r="A952" s="1828"/>
      <c r="B952" s="1828"/>
      <c r="C952" s="1828"/>
      <c r="D952" s="1828"/>
      <c r="E952" s="844"/>
      <c r="R952" s="845"/>
      <c r="S952" s="845"/>
      <c r="T952" s="845"/>
      <c r="U952" s="845"/>
      <c r="V952" s="845"/>
      <c r="W952" s="845"/>
      <c r="X952" s="845"/>
      <c r="Y952" s="845"/>
    </row>
    <row r="953" spans="1:25" x14ac:dyDescent="0.2">
      <c r="A953" s="1828"/>
      <c r="B953" s="1828"/>
      <c r="C953" s="1828"/>
      <c r="D953" s="1828"/>
      <c r="E953" s="844"/>
      <c r="R953" s="845"/>
      <c r="S953" s="845"/>
      <c r="T953" s="845"/>
      <c r="U953" s="845"/>
      <c r="V953" s="845"/>
      <c r="W953" s="845"/>
      <c r="X953" s="845"/>
      <c r="Y953" s="845"/>
    </row>
    <row r="954" spans="1:25" x14ac:dyDescent="0.2">
      <c r="A954" s="1828"/>
      <c r="B954" s="1828"/>
      <c r="C954" s="1828"/>
      <c r="D954" s="1828"/>
      <c r="E954" s="844"/>
      <c r="R954" s="845"/>
      <c r="S954" s="845"/>
      <c r="T954" s="845"/>
      <c r="U954" s="845"/>
      <c r="V954" s="845"/>
      <c r="W954" s="845"/>
      <c r="X954" s="845"/>
      <c r="Y954" s="845"/>
    </row>
    <row r="955" spans="1:25" x14ac:dyDescent="0.2">
      <c r="A955" s="1828"/>
      <c r="B955" s="1828"/>
      <c r="C955" s="1828"/>
      <c r="D955" s="1828"/>
      <c r="E955" s="844"/>
      <c r="R955" s="845"/>
      <c r="S955" s="845"/>
      <c r="T955" s="845"/>
      <c r="U955" s="845"/>
      <c r="V955" s="845"/>
      <c r="W955" s="845"/>
      <c r="X955" s="845"/>
      <c r="Y955" s="845"/>
    </row>
    <row r="956" spans="1:25" x14ac:dyDescent="0.2">
      <c r="A956" s="1828"/>
      <c r="B956" s="1828"/>
      <c r="C956" s="1828"/>
      <c r="D956" s="1828"/>
      <c r="E956" s="844"/>
      <c r="R956" s="845"/>
      <c r="S956" s="845"/>
      <c r="T956" s="845"/>
      <c r="U956" s="845"/>
      <c r="V956" s="845"/>
      <c r="W956" s="845"/>
      <c r="X956" s="845"/>
      <c r="Y956" s="845"/>
    </row>
    <row r="957" spans="1:25" x14ac:dyDescent="0.2">
      <c r="A957" s="1828"/>
      <c r="B957" s="1828"/>
      <c r="C957" s="1828"/>
      <c r="D957" s="1828"/>
      <c r="E957" s="844"/>
      <c r="R957" s="845"/>
      <c r="S957" s="845"/>
      <c r="T957" s="845"/>
      <c r="U957" s="845"/>
      <c r="V957" s="845"/>
      <c r="W957" s="845"/>
      <c r="X957" s="845"/>
      <c r="Y957" s="845"/>
    </row>
    <row r="958" spans="1:25" x14ac:dyDescent="0.2">
      <c r="A958" s="1828"/>
      <c r="B958" s="1828"/>
      <c r="C958" s="1828"/>
      <c r="D958" s="1828"/>
      <c r="E958" s="844"/>
      <c r="R958" s="845"/>
      <c r="S958" s="845"/>
      <c r="T958" s="845"/>
      <c r="U958" s="845"/>
      <c r="V958" s="845"/>
      <c r="W958" s="845"/>
      <c r="X958" s="845"/>
      <c r="Y958" s="845"/>
    </row>
    <row r="959" spans="1:25" x14ac:dyDescent="0.2">
      <c r="A959" s="1828"/>
      <c r="B959" s="1828"/>
      <c r="C959" s="1828"/>
      <c r="D959" s="1828"/>
      <c r="E959" s="844"/>
      <c r="R959" s="845"/>
      <c r="S959" s="845"/>
      <c r="T959" s="845"/>
      <c r="U959" s="845"/>
      <c r="V959" s="845"/>
      <c r="W959" s="845"/>
      <c r="X959" s="845"/>
      <c r="Y959" s="845"/>
    </row>
    <row r="960" spans="1:25" x14ac:dyDescent="0.2">
      <c r="A960" s="1828"/>
      <c r="B960" s="1828"/>
      <c r="C960" s="1828"/>
      <c r="D960" s="1828"/>
      <c r="E960" s="844"/>
      <c r="R960" s="845"/>
      <c r="S960" s="845"/>
      <c r="T960" s="845"/>
      <c r="U960" s="845"/>
      <c r="V960" s="845"/>
      <c r="W960" s="845"/>
      <c r="X960" s="845"/>
      <c r="Y960" s="845"/>
    </row>
    <row r="961" spans="1:25" x14ac:dyDescent="0.2">
      <c r="A961" s="1828"/>
      <c r="B961" s="1828"/>
      <c r="C961" s="1828"/>
      <c r="D961" s="1828"/>
      <c r="E961" s="844"/>
      <c r="R961" s="845"/>
      <c r="S961" s="845"/>
      <c r="T961" s="845"/>
      <c r="U961" s="845"/>
      <c r="V961" s="845"/>
      <c r="W961" s="845"/>
      <c r="X961" s="845"/>
      <c r="Y961" s="845"/>
    </row>
    <row r="962" spans="1:25" x14ac:dyDescent="0.2">
      <c r="A962" s="1828"/>
      <c r="B962" s="1828"/>
      <c r="C962" s="1828"/>
      <c r="D962" s="1828"/>
      <c r="E962" s="844"/>
      <c r="R962" s="845"/>
      <c r="S962" s="845"/>
      <c r="T962" s="845"/>
      <c r="U962" s="845"/>
      <c r="V962" s="845"/>
      <c r="W962" s="845"/>
      <c r="X962" s="845"/>
      <c r="Y962" s="845"/>
    </row>
    <row r="963" spans="1:25" x14ac:dyDescent="0.2">
      <c r="A963" s="1828"/>
      <c r="B963" s="1828"/>
      <c r="C963" s="1828"/>
      <c r="D963" s="1828"/>
      <c r="E963" s="844"/>
      <c r="R963" s="845"/>
      <c r="S963" s="845"/>
      <c r="T963" s="845"/>
      <c r="U963" s="845"/>
      <c r="V963" s="845"/>
      <c r="W963" s="845"/>
      <c r="X963" s="845"/>
      <c r="Y963" s="845"/>
    </row>
    <row r="964" spans="1:25" x14ac:dyDescent="0.2">
      <c r="A964" s="1828"/>
      <c r="B964" s="1828"/>
      <c r="C964" s="1828"/>
      <c r="D964" s="1828"/>
      <c r="E964" s="844"/>
      <c r="R964" s="845"/>
      <c r="S964" s="845"/>
      <c r="T964" s="845"/>
      <c r="U964" s="845"/>
      <c r="V964" s="845"/>
      <c r="W964" s="845"/>
      <c r="X964" s="845"/>
      <c r="Y964" s="845"/>
    </row>
    <row r="965" spans="1:25" x14ac:dyDescent="0.2">
      <c r="A965" s="1828"/>
      <c r="B965" s="1828"/>
      <c r="C965" s="1828"/>
      <c r="D965" s="1828"/>
      <c r="E965" s="844"/>
      <c r="R965" s="845"/>
      <c r="S965" s="845"/>
      <c r="T965" s="845"/>
      <c r="U965" s="845"/>
      <c r="V965" s="845"/>
      <c r="W965" s="845"/>
      <c r="X965" s="845"/>
      <c r="Y965" s="845"/>
    </row>
    <row r="966" spans="1:25" x14ac:dyDescent="0.2">
      <c r="A966" s="1828"/>
      <c r="B966" s="1828"/>
      <c r="C966" s="1828"/>
      <c r="D966" s="1828"/>
      <c r="E966" s="844"/>
      <c r="R966" s="845"/>
      <c r="S966" s="845"/>
      <c r="T966" s="845"/>
      <c r="U966" s="845"/>
      <c r="V966" s="845"/>
      <c r="W966" s="845"/>
      <c r="X966" s="845"/>
      <c r="Y966" s="845"/>
    </row>
    <row r="967" spans="1:25" x14ac:dyDescent="0.2">
      <c r="A967" s="1828"/>
      <c r="B967" s="1828"/>
      <c r="C967" s="1828"/>
      <c r="D967" s="1828"/>
      <c r="E967" s="844"/>
      <c r="R967" s="845"/>
      <c r="S967" s="845"/>
      <c r="T967" s="845"/>
      <c r="U967" s="845"/>
      <c r="V967" s="845"/>
      <c r="W967" s="845"/>
      <c r="X967" s="845"/>
      <c r="Y967" s="845"/>
    </row>
    <row r="968" spans="1:25" x14ac:dyDescent="0.2">
      <c r="A968" s="1828"/>
      <c r="B968" s="1828"/>
      <c r="C968" s="1828"/>
      <c r="D968" s="1828"/>
      <c r="E968" s="844"/>
      <c r="R968" s="845"/>
      <c r="S968" s="845"/>
      <c r="T968" s="845"/>
      <c r="U968" s="845"/>
      <c r="V968" s="845"/>
      <c r="W968" s="845"/>
      <c r="X968" s="845"/>
      <c r="Y968" s="845"/>
    </row>
    <row r="969" spans="1:25" x14ac:dyDescent="0.2">
      <c r="A969" s="1828"/>
      <c r="B969" s="1828"/>
      <c r="C969" s="1828"/>
      <c r="D969" s="1828"/>
      <c r="E969" s="844"/>
      <c r="R969" s="845"/>
      <c r="S969" s="845"/>
      <c r="T969" s="845"/>
      <c r="U969" s="845"/>
      <c r="V969" s="845"/>
      <c r="W969" s="845"/>
      <c r="X969" s="845"/>
      <c r="Y969" s="845"/>
    </row>
    <row r="970" spans="1:25" x14ac:dyDescent="0.2">
      <c r="A970" s="1828"/>
      <c r="B970" s="1828"/>
      <c r="C970" s="1828"/>
      <c r="D970" s="1828"/>
      <c r="E970" s="844"/>
      <c r="R970" s="845"/>
      <c r="S970" s="845"/>
      <c r="T970" s="845"/>
      <c r="U970" s="845"/>
      <c r="V970" s="845"/>
      <c r="W970" s="845"/>
      <c r="X970" s="845"/>
      <c r="Y970" s="845"/>
    </row>
    <row r="971" spans="1:25" x14ac:dyDescent="0.2">
      <c r="A971" s="1828"/>
      <c r="B971" s="1828"/>
      <c r="C971" s="1828"/>
      <c r="D971" s="1828"/>
      <c r="E971" s="844"/>
      <c r="R971" s="845"/>
      <c r="S971" s="845"/>
      <c r="T971" s="845"/>
      <c r="U971" s="845"/>
      <c r="V971" s="845"/>
      <c r="W971" s="845"/>
      <c r="X971" s="845"/>
      <c r="Y971" s="845"/>
    </row>
    <row r="972" spans="1:25" x14ac:dyDescent="0.2">
      <c r="A972" s="1828"/>
      <c r="B972" s="1828"/>
      <c r="C972" s="1828"/>
      <c r="D972" s="1828"/>
      <c r="E972" s="844"/>
      <c r="R972" s="845"/>
      <c r="S972" s="845"/>
      <c r="T972" s="845"/>
      <c r="U972" s="845"/>
      <c r="V972" s="845"/>
      <c r="W972" s="845"/>
      <c r="X972" s="845"/>
      <c r="Y972" s="845"/>
    </row>
    <row r="973" spans="1:25" x14ac:dyDescent="0.2">
      <c r="A973" s="1828"/>
      <c r="B973" s="1828"/>
      <c r="C973" s="1828"/>
      <c r="D973" s="1828"/>
      <c r="E973" s="844"/>
      <c r="R973" s="845"/>
      <c r="S973" s="845"/>
      <c r="T973" s="845"/>
      <c r="U973" s="845"/>
      <c r="V973" s="845"/>
      <c r="W973" s="845"/>
      <c r="X973" s="845"/>
      <c r="Y973" s="845"/>
    </row>
    <row r="974" spans="1:25" x14ac:dyDescent="0.2">
      <c r="A974" s="1828"/>
      <c r="B974" s="1828"/>
      <c r="C974" s="1828"/>
      <c r="D974" s="1828"/>
      <c r="E974" s="844"/>
      <c r="R974" s="845"/>
      <c r="S974" s="845"/>
      <c r="T974" s="845"/>
      <c r="U974" s="845"/>
      <c r="V974" s="845"/>
      <c r="W974" s="845"/>
      <c r="X974" s="845"/>
      <c r="Y974" s="845"/>
    </row>
    <row r="975" spans="1:25" x14ac:dyDescent="0.2">
      <c r="A975" s="1828"/>
      <c r="B975" s="1828"/>
      <c r="C975" s="1828"/>
      <c r="D975" s="1828"/>
      <c r="E975" s="844"/>
      <c r="R975" s="845"/>
      <c r="S975" s="845"/>
      <c r="T975" s="845"/>
      <c r="U975" s="845"/>
      <c r="V975" s="845"/>
      <c r="W975" s="845"/>
      <c r="X975" s="845"/>
      <c r="Y975" s="845"/>
    </row>
    <row r="976" spans="1:25" x14ac:dyDescent="0.2">
      <c r="A976" s="1828"/>
      <c r="B976" s="1828"/>
      <c r="C976" s="1828"/>
      <c r="D976" s="1828"/>
      <c r="E976" s="844"/>
      <c r="R976" s="845"/>
      <c r="S976" s="845"/>
      <c r="T976" s="845"/>
      <c r="U976" s="845"/>
      <c r="V976" s="845"/>
      <c r="W976" s="845"/>
      <c r="X976" s="845"/>
      <c r="Y976" s="845"/>
    </row>
    <row r="977" spans="1:25" x14ac:dyDescent="0.2">
      <c r="A977" s="1828"/>
      <c r="B977" s="1828"/>
      <c r="C977" s="1828"/>
      <c r="D977" s="1828"/>
      <c r="E977" s="844"/>
      <c r="R977" s="845"/>
      <c r="S977" s="845"/>
      <c r="T977" s="845"/>
      <c r="U977" s="845"/>
      <c r="V977" s="845"/>
      <c r="W977" s="845"/>
      <c r="X977" s="845"/>
      <c r="Y977" s="845"/>
    </row>
    <row r="978" spans="1:25" x14ac:dyDescent="0.2">
      <c r="A978" s="1828"/>
      <c r="B978" s="1828"/>
      <c r="C978" s="1828"/>
      <c r="D978" s="1828"/>
      <c r="E978" s="844"/>
      <c r="R978" s="845"/>
      <c r="S978" s="845"/>
      <c r="T978" s="845"/>
      <c r="U978" s="845"/>
      <c r="V978" s="845"/>
      <c r="W978" s="845"/>
      <c r="X978" s="845"/>
      <c r="Y978" s="845"/>
    </row>
    <row r="979" spans="1:25" x14ac:dyDescent="0.2">
      <c r="A979" s="1828"/>
      <c r="B979" s="1828"/>
      <c r="C979" s="1828"/>
      <c r="D979" s="1828"/>
      <c r="E979" s="844"/>
      <c r="R979" s="845"/>
      <c r="S979" s="845"/>
      <c r="T979" s="845"/>
      <c r="U979" s="845"/>
      <c r="V979" s="845"/>
      <c r="W979" s="845"/>
      <c r="X979" s="845"/>
      <c r="Y979" s="845"/>
    </row>
    <row r="980" spans="1:25" x14ac:dyDescent="0.2">
      <c r="A980" s="1828"/>
      <c r="B980" s="1828"/>
      <c r="C980" s="1828"/>
      <c r="D980" s="1828"/>
      <c r="E980" s="844"/>
      <c r="R980" s="845"/>
      <c r="S980" s="845"/>
      <c r="T980" s="845"/>
      <c r="U980" s="845"/>
      <c r="V980" s="845"/>
      <c r="W980" s="845"/>
      <c r="X980" s="845"/>
      <c r="Y980" s="845"/>
    </row>
    <row r="981" spans="1:25" x14ac:dyDescent="0.2">
      <c r="A981" s="1828"/>
      <c r="B981" s="1828"/>
      <c r="C981" s="1828"/>
      <c r="D981" s="1828"/>
      <c r="E981" s="844"/>
      <c r="R981" s="845"/>
      <c r="S981" s="845"/>
      <c r="T981" s="845"/>
      <c r="U981" s="845"/>
      <c r="V981" s="845"/>
      <c r="W981" s="845"/>
      <c r="X981" s="845"/>
      <c r="Y981" s="845"/>
    </row>
    <row r="982" spans="1:25" x14ac:dyDescent="0.2">
      <c r="A982" s="1828"/>
      <c r="B982" s="1828"/>
      <c r="C982" s="1828"/>
      <c r="D982" s="1828"/>
      <c r="E982" s="844"/>
      <c r="R982" s="845"/>
      <c r="S982" s="845"/>
      <c r="T982" s="845"/>
      <c r="U982" s="845"/>
      <c r="V982" s="845"/>
      <c r="W982" s="845"/>
      <c r="X982" s="845"/>
      <c r="Y982" s="845"/>
    </row>
    <row r="983" spans="1:25" x14ac:dyDescent="0.2">
      <c r="A983" s="1828"/>
      <c r="B983" s="1828"/>
      <c r="C983" s="1828"/>
      <c r="D983" s="1828"/>
      <c r="E983" s="844"/>
      <c r="R983" s="845"/>
      <c r="S983" s="845"/>
      <c r="T983" s="845"/>
      <c r="U983" s="845"/>
      <c r="V983" s="845"/>
      <c r="W983" s="845"/>
      <c r="X983" s="845"/>
      <c r="Y983" s="845"/>
    </row>
    <row r="984" spans="1:25" x14ac:dyDescent="0.2">
      <c r="A984" s="1828"/>
      <c r="B984" s="1828"/>
      <c r="C984" s="1828"/>
      <c r="D984" s="1828"/>
      <c r="E984" s="844"/>
      <c r="R984" s="845"/>
      <c r="S984" s="845"/>
      <c r="T984" s="845"/>
      <c r="U984" s="845"/>
      <c r="V984" s="845"/>
      <c r="W984" s="845"/>
      <c r="X984" s="845"/>
      <c r="Y984" s="845"/>
    </row>
    <row r="985" spans="1:25" x14ac:dyDescent="0.2">
      <c r="A985" s="1828"/>
      <c r="B985" s="1828"/>
      <c r="C985" s="1828"/>
      <c r="D985" s="1828"/>
      <c r="E985" s="844"/>
      <c r="R985" s="845"/>
      <c r="S985" s="845"/>
      <c r="T985" s="845"/>
      <c r="U985" s="845"/>
      <c r="V985" s="845"/>
      <c r="W985" s="845"/>
      <c r="X985" s="845"/>
      <c r="Y985" s="845"/>
    </row>
    <row r="986" spans="1:25" x14ac:dyDescent="0.2">
      <c r="A986" s="1828"/>
      <c r="B986" s="1828"/>
      <c r="C986" s="1828"/>
      <c r="D986" s="1828"/>
      <c r="E986" s="844"/>
      <c r="R986" s="845"/>
      <c r="S986" s="845"/>
      <c r="T986" s="845"/>
      <c r="U986" s="845"/>
      <c r="V986" s="845"/>
      <c r="W986" s="845"/>
      <c r="X986" s="845"/>
      <c r="Y986" s="845"/>
    </row>
    <row r="987" spans="1:25" x14ac:dyDescent="0.2">
      <c r="A987" s="1828"/>
      <c r="B987" s="1828"/>
      <c r="C987" s="1828"/>
      <c r="D987" s="1828"/>
      <c r="E987" s="844"/>
      <c r="R987" s="845"/>
      <c r="S987" s="845"/>
      <c r="T987" s="845"/>
      <c r="U987" s="845"/>
      <c r="V987" s="845"/>
      <c r="W987" s="845"/>
      <c r="X987" s="845"/>
      <c r="Y987" s="845"/>
    </row>
    <row r="988" spans="1:25" x14ac:dyDescent="0.2">
      <c r="A988" s="1828"/>
      <c r="B988" s="1828"/>
      <c r="C988" s="1828"/>
      <c r="D988" s="1828"/>
      <c r="E988" s="844"/>
      <c r="R988" s="845"/>
      <c r="S988" s="845"/>
      <c r="T988" s="845"/>
      <c r="U988" s="845"/>
      <c r="V988" s="845"/>
      <c r="W988" s="845"/>
      <c r="X988" s="845"/>
      <c r="Y988" s="845"/>
    </row>
    <row r="989" spans="1:25" x14ac:dyDescent="0.2">
      <c r="A989" s="1828"/>
      <c r="B989" s="1828"/>
      <c r="C989" s="1828"/>
      <c r="D989" s="1828"/>
      <c r="E989" s="844"/>
      <c r="R989" s="845"/>
      <c r="S989" s="845"/>
      <c r="T989" s="845"/>
      <c r="U989" s="845"/>
      <c r="V989" s="845"/>
      <c r="W989" s="845"/>
      <c r="X989" s="845"/>
      <c r="Y989" s="845"/>
    </row>
    <row r="990" spans="1:25" x14ac:dyDescent="0.2">
      <c r="A990" s="1828"/>
      <c r="B990" s="1828"/>
      <c r="C990" s="1828"/>
      <c r="D990" s="1828"/>
      <c r="E990" s="844"/>
      <c r="R990" s="845"/>
      <c r="S990" s="845"/>
      <c r="T990" s="845"/>
      <c r="U990" s="845"/>
      <c r="V990" s="845"/>
      <c r="W990" s="845"/>
      <c r="X990" s="845"/>
      <c r="Y990" s="845"/>
    </row>
    <row r="991" spans="1:25" x14ac:dyDescent="0.2">
      <c r="A991" s="1828"/>
      <c r="B991" s="1828"/>
      <c r="C991" s="1828"/>
      <c r="D991" s="1828"/>
      <c r="E991" s="844"/>
      <c r="R991" s="845"/>
      <c r="S991" s="845"/>
      <c r="T991" s="845"/>
      <c r="U991" s="845"/>
      <c r="V991" s="845"/>
      <c r="W991" s="845"/>
      <c r="X991" s="845"/>
      <c r="Y991" s="845"/>
    </row>
    <row r="992" spans="1:25" x14ac:dyDescent="0.2">
      <c r="A992" s="1828"/>
      <c r="B992" s="1828"/>
      <c r="C992" s="1828"/>
      <c r="D992" s="1828"/>
      <c r="E992" s="844"/>
      <c r="R992" s="845"/>
      <c r="S992" s="845"/>
      <c r="T992" s="845"/>
      <c r="U992" s="845"/>
      <c r="V992" s="845"/>
      <c r="W992" s="845"/>
      <c r="X992" s="845"/>
      <c r="Y992" s="845"/>
    </row>
    <row r="993" spans="1:25" x14ac:dyDescent="0.2">
      <c r="A993" s="1828"/>
      <c r="B993" s="1828"/>
      <c r="C993" s="1828"/>
      <c r="D993" s="1828"/>
      <c r="E993" s="844"/>
      <c r="R993" s="845"/>
      <c r="S993" s="845"/>
      <c r="T993" s="845"/>
      <c r="U993" s="845"/>
      <c r="V993" s="845"/>
      <c r="W993" s="845"/>
      <c r="X993" s="845"/>
      <c r="Y993" s="845"/>
    </row>
    <row r="994" spans="1:25" x14ac:dyDescent="0.2">
      <c r="A994" s="1828"/>
      <c r="B994" s="1828"/>
      <c r="C994" s="1828"/>
      <c r="D994" s="1828"/>
      <c r="E994" s="844"/>
      <c r="R994" s="845"/>
      <c r="S994" s="845"/>
      <c r="T994" s="845"/>
      <c r="U994" s="845"/>
      <c r="V994" s="845"/>
      <c r="W994" s="845"/>
      <c r="X994" s="845"/>
      <c r="Y994" s="845"/>
    </row>
    <row r="995" spans="1:25" x14ac:dyDescent="0.2">
      <c r="A995" s="1828"/>
      <c r="B995" s="1828"/>
      <c r="C995" s="1828"/>
      <c r="D995" s="1828"/>
      <c r="E995" s="844"/>
      <c r="R995" s="845"/>
      <c r="S995" s="845"/>
      <c r="T995" s="845"/>
      <c r="U995" s="845"/>
      <c r="V995" s="845"/>
      <c r="W995" s="845"/>
      <c r="X995" s="845"/>
      <c r="Y995" s="845"/>
    </row>
    <row r="996" spans="1:25" x14ac:dyDescent="0.2">
      <c r="A996" s="1828"/>
      <c r="B996" s="1828"/>
      <c r="C996" s="1828"/>
      <c r="D996" s="1828"/>
      <c r="E996" s="844"/>
      <c r="R996" s="845"/>
      <c r="S996" s="845"/>
      <c r="T996" s="845"/>
      <c r="U996" s="845"/>
      <c r="V996" s="845"/>
      <c r="W996" s="845"/>
      <c r="X996" s="845"/>
      <c r="Y996" s="845"/>
    </row>
    <row r="997" spans="1:25" x14ac:dyDescent="0.2">
      <c r="A997" s="1828"/>
      <c r="B997" s="1828"/>
      <c r="C997" s="1828"/>
      <c r="D997" s="1828"/>
      <c r="E997" s="844"/>
      <c r="R997" s="845"/>
      <c r="S997" s="845"/>
      <c r="T997" s="845"/>
      <c r="U997" s="845"/>
      <c r="V997" s="845"/>
      <c r="W997" s="845"/>
      <c r="X997" s="845"/>
      <c r="Y997" s="845"/>
    </row>
    <row r="998" spans="1:25" x14ac:dyDescent="0.2">
      <c r="A998" s="1828"/>
      <c r="B998" s="1828"/>
      <c r="C998" s="1828"/>
      <c r="D998" s="1828"/>
      <c r="E998" s="844"/>
      <c r="R998" s="845"/>
      <c r="S998" s="845"/>
      <c r="T998" s="845"/>
      <c r="U998" s="845"/>
      <c r="V998" s="845"/>
      <c r="W998" s="845"/>
      <c r="X998" s="845"/>
      <c r="Y998" s="845"/>
    </row>
    <row r="999" spans="1:25" x14ac:dyDescent="0.2">
      <c r="A999" s="1828"/>
      <c r="B999" s="1828"/>
      <c r="C999" s="1828"/>
      <c r="D999" s="1828"/>
      <c r="E999" s="844"/>
      <c r="R999" s="845"/>
      <c r="S999" s="845"/>
      <c r="T999" s="845"/>
      <c r="U999" s="845"/>
      <c r="V999" s="845"/>
      <c r="W999" s="845"/>
      <c r="X999" s="845"/>
      <c r="Y999" s="845"/>
    </row>
    <row r="1000" spans="1:25" x14ac:dyDescent="0.2">
      <c r="A1000" s="1828"/>
      <c r="B1000" s="1828"/>
      <c r="C1000" s="1828"/>
      <c r="D1000" s="1828"/>
      <c r="E1000" s="844"/>
      <c r="R1000" s="845"/>
      <c r="S1000" s="845"/>
      <c r="T1000" s="845"/>
      <c r="U1000" s="845"/>
      <c r="V1000" s="845"/>
      <c r="W1000" s="845"/>
      <c r="X1000" s="845"/>
      <c r="Y1000" s="845"/>
    </row>
    <row r="1001" spans="1:25" x14ac:dyDescent="0.2">
      <c r="A1001" s="1828"/>
      <c r="B1001" s="1828"/>
      <c r="C1001" s="1828"/>
      <c r="D1001" s="1828"/>
      <c r="E1001" s="844"/>
      <c r="R1001" s="845"/>
      <c r="S1001" s="845"/>
      <c r="T1001" s="845"/>
      <c r="U1001" s="845"/>
      <c r="V1001" s="845"/>
      <c r="W1001" s="845"/>
      <c r="X1001" s="845"/>
      <c r="Y1001" s="845"/>
    </row>
    <row r="1002" spans="1:25" x14ac:dyDescent="0.2">
      <c r="A1002" s="1828"/>
      <c r="B1002" s="1828"/>
      <c r="C1002" s="1828"/>
      <c r="D1002" s="1828"/>
      <c r="E1002" s="844"/>
      <c r="R1002" s="845"/>
      <c r="S1002" s="845"/>
      <c r="T1002" s="845"/>
      <c r="U1002" s="845"/>
      <c r="V1002" s="845"/>
      <c r="W1002" s="845"/>
      <c r="X1002" s="845"/>
      <c r="Y1002" s="845"/>
    </row>
    <row r="1003" spans="1:25" x14ac:dyDescent="0.2">
      <c r="A1003" s="1828"/>
      <c r="B1003" s="1828"/>
      <c r="C1003" s="1828"/>
      <c r="D1003" s="1828"/>
      <c r="E1003" s="844"/>
      <c r="R1003" s="845"/>
      <c r="S1003" s="845"/>
      <c r="T1003" s="845"/>
      <c r="U1003" s="845"/>
      <c r="V1003" s="845"/>
      <c r="W1003" s="845"/>
      <c r="X1003" s="845"/>
      <c r="Y1003" s="845"/>
    </row>
    <row r="1004" spans="1:25" x14ac:dyDescent="0.2">
      <c r="A1004" s="1828"/>
      <c r="B1004" s="1828"/>
      <c r="C1004" s="1828"/>
      <c r="D1004" s="1828"/>
      <c r="E1004" s="844"/>
      <c r="R1004" s="845"/>
      <c r="S1004" s="845"/>
      <c r="T1004" s="845"/>
      <c r="U1004" s="845"/>
      <c r="V1004" s="845"/>
      <c r="W1004" s="845"/>
      <c r="X1004" s="845"/>
      <c r="Y1004" s="845"/>
    </row>
    <row r="1005" spans="1:25" x14ac:dyDescent="0.2">
      <c r="A1005" s="1828"/>
      <c r="B1005" s="1828"/>
      <c r="C1005" s="1828"/>
      <c r="D1005" s="1828"/>
      <c r="E1005" s="844"/>
      <c r="R1005" s="845"/>
      <c r="S1005" s="845"/>
      <c r="T1005" s="845"/>
      <c r="U1005" s="845"/>
      <c r="V1005" s="845"/>
      <c r="W1005" s="845"/>
      <c r="X1005" s="845"/>
      <c r="Y1005" s="845"/>
    </row>
    <row r="1006" spans="1:25" x14ac:dyDescent="0.2">
      <c r="A1006" s="1828"/>
      <c r="B1006" s="1828"/>
      <c r="C1006" s="1828"/>
      <c r="D1006" s="1828"/>
      <c r="E1006" s="844"/>
      <c r="R1006" s="845"/>
      <c r="S1006" s="845"/>
      <c r="T1006" s="845"/>
      <c r="U1006" s="845"/>
      <c r="V1006" s="845"/>
      <c r="W1006" s="845"/>
      <c r="X1006" s="845"/>
      <c r="Y1006" s="845"/>
    </row>
    <row r="1007" spans="1:25" x14ac:dyDescent="0.2">
      <c r="A1007" s="1828"/>
      <c r="B1007" s="1828"/>
      <c r="C1007" s="1828"/>
      <c r="D1007" s="1828"/>
      <c r="E1007" s="844"/>
      <c r="R1007" s="845"/>
      <c r="S1007" s="845"/>
      <c r="T1007" s="845"/>
      <c r="U1007" s="845"/>
      <c r="V1007" s="845"/>
      <c r="W1007" s="845"/>
      <c r="X1007" s="845"/>
      <c r="Y1007" s="845"/>
    </row>
    <row r="1008" spans="1:25" x14ac:dyDescent="0.2">
      <c r="A1008" s="1828"/>
      <c r="B1008" s="1828"/>
      <c r="C1008" s="1828"/>
      <c r="D1008" s="1828"/>
      <c r="E1008" s="844"/>
      <c r="R1008" s="845"/>
      <c r="S1008" s="845"/>
      <c r="T1008" s="845"/>
      <c r="U1008" s="845"/>
      <c r="V1008" s="845"/>
      <c r="W1008" s="845"/>
      <c r="X1008" s="845"/>
      <c r="Y1008" s="845"/>
    </row>
    <row r="1009" spans="1:25" x14ac:dyDescent="0.2">
      <c r="A1009" s="1828"/>
      <c r="B1009" s="1828"/>
      <c r="C1009" s="1828"/>
      <c r="D1009" s="1828"/>
      <c r="E1009" s="844"/>
      <c r="R1009" s="845"/>
      <c r="S1009" s="845"/>
      <c r="T1009" s="845"/>
      <c r="U1009" s="845"/>
      <c r="V1009" s="845"/>
      <c r="W1009" s="845"/>
      <c r="X1009" s="845"/>
      <c r="Y1009" s="845"/>
    </row>
    <row r="1010" spans="1:25" x14ac:dyDescent="0.2">
      <c r="A1010" s="1828"/>
      <c r="B1010" s="1828"/>
      <c r="C1010" s="1828"/>
      <c r="D1010" s="1828"/>
      <c r="E1010" s="844"/>
      <c r="R1010" s="845"/>
      <c r="S1010" s="845"/>
      <c r="T1010" s="845"/>
      <c r="U1010" s="845"/>
      <c r="V1010" s="845"/>
      <c r="W1010" s="845"/>
      <c r="X1010" s="845"/>
      <c r="Y1010" s="845"/>
    </row>
    <row r="1011" spans="1:25" x14ac:dyDescent="0.2">
      <c r="A1011" s="1828"/>
      <c r="B1011" s="1828"/>
      <c r="C1011" s="1828"/>
      <c r="D1011" s="1828"/>
      <c r="E1011" s="844"/>
      <c r="R1011" s="845"/>
      <c r="S1011" s="845"/>
      <c r="T1011" s="845"/>
      <c r="U1011" s="845"/>
      <c r="V1011" s="845"/>
      <c r="W1011" s="845"/>
      <c r="X1011" s="845"/>
      <c r="Y1011" s="845"/>
    </row>
    <row r="1012" spans="1:25" x14ac:dyDescent="0.2">
      <c r="A1012" s="1828"/>
      <c r="B1012" s="1828"/>
      <c r="C1012" s="1828"/>
      <c r="D1012" s="1828"/>
      <c r="E1012" s="844"/>
      <c r="R1012" s="845"/>
      <c r="S1012" s="845"/>
      <c r="T1012" s="845"/>
      <c r="U1012" s="845"/>
      <c r="V1012" s="845"/>
      <c r="W1012" s="845"/>
      <c r="X1012" s="845"/>
      <c r="Y1012" s="845"/>
    </row>
    <row r="1013" spans="1:25" x14ac:dyDescent="0.2">
      <c r="A1013" s="1828"/>
      <c r="B1013" s="1828"/>
      <c r="C1013" s="1828"/>
      <c r="D1013" s="1828"/>
      <c r="E1013" s="844"/>
      <c r="R1013" s="845"/>
      <c r="S1013" s="845"/>
      <c r="T1013" s="845"/>
      <c r="U1013" s="845"/>
      <c r="V1013" s="845"/>
      <c r="W1013" s="845"/>
      <c r="X1013" s="845"/>
      <c r="Y1013" s="845"/>
    </row>
    <row r="1014" spans="1:25" x14ac:dyDescent="0.2">
      <c r="A1014" s="1828"/>
      <c r="B1014" s="1828"/>
      <c r="C1014" s="1828"/>
      <c r="D1014" s="1828"/>
      <c r="E1014" s="844"/>
      <c r="R1014" s="845"/>
      <c r="S1014" s="845"/>
      <c r="T1014" s="845"/>
      <c r="U1014" s="845"/>
      <c r="V1014" s="845"/>
      <c r="W1014" s="845"/>
      <c r="X1014" s="845"/>
      <c r="Y1014" s="845"/>
    </row>
    <row r="1015" spans="1:25" x14ac:dyDescent="0.2">
      <c r="A1015" s="1828"/>
      <c r="B1015" s="1828"/>
      <c r="C1015" s="1828"/>
      <c r="D1015" s="1828"/>
      <c r="E1015" s="844"/>
      <c r="R1015" s="845"/>
      <c r="S1015" s="845"/>
      <c r="T1015" s="845"/>
      <c r="U1015" s="845"/>
      <c r="V1015" s="845"/>
      <c r="W1015" s="845"/>
      <c r="X1015" s="845"/>
      <c r="Y1015" s="845"/>
    </row>
    <row r="1016" spans="1:25" x14ac:dyDescent="0.2">
      <c r="A1016" s="1828"/>
      <c r="B1016" s="1828"/>
      <c r="C1016" s="1828"/>
      <c r="D1016" s="1828"/>
      <c r="E1016" s="844"/>
      <c r="R1016" s="845"/>
      <c r="S1016" s="845"/>
      <c r="T1016" s="845"/>
      <c r="U1016" s="845"/>
      <c r="V1016" s="845"/>
      <c r="W1016" s="845"/>
      <c r="X1016" s="845"/>
      <c r="Y1016" s="845"/>
    </row>
    <row r="1017" spans="1:25" x14ac:dyDescent="0.2">
      <c r="A1017" s="1828"/>
      <c r="B1017" s="1828"/>
      <c r="C1017" s="1828"/>
      <c r="D1017" s="1828"/>
      <c r="E1017" s="844"/>
      <c r="R1017" s="845"/>
      <c r="S1017" s="845"/>
      <c r="T1017" s="845"/>
      <c r="U1017" s="845"/>
      <c r="V1017" s="845"/>
      <c r="W1017" s="845"/>
      <c r="X1017" s="845"/>
      <c r="Y1017" s="845"/>
    </row>
    <row r="1018" spans="1:25" x14ac:dyDescent="0.2">
      <c r="A1018" s="1828"/>
      <c r="B1018" s="1828"/>
      <c r="C1018" s="1828"/>
      <c r="D1018" s="1828"/>
      <c r="E1018" s="844"/>
      <c r="R1018" s="845"/>
      <c r="S1018" s="845"/>
      <c r="T1018" s="845"/>
      <c r="U1018" s="845"/>
      <c r="V1018" s="845"/>
      <c r="W1018" s="845"/>
      <c r="X1018" s="845"/>
      <c r="Y1018" s="845"/>
    </row>
    <row r="1019" spans="1:25" x14ac:dyDescent="0.2">
      <c r="A1019" s="1828"/>
      <c r="B1019" s="1828"/>
      <c r="C1019" s="1828"/>
      <c r="D1019" s="1828"/>
      <c r="E1019" s="844"/>
      <c r="R1019" s="845"/>
      <c r="S1019" s="845"/>
      <c r="T1019" s="845"/>
      <c r="U1019" s="845"/>
      <c r="V1019" s="845"/>
      <c r="W1019" s="845"/>
      <c r="X1019" s="845"/>
      <c r="Y1019" s="845"/>
    </row>
    <row r="1020" spans="1:25" x14ac:dyDescent="0.2">
      <c r="A1020" s="1828"/>
      <c r="B1020" s="1828"/>
      <c r="C1020" s="1828"/>
      <c r="D1020" s="1828"/>
      <c r="E1020" s="844"/>
      <c r="R1020" s="845"/>
      <c r="S1020" s="845"/>
      <c r="T1020" s="845"/>
      <c r="U1020" s="845"/>
      <c r="V1020" s="845"/>
      <c r="W1020" s="845"/>
      <c r="X1020" s="845"/>
      <c r="Y1020" s="845"/>
    </row>
    <row r="1021" spans="1:25" x14ac:dyDescent="0.2">
      <c r="A1021" s="1828"/>
      <c r="B1021" s="1828"/>
      <c r="C1021" s="1828"/>
      <c r="D1021" s="1828"/>
      <c r="E1021" s="844"/>
      <c r="R1021" s="845"/>
      <c r="S1021" s="845"/>
      <c r="T1021" s="845"/>
      <c r="U1021" s="845"/>
      <c r="V1021" s="845"/>
      <c r="W1021" s="845"/>
      <c r="X1021" s="845"/>
      <c r="Y1021" s="845"/>
    </row>
    <row r="1022" spans="1:25" x14ac:dyDescent="0.2">
      <c r="A1022" s="1828"/>
      <c r="B1022" s="1828"/>
      <c r="C1022" s="1828"/>
      <c r="D1022" s="1828"/>
      <c r="E1022" s="844"/>
      <c r="R1022" s="845"/>
      <c r="S1022" s="845"/>
      <c r="T1022" s="845"/>
      <c r="U1022" s="845"/>
      <c r="V1022" s="845"/>
      <c r="W1022" s="845"/>
      <c r="X1022" s="845"/>
      <c r="Y1022" s="845"/>
    </row>
    <row r="1023" spans="1:25" x14ac:dyDescent="0.2">
      <c r="A1023" s="1828"/>
      <c r="B1023" s="1828"/>
      <c r="C1023" s="1828"/>
      <c r="D1023" s="1828"/>
      <c r="E1023" s="844"/>
      <c r="R1023" s="845"/>
      <c r="S1023" s="845"/>
      <c r="T1023" s="845"/>
      <c r="U1023" s="845"/>
      <c r="V1023" s="845"/>
      <c r="W1023" s="845"/>
      <c r="X1023" s="845"/>
      <c r="Y1023" s="845"/>
    </row>
    <row r="1024" spans="1:25" x14ac:dyDescent="0.2">
      <c r="A1024" s="1828"/>
      <c r="B1024" s="1828"/>
      <c r="C1024" s="1828"/>
      <c r="D1024" s="1828"/>
      <c r="E1024" s="844"/>
      <c r="R1024" s="845"/>
      <c r="S1024" s="845"/>
      <c r="T1024" s="845"/>
      <c r="U1024" s="845"/>
      <c r="V1024" s="845"/>
      <c r="W1024" s="845"/>
      <c r="X1024" s="845"/>
      <c r="Y1024" s="845"/>
    </row>
    <row r="1025" spans="1:25" x14ac:dyDescent="0.2">
      <c r="A1025" s="1828"/>
      <c r="B1025" s="1828"/>
      <c r="C1025" s="1828"/>
      <c r="D1025" s="1828"/>
      <c r="E1025" s="844"/>
      <c r="R1025" s="845"/>
      <c r="S1025" s="845"/>
      <c r="T1025" s="845"/>
      <c r="U1025" s="845"/>
      <c r="V1025" s="845"/>
      <c r="W1025" s="845"/>
      <c r="X1025" s="845"/>
      <c r="Y1025" s="845"/>
    </row>
    <row r="1026" spans="1:25" x14ac:dyDescent="0.2">
      <c r="A1026" s="1828"/>
      <c r="B1026" s="1828"/>
      <c r="C1026" s="1828"/>
      <c r="D1026" s="1828"/>
      <c r="E1026" s="844"/>
      <c r="R1026" s="845"/>
      <c r="S1026" s="845"/>
      <c r="T1026" s="845"/>
      <c r="U1026" s="845"/>
      <c r="V1026" s="845"/>
      <c r="W1026" s="845"/>
      <c r="X1026" s="845"/>
      <c r="Y1026" s="845"/>
    </row>
    <row r="1027" spans="1:25" x14ac:dyDescent="0.2">
      <c r="A1027" s="1828"/>
      <c r="B1027" s="1828"/>
      <c r="C1027" s="1828"/>
      <c r="D1027" s="1828"/>
      <c r="E1027" s="844"/>
      <c r="R1027" s="845"/>
      <c r="S1027" s="845"/>
      <c r="T1027" s="845"/>
      <c r="U1027" s="845"/>
      <c r="V1027" s="845"/>
      <c r="W1027" s="845"/>
      <c r="X1027" s="845"/>
      <c r="Y1027" s="845"/>
    </row>
    <row r="1028" spans="1:25" x14ac:dyDescent="0.2">
      <c r="A1028" s="1828"/>
      <c r="B1028" s="1828"/>
      <c r="C1028" s="1828"/>
      <c r="D1028" s="1828"/>
      <c r="E1028" s="844"/>
      <c r="R1028" s="845"/>
      <c r="S1028" s="845"/>
      <c r="T1028" s="845"/>
      <c r="U1028" s="845"/>
      <c r="V1028" s="845"/>
      <c r="W1028" s="845"/>
      <c r="X1028" s="845"/>
      <c r="Y1028" s="845"/>
    </row>
    <row r="1029" spans="1:25" x14ac:dyDescent="0.2">
      <c r="A1029" s="1828"/>
      <c r="B1029" s="1828"/>
      <c r="C1029" s="1828"/>
      <c r="D1029" s="1828"/>
      <c r="E1029" s="844"/>
      <c r="R1029" s="845"/>
      <c r="S1029" s="845"/>
      <c r="T1029" s="845"/>
      <c r="U1029" s="845"/>
      <c r="V1029" s="845"/>
      <c r="W1029" s="845"/>
      <c r="X1029" s="845"/>
      <c r="Y1029" s="845"/>
    </row>
    <row r="1030" spans="1:25" x14ac:dyDescent="0.2">
      <c r="A1030" s="1828"/>
      <c r="B1030" s="1828"/>
      <c r="C1030" s="1828"/>
      <c r="D1030" s="1828"/>
      <c r="E1030" s="844"/>
      <c r="R1030" s="845"/>
      <c r="S1030" s="845"/>
      <c r="T1030" s="845"/>
      <c r="U1030" s="845"/>
      <c r="V1030" s="845"/>
      <c r="W1030" s="845"/>
      <c r="X1030" s="845"/>
      <c r="Y1030" s="845"/>
    </row>
    <row r="1031" spans="1:25" x14ac:dyDescent="0.2">
      <c r="A1031" s="1828"/>
      <c r="B1031" s="1828"/>
      <c r="C1031" s="1828"/>
      <c r="D1031" s="1828"/>
      <c r="E1031" s="844"/>
      <c r="R1031" s="845"/>
      <c r="S1031" s="845"/>
      <c r="T1031" s="845"/>
      <c r="U1031" s="845"/>
      <c r="V1031" s="845"/>
      <c r="W1031" s="845"/>
      <c r="X1031" s="845"/>
      <c r="Y1031" s="845"/>
    </row>
    <row r="1032" spans="1:25" x14ac:dyDescent="0.2">
      <c r="A1032" s="1828"/>
      <c r="B1032" s="1828"/>
      <c r="C1032" s="1828"/>
      <c r="D1032" s="1828"/>
      <c r="E1032" s="844"/>
      <c r="R1032" s="845"/>
      <c r="S1032" s="845"/>
      <c r="T1032" s="845"/>
      <c r="U1032" s="845"/>
      <c r="V1032" s="845"/>
      <c r="W1032" s="845"/>
      <c r="X1032" s="845"/>
      <c r="Y1032" s="845"/>
    </row>
    <row r="1033" spans="1:25" x14ac:dyDescent="0.2">
      <c r="A1033" s="1828"/>
      <c r="B1033" s="1828"/>
      <c r="C1033" s="1828"/>
      <c r="D1033" s="1828"/>
      <c r="E1033" s="844"/>
      <c r="R1033" s="845"/>
      <c r="S1033" s="845"/>
      <c r="T1033" s="845"/>
      <c r="U1033" s="845"/>
      <c r="V1033" s="845"/>
      <c r="W1033" s="845"/>
      <c r="X1033" s="845"/>
      <c r="Y1033" s="845"/>
    </row>
    <row r="1034" spans="1:25" x14ac:dyDescent="0.2">
      <c r="A1034" s="1828"/>
      <c r="B1034" s="1828"/>
      <c r="C1034" s="1828"/>
      <c r="D1034" s="1828"/>
      <c r="E1034" s="844"/>
      <c r="R1034" s="845"/>
      <c r="S1034" s="845"/>
      <c r="T1034" s="845"/>
      <c r="U1034" s="845"/>
      <c r="V1034" s="845"/>
      <c r="W1034" s="845"/>
      <c r="X1034" s="845"/>
      <c r="Y1034" s="845"/>
    </row>
    <row r="1035" spans="1:25" x14ac:dyDescent="0.2">
      <c r="A1035" s="1828"/>
      <c r="B1035" s="1828"/>
      <c r="C1035" s="1828"/>
      <c r="D1035" s="1828"/>
      <c r="E1035" s="844"/>
      <c r="R1035" s="845"/>
      <c r="S1035" s="845"/>
      <c r="T1035" s="845"/>
      <c r="U1035" s="845"/>
      <c r="V1035" s="845"/>
      <c r="W1035" s="845"/>
      <c r="X1035" s="845"/>
      <c r="Y1035" s="845"/>
    </row>
    <row r="1036" spans="1:25" x14ac:dyDescent="0.2">
      <c r="A1036" s="1828"/>
      <c r="B1036" s="1828"/>
      <c r="C1036" s="1828"/>
      <c r="D1036" s="1828"/>
      <c r="E1036" s="844"/>
      <c r="R1036" s="845"/>
      <c r="S1036" s="845"/>
      <c r="T1036" s="845"/>
      <c r="U1036" s="845"/>
      <c r="V1036" s="845"/>
      <c r="W1036" s="845"/>
      <c r="X1036" s="845"/>
      <c r="Y1036" s="845"/>
    </row>
    <row r="1037" spans="1:25" x14ac:dyDescent="0.2">
      <c r="A1037" s="1828"/>
      <c r="B1037" s="1828"/>
      <c r="C1037" s="1828"/>
      <c r="D1037" s="1828"/>
      <c r="E1037" s="844"/>
      <c r="R1037" s="845"/>
      <c r="S1037" s="845"/>
      <c r="T1037" s="845"/>
      <c r="U1037" s="845"/>
      <c r="V1037" s="845"/>
      <c r="W1037" s="845"/>
      <c r="X1037" s="845"/>
      <c r="Y1037" s="845"/>
    </row>
    <row r="1038" spans="1:25" x14ac:dyDescent="0.2">
      <c r="A1038" s="1828"/>
      <c r="B1038" s="1828"/>
      <c r="C1038" s="1828"/>
      <c r="D1038" s="1828"/>
      <c r="E1038" s="844"/>
      <c r="R1038" s="845"/>
      <c r="S1038" s="845"/>
      <c r="T1038" s="845"/>
      <c r="U1038" s="845"/>
      <c r="V1038" s="845"/>
      <c r="W1038" s="845"/>
      <c r="X1038" s="845"/>
      <c r="Y1038" s="845"/>
    </row>
    <row r="1039" spans="1:25" x14ac:dyDescent="0.2">
      <c r="A1039" s="1828"/>
      <c r="B1039" s="1828"/>
      <c r="C1039" s="1828"/>
      <c r="D1039" s="1828"/>
      <c r="E1039" s="844"/>
      <c r="R1039" s="845"/>
      <c r="S1039" s="845"/>
      <c r="T1039" s="845"/>
      <c r="U1039" s="845"/>
      <c r="V1039" s="845"/>
      <c r="W1039" s="845"/>
      <c r="X1039" s="845"/>
      <c r="Y1039" s="845"/>
    </row>
    <row r="1040" spans="1:25" x14ac:dyDescent="0.2">
      <c r="A1040" s="1828"/>
      <c r="B1040" s="1828"/>
      <c r="C1040" s="1828"/>
      <c r="D1040" s="1828"/>
      <c r="E1040" s="844"/>
      <c r="R1040" s="845"/>
      <c r="S1040" s="845"/>
      <c r="T1040" s="845"/>
      <c r="U1040" s="845"/>
      <c r="V1040" s="845"/>
      <c r="W1040" s="845"/>
      <c r="X1040" s="845"/>
      <c r="Y1040" s="845"/>
    </row>
    <row r="1041" spans="1:25" x14ac:dyDescent="0.2">
      <c r="A1041" s="1828"/>
      <c r="B1041" s="1828"/>
      <c r="C1041" s="1828"/>
      <c r="D1041" s="1828"/>
      <c r="E1041" s="844"/>
      <c r="R1041" s="845"/>
      <c r="S1041" s="845"/>
      <c r="T1041" s="845"/>
      <c r="U1041" s="845"/>
      <c r="V1041" s="845"/>
      <c r="W1041" s="845"/>
      <c r="X1041" s="845"/>
      <c r="Y1041" s="845"/>
    </row>
    <row r="1042" spans="1:25" x14ac:dyDescent="0.2">
      <c r="A1042" s="1828"/>
      <c r="B1042" s="1828"/>
      <c r="C1042" s="1828"/>
      <c r="D1042" s="1828"/>
      <c r="E1042" s="844"/>
      <c r="R1042" s="845"/>
      <c r="S1042" s="845"/>
      <c r="T1042" s="845"/>
      <c r="U1042" s="845"/>
      <c r="V1042" s="845"/>
      <c r="W1042" s="845"/>
      <c r="X1042" s="845"/>
      <c r="Y1042" s="845"/>
    </row>
    <row r="1043" spans="1:25" x14ac:dyDescent="0.2">
      <c r="A1043" s="1828"/>
      <c r="B1043" s="1828"/>
      <c r="C1043" s="1828"/>
      <c r="D1043" s="1828"/>
      <c r="E1043" s="844"/>
      <c r="R1043" s="845"/>
      <c r="S1043" s="845"/>
      <c r="T1043" s="845"/>
      <c r="U1043" s="845"/>
      <c r="V1043" s="845"/>
      <c r="W1043" s="845"/>
      <c r="X1043" s="845"/>
      <c r="Y1043" s="845"/>
    </row>
    <row r="1044" spans="1:25" x14ac:dyDescent="0.2">
      <c r="A1044" s="1828"/>
      <c r="B1044" s="1828"/>
      <c r="C1044" s="1828"/>
      <c r="D1044" s="1828"/>
      <c r="E1044" s="844"/>
      <c r="R1044" s="845"/>
      <c r="S1044" s="845"/>
      <c r="T1044" s="845"/>
      <c r="U1044" s="845"/>
      <c r="V1044" s="845"/>
      <c r="W1044" s="845"/>
      <c r="X1044" s="845"/>
      <c r="Y1044" s="845"/>
    </row>
    <row r="1045" spans="1:25" x14ac:dyDescent="0.2">
      <c r="A1045" s="1828"/>
      <c r="B1045" s="1828"/>
      <c r="C1045" s="1828"/>
      <c r="D1045" s="1828"/>
      <c r="E1045" s="844"/>
      <c r="R1045" s="845"/>
      <c r="S1045" s="845"/>
      <c r="T1045" s="845"/>
      <c r="U1045" s="845"/>
      <c r="V1045" s="845"/>
      <c r="W1045" s="845"/>
      <c r="X1045" s="845"/>
      <c r="Y1045" s="845"/>
    </row>
    <row r="1046" spans="1:25" x14ac:dyDescent="0.2">
      <c r="A1046" s="1828"/>
      <c r="B1046" s="1828"/>
      <c r="C1046" s="1828"/>
      <c r="D1046" s="1828"/>
      <c r="E1046" s="844"/>
      <c r="R1046" s="845"/>
      <c r="S1046" s="845"/>
      <c r="T1046" s="845"/>
      <c r="U1046" s="845"/>
      <c r="V1046" s="845"/>
      <c r="W1046" s="845"/>
      <c r="X1046" s="845"/>
      <c r="Y1046" s="845"/>
    </row>
    <row r="1047" spans="1:25" x14ac:dyDescent="0.2">
      <c r="A1047" s="1828"/>
      <c r="B1047" s="1828"/>
      <c r="C1047" s="1828"/>
      <c r="D1047" s="1828"/>
      <c r="E1047" s="844"/>
      <c r="R1047" s="845"/>
      <c r="S1047" s="845"/>
      <c r="T1047" s="845"/>
      <c r="U1047" s="845"/>
      <c r="V1047" s="845"/>
      <c r="W1047" s="845"/>
      <c r="X1047" s="845"/>
      <c r="Y1047" s="845"/>
    </row>
    <row r="1048" spans="1:25" x14ac:dyDescent="0.2">
      <c r="A1048" s="1828"/>
      <c r="B1048" s="1828"/>
      <c r="C1048" s="1828"/>
      <c r="D1048" s="1828"/>
      <c r="E1048" s="844"/>
      <c r="R1048" s="845"/>
      <c r="S1048" s="845"/>
      <c r="T1048" s="845"/>
      <c r="U1048" s="845"/>
      <c r="V1048" s="845"/>
      <c r="W1048" s="845"/>
      <c r="X1048" s="845"/>
      <c r="Y1048" s="845"/>
    </row>
    <row r="1049" spans="1:25" x14ac:dyDescent="0.2">
      <c r="A1049" s="1828"/>
      <c r="B1049" s="1828"/>
      <c r="C1049" s="1828"/>
      <c r="D1049" s="1828"/>
      <c r="E1049" s="844"/>
      <c r="R1049" s="845"/>
      <c r="S1049" s="845"/>
      <c r="T1049" s="845"/>
      <c r="U1049" s="845"/>
      <c r="V1049" s="845"/>
      <c r="W1049" s="845"/>
      <c r="X1049" s="845"/>
      <c r="Y1049" s="845"/>
    </row>
    <row r="1050" spans="1:25" x14ac:dyDescent="0.2">
      <c r="A1050" s="1828"/>
      <c r="B1050" s="1828"/>
      <c r="C1050" s="1828"/>
      <c r="D1050" s="1828"/>
      <c r="E1050" s="844"/>
      <c r="R1050" s="845"/>
      <c r="S1050" s="845"/>
      <c r="T1050" s="845"/>
      <c r="U1050" s="845"/>
      <c r="V1050" s="845"/>
      <c r="W1050" s="845"/>
      <c r="X1050" s="845"/>
      <c r="Y1050" s="845"/>
    </row>
    <row r="1051" spans="1:25" x14ac:dyDescent="0.2">
      <c r="A1051" s="1828"/>
      <c r="B1051" s="1828"/>
      <c r="C1051" s="1828"/>
      <c r="D1051" s="1828"/>
      <c r="E1051" s="844"/>
      <c r="R1051" s="845"/>
      <c r="S1051" s="845"/>
      <c r="T1051" s="845"/>
      <c r="U1051" s="845"/>
      <c r="V1051" s="845"/>
      <c r="W1051" s="845"/>
      <c r="X1051" s="845"/>
      <c r="Y1051" s="845"/>
    </row>
    <row r="1052" spans="1:25" x14ac:dyDescent="0.2">
      <c r="A1052" s="1828"/>
      <c r="B1052" s="1828"/>
      <c r="C1052" s="1828"/>
      <c r="D1052" s="1828"/>
      <c r="E1052" s="844"/>
      <c r="R1052" s="845"/>
      <c r="S1052" s="845"/>
      <c r="T1052" s="845"/>
      <c r="U1052" s="845"/>
      <c r="V1052" s="845"/>
      <c r="W1052" s="845"/>
      <c r="X1052" s="845"/>
      <c r="Y1052" s="845"/>
    </row>
    <row r="1053" spans="1:25" x14ac:dyDescent="0.2">
      <c r="A1053" s="1828"/>
      <c r="B1053" s="1828"/>
      <c r="C1053" s="1828"/>
      <c r="D1053" s="1828"/>
      <c r="E1053" s="844"/>
      <c r="R1053" s="845"/>
      <c r="S1053" s="845"/>
      <c r="T1053" s="845"/>
      <c r="U1053" s="845"/>
      <c r="V1053" s="845"/>
      <c r="W1053" s="845"/>
      <c r="X1053" s="845"/>
      <c r="Y1053" s="845"/>
    </row>
    <row r="1054" spans="1:25" x14ac:dyDescent="0.2">
      <c r="A1054" s="1828"/>
      <c r="B1054" s="1828"/>
      <c r="C1054" s="1828"/>
      <c r="D1054" s="1828"/>
      <c r="E1054" s="844"/>
      <c r="R1054" s="845"/>
      <c r="S1054" s="845"/>
      <c r="T1054" s="845"/>
      <c r="U1054" s="845"/>
      <c r="V1054" s="845"/>
      <c r="W1054" s="845"/>
      <c r="X1054" s="845"/>
      <c r="Y1054" s="845"/>
    </row>
    <row r="1055" spans="1:25" x14ac:dyDescent="0.2">
      <c r="A1055" s="1828"/>
      <c r="B1055" s="1828"/>
      <c r="C1055" s="1828"/>
      <c r="D1055" s="1828"/>
      <c r="E1055" s="844"/>
      <c r="R1055" s="845"/>
      <c r="S1055" s="845"/>
      <c r="T1055" s="845"/>
      <c r="U1055" s="845"/>
      <c r="V1055" s="845"/>
      <c r="W1055" s="845"/>
      <c r="X1055" s="845"/>
      <c r="Y1055" s="845"/>
    </row>
    <row r="1056" spans="1:25" x14ac:dyDescent="0.2">
      <c r="A1056" s="1828"/>
      <c r="B1056" s="1828"/>
      <c r="C1056" s="1828"/>
      <c r="D1056" s="1828"/>
      <c r="E1056" s="844"/>
      <c r="R1056" s="845"/>
      <c r="S1056" s="845"/>
      <c r="T1056" s="845"/>
      <c r="U1056" s="845"/>
      <c r="V1056" s="845"/>
      <c r="W1056" s="845"/>
      <c r="X1056" s="845"/>
      <c r="Y1056" s="845"/>
    </row>
    <row r="1057" spans="1:25" x14ac:dyDescent="0.2">
      <c r="A1057" s="1828"/>
      <c r="B1057" s="1828"/>
      <c r="C1057" s="1828"/>
      <c r="D1057" s="1828"/>
      <c r="E1057" s="844"/>
      <c r="R1057" s="845"/>
      <c r="S1057" s="845"/>
      <c r="T1057" s="845"/>
      <c r="U1057" s="845"/>
      <c r="V1057" s="845"/>
      <c r="W1057" s="845"/>
      <c r="X1057" s="845"/>
      <c r="Y1057" s="845"/>
    </row>
    <row r="1058" spans="1:25" x14ac:dyDescent="0.2">
      <c r="A1058" s="1828"/>
      <c r="B1058" s="1828"/>
      <c r="C1058" s="1828"/>
      <c r="D1058" s="1828"/>
      <c r="E1058" s="844"/>
      <c r="R1058" s="845"/>
      <c r="S1058" s="845"/>
      <c r="T1058" s="845"/>
      <c r="U1058" s="845"/>
      <c r="V1058" s="845"/>
      <c r="W1058" s="845"/>
      <c r="X1058" s="845"/>
      <c r="Y1058" s="845"/>
    </row>
    <row r="1059" spans="1:25" x14ac:dyDescent="0.2">
      <c r="A1059" s="1828"/>
      <c r="B1059" s="1828"/>
      <c r="C1059" s="1828"/>
      <c r="D1059" s="1828"/>
      <c r="E1059" s="844"/>
      <c r="R1059" s="845"/>
      <c r="S1059" s="845"/>
      <c r="T1059" s="845"/>
      <c r="U1059" s="845"/>
      <c r="V1059" s="845"/>
      <c r="W1059" s="845"/>
      <c r="X1059" s="845"/>
      <c r="Y1059" s="845"/>
    </row>
    <row r="1060" spans="1:25" x14ac:dyDescent="0.2">
      <c r="A1060" s="1828"/>
      <c r="B1060" s="1828"/>
      <c r="C1060" s="1828"/>
      <c r="D1060" s="1828"/>
      <c r="E1060" s="844"/>
      <c r="R1060" s="845"/>
      <c r="S1060" s="845"/>
      <c r="T1060" s="845"/>
      <c r="U1060" s="845"/>
      <c r="V1060" s="845"/>
      <c r="W1060" s="845"/>
      <c r="X1060" s="845"/>
      <c r="Y1060" s="845"/>
    </row>
    <row r="1061" spans="1:25" x14ac:dyDescent="0.2">
      <c r="A1061" s="1828"/>
      <c r="B1061" s="1828"/>
      <c r="C1061" s="1828"/>
      <c r="D1061" s="1828"/>
      <c r="E1061" s="844"/>
      <c r="R1061" s="845"/>
      <c r="S1061" s="845"/>
      <c r="T1061" s="845"/>
      <c r="U1061" s="845"/>
      <c r="V1061" s="845"/>
      <c r="W1061" s="845"/>
      <c r="X1061" s="845"/>
      <c r="Y1061" s="845"/>
    </row>
    <row r="1062" spans="1:25" x14ac:dyDescent="0.2">
      <c r="A1062" s="1828"/>
      <c r="B1062" s="1828"/>
      <c r="C1062" s="1828"/>
      <c r="D1062" s="1828"/>
      <c r="E1062" s="844"/>
      <c r="R1062" s="845"/>
      <c r="S1062" s="845"/>
      <c r="T1062" s="845"/>
      <c r="U1062" s="845"/>
      <c r="V1062" s="845"/>
      <c r="W1062" s="845"/>
      <c r="X1062" s="845"/>
      <c r="Y1062" s="845"/>
    </row>
    <row r="1063" spans="1:25" x14ac:dyDescent="0.2">
      <c r="A1063" s="1828"/>
      <c r="B1063" s="1828"/>
      <c r="C1063" s="1828"/>
      <c r="D1063" s="1828"/>
      <c r="E1063" s="844"/>
      <c r="R1063" s="845"/>
      <c r="S1063" s="845"/>
      <c r="T1063" s="845"/>
      <c r="U1063" s="845"/>
      <c r="V1063" s="845"/>
      <c r="W1063" s="845"/>
      <c r="X1063" s="845"/>
      <c r="Y1063" s="845"/>
    </row>
    <row r="1064" spans="1:25" x14ac:dyDescent="0.2">
      <c r="A1064" s="1828"/>
      <c r="B1064" s="1828"/>
      <c r="C1064" s="1828"/>
      <c r="D1064" s="1828"/>
      <c r="E1064" s="844"/>
      <c r="R1064" s="845"/>
      <c r="S1064" s="845"/>
      <c r="T1064" s="845"/>
      <c r="U1064" s="845"/>
      <c r="V1064" s="845"/>
      <c r="W1064" s="845"/>
      <c r="X1064" s="845"/>
      <c r="Y1064" s="845"/>
    </row>
    <row r="1065" spans="1:25" x14ac:dyDescent="0.2">
      <c r="A1065" s="1828"/>
      <c r="B1065" s="1828"/>
      <c r="C1065" s="1828"/>
      <c r="D1065" s="1828"/>
      <c r="E1065" s="844"/>
      <c r="R1065" s="845"/>
      <c r="S1065" s="845"/>
      <c r="T1065" s="845"/>
      <c r="U1065" s="845"/>
      <c r="V1065" s="845"/>
      <c r="W1065" s="845"/>
      <c r="X1065" s="845"/>
      <c r="Y1065" s="845"/>
    </row>
    <row r="1066" spans="1:25" x14ac:dyDescent="0.2">
      <c r="A1066" s="1828"/>
      <c r="B1066" s="1828"/>
      <c r="C1066" s="1828"/>
      <c r="D1066" s="1828"/>
      <c r="E1066" s="844"/>
      <c r="R1066" s="845"/>
      <c r="S1066" s="845"/>
      <c r="T1066" s="845"/>
      <c r="U1066" s="845"/>
      <c r="V1066" s="845"/>
      <c r="W1066" s="845"/>
      <c r="X1066" s="845"/>
      <c r="Y1066" s="845"/>
    </row>
    <row r="1067" spans="1:25" x14ac:dyDescent="0.2">
      <c r="A1067" s="1828"/>
      <c r="B1067" s="1828"/>
      <c r="C1067" s="1828"/>
      <c r="D1067" s="1828"/>
      <c r="E1067" s="844"/>
      <c r="R1067" s="845"/>
      <c r="S1067" s="845"/>
      <c r="T1067" s="845"/>
      <c r="U1067" s="845"/>
      <c r="V1067" s="845"/>
      <c r="W1067" s="845"/>
      <c r="X1067" s="845"/>
      <c r="Y1067" s="845"/>
    </row>
    <row r="1068" spans="1:25" x14ac:dyDescent="0.2">
      <c r="A1068" s="1828"/>
      <c r="B1068" s="1828"/>
      <c r="C1068" s="1828"/>
      <c r="D1068" s="1828"/>
      <c r="E1068" s="844"/>
      <c r="R1068" s="845"/>
      <c r="S1068" s="845"/>
      <c r="T1068" s="845"/>
      <c r="U1068" s="845"/>
      <c r="V1068" s="845"/>
      <c r="W1068" s="845"/>
      <c r="X1068" s="845"/>
      <c r="Y1068" s="845"/>
    </row>
    <row r="1069" spans="1:25" x14ac:dyDescent="0.2">
      <c r="A1069" s="1828"/>
      <c r="B1069" s="1828"/>
      <c r="C1069" s="1828"/>
      <c r="D1069" s="1828"/>
      <c r="E1069" s="844"/>
      <c r="R1069" s="845"/>
      <c r="S1069" s="845"/>
      <c r="T1069" s="845"/>
      <c r="U1069" s="845"/>
      <c r="V1069" s="845"/>
      <c r="W1069" s="845"/>
      <c r="X1069" s="845"/>
      <c r="Y1069" s="845"/>
    </row>
    <row r="1070" spans="1:25" x14ac:dyDescent="0.2">
      <c r="A1070" s="1828"/>
      <c r="B1070" s="1828"/>
      <c r="C1070" s="1828"/>
      <c r="D1070" s="1828"/>
      <c r="E1070" s="844"/>
      <c r="R1070" s="845"/>
      <c r="S1070" s="845"/>
      <c r="T1070" s="845"/>
      <c r="U1070" s="845"/>
      <c r="V1070" s="845"/>
      <c r="W1070" s="845"/>
      <c r="X1070" s="845"/>
      <c r="Y1070" s="845"/>
    </row>
    <row r="1071" spans="1:25" x14ac:dyDescent="0.2">
      <c r="A1071" s="1828"/>
      <c r="B1071" s="1828"/>
      <c r="C1071" s="1828"/>
      <c r="D1071" s="1828"/>
      <c r="E1071" s="844"/>
      <c r="R1071" s="845"/>
      <c r="S1071" s="845"/>
      <c r="T1071" s="845"/>
      <c r="U1071" s="845"/>
      <c r="V1071" s="845"/>
      <c r="W1071" s="845"/>
      <c r="X1071" s="845"/>
      <c r="Y1071" s="845"/>
    </row>
    <row r="1072" spans="1:25" x14ac:dyDescent="0.2">
      <c r="A1072" s="1828"/>
      <c r="B1072" s="1828"/>
      <c r="C1072" s="1828"/>
      <c r="D1072" s="1828"/>
      <c r="E1072" s="844"/>
      <c r="R1072" s="845"/>
      <c r="S1072" s="845"/>
      <c r="T1072" s="845"/>
      <c r="U1072" s="845"/>
      <c r="V1072" s="845"/>
      <c r="W1072" s="845"/>
      <c r="X1072" s="845"/>
      <c r="Y1072" s="845"/>
    </row>
    <row r="1073" spans="1:25" x14ac:dyDescent="0.2">
      <c r="A1073" s="1828"/>
      <c r="B1073" s="1828"/>
      <c r="C1073" s="1828"/>
      <c r="D1073" s="1828"/>
      <c r="E1073" s="844"/>
      <c r="R1073" s="845"/>
      <c r="S1073" s="845"/>
      <c r="T1073" s="845"/>
      <c r="U1073" s="845"/>
      <c r="V1073" s="845"/>
      <c r="W1073" s="845"/>
      <c r="X1073" s="845"/>
      <c r="Y1073" s="845"/>
    </row>
    <row r="1074" spans="1:25" x14ac:dyDescent="0.2">
      <c r="A1074" s="1828"/>
      <c r="B1074" s="1828"/>
      <c r="C1074" s="1828"/>
      <c r="D1074" s="1828"/>
      <c r="E1074" s="844"/>
      <c r="R1074" s="845"/>
      <c r="S1074" s="845"/>
      <c r="T1074" s="845"/>
      <c r="U1074" s="845"/>
      <c r="V1074" s="845"/>
      <c r="W1074" s="845"/>
      <c r="X1074" s="845"/>
      <c r="Y1074" s="845"/>
    </row>
    <row r="1075" spans="1:25" x14ac:dyDescent="0.2">
      <c r="A1075" s="1828"/>
      <c r="B1075" s="1828"/>
      <c r="C1075" s="1828"/>
      <c r="D1075" s="1828"/>
      <c r="E1075" s="844"/>
      <c r="R1075" s="845"/>
      <c r="S1075" s="845"/>
      <c r="T1075" s="845"/>
      <c r="U1075" s="845"/>
      <c r="V1075" s="845"/>
      <c r="W1075" s="845"/>
      <c r="X1075" s="845"/>
      <c r="Y1075" s="845"/>
    </row>
    <row r="1076" spans="1:25" x14ac:dyDescent="0.2">
      <c r="A1076" s="1828"/>
      <c r="B1076" s="1828"/>
      <c r="C1076" s="1828"/>
      <c r="D1076" s="1828"/>
      <c r="E1076" s="844"/>
      <c r="R1076" s="845"/>
      <c r="S1076" s="845"/>
      <c r="T1076" s="845"/>
      <c r="U1076" s="845"/>
      <c r="V1076" s="845"/>
      <c r="W1076" s="845"/>
      <c r="X1076" s="845"/>
      <c r="Y1076" s="845"/>
    </row>
    <row r="1077" spans="1:25" x14ac:dyDescent="0.2">
      <c r="A1077" s="1828"/>
      <c r="B1077" s="1828"/>
      <c r="C1077" s="1828"/>
      <c r="D1077" s="1828"/>
      <c r="E1077" s="844"/>
      <c r="R1077" s="845"/>
      <c r="S1077" s="845"/>
      <c r="T1077" s="845"/>
      <c r="U1077" s="845"/>
      <c r="V1077" s="845"/>
      <c r="W1077" s="845"/>
      <c r="X1077" s="845"/>
      <c r="Y1077" s="845"/>
    </row>
    <row r="1078" spans="1:25" x14ac:dyDescent="0.2">
      <c r="A1078" s="1828"/>
      <c r="B1078" s="1828"/>
      <c r="C1078" s="1828"/>
      <c r="D1078" s="1828"/>
      <c r="E1078" s="844"/>
      <c r="R1078" s="845"/>
      <c r="S1078" s="845"/>
      <c r="T1078" s="845"/>
      <c r="U1078" s="845"/>
      <c r="V1078" s="845"/>
      <c r="W1078" s="845"/>
      <c r="X1078" s="845"/>
      <c r="Y1078" s="845"/>
    </row>
    <row r="1079" spans="1:25" x14ac:dyDescent="0.2">
      <c r="A1079" s="1828"/>
      <c r="B1079" s="1828"/>
      <c r="C1079" s="1828"/>
      <c r="D1079" s="1828"/>
      <c r="E1079" s="844"/>
      <c r="R1079" s="845"/>
      <c r="S1079" s="845"/>
      <c r="T1079" s="845"/>
      <c r="U1079" s="845"/>
      <c r="V1079" s="845"/>
      <c r="W1079" s="845"/>
      <c r="X1079" s="845"/>
      <c r="Y1079" s="845"/>
    </row>
    <row r="1080" spans="1:25" x14ac:dyDescent="0.2">
      <c r="A1080" s="1828"/>
      <c r="B1080" s="1828"/>
      <c r="C1080" s="1828"/>
      <c r="D1080" s="1828"/>
      <c r="E1080" s="844"/>
      <c r="R1080" s="845"/>
      <c r="S1080" s="845"/>
      <c r="T1080" s="845"/>
      <c r="U1080" s="845"/>
      <c r="V1080" s="845"/>
      <c r="W1080" s="845"/>
      <c r="X1080" s="845"/>
      <c r="Y1080" s="845"/>
    </row>
    <row r="1081" spans="1:25" x14ac:dyDescent="0.2">
      <c r="A1081" s="1828"/>
      <c r="B1081" s="1828"/>
      <c r="C1081" s="1828"/>
      <c r="D1081" s="1828"/>
      <c r="E1081" s="844"/>
      <c r="R1081" s="845"/>
      <c r="S1081" s="845"/>
      <c r="T1081" s="845"/>
      <c r="U1081" s="845"/>
      <c r="V1081" s="845"/>
      <c r="W1081" s="845"/>
      <c r="X1081" s="845"/>
      <c r="Y1081" s="845"/>
    </row>
    <row r="1082" spans="1:25" x14ac:dyDescent="0.2">
      <c r="A1082" s="1828"/>
      <c r="B1082" s="1828"/>
      <c r="C1082" s="1828"/>
      <c r="D1082" s="1828"/>
      <c r="E1082" s="844"/>
      <c r="R1082" s="845"/>
      <c r="S1082" s="845"/>
      <c r="T1082" s="845"/>
      <c r="U1082" s="845"/>
      <c r="V1082" s="845"/>
      <c r="W1082" s="845"/>
      <c r="X1082" s="845"/>
      <c r="Y1082" s="845"/>
    </row>
    <row r="1083" spans="1:25" x14ac:dyDescent="0.2">
      <c r="A1083" s="1828"/>
      <c r="B1083" s="1828"/>
      <c r="C1083" s="1828"/>
      <c r="D1083" s="1828"/>
      <c r="E1083" s="844"/>
      <c r="R1083" s="845"/>
      <c r="S1083" s="845"/>
      <c r="T1083" s="845"/>
      <c r="U1083" s="845"/>
      <c r="V1083" s="845"/>
      <c r="W1083" s="845"/>
      <c r="X1083" s="845"/>
      <c r="Y1083" s="845"/>
    </row>
    <row r="1084" spans="1:25" x14ac:dyDescent="0.2">
      <c r="A1084" s="1828"/>
      <c r="B1084" s="1828"/>
      <c r="C1084" s="1828"/>
      <c r="D1084" s="1828"/>
      <c r="E1084" s="844"/>
      <c r="R1084" s="845"/>
      <c r="S1084" s="845"/>
      <c r="T1084" s="845"/>
      <c r="U1084" s="845"/>
      <c r="V1084" s="845"/>
      <c r="W1084" s="845"/>
      <c r="X1084" s="845"/>
      <c r="Y1084" s="845"/>
    </row>
    <row r="1085" spans="1:25" x14ac:dyDescent="0.2">
      <c r="A1085" s="1828"/>
      <c r="B1085" s="1828"/>
      <c r="C1085" s="1828"/>
      <c r="D1085" s="1828"/>
      <c r="E1085" s="844"/>
      <c r="R1085" s="845"/>
      <c r="S1085" s="845"/>
      <c r="T1085" s="845"/>
      <c r="U1085" s="845"/>
      <c r="V1085" s="845"/>
      <c r="W1085" s="845"/>
      <c r="X1085" s="845"/>
      <c r="Y1085" s="845"/>
    </row>
    <row r="1086" spans="1:25" x14ac:dyDescent="0.2">
      <c r="A1086" s="1828"/>
      <c r="B1086" s="1828"/>
      <c r="C1086" s="1828"/>
      <c r="D1086" s="1828"/>
      <c r="E1086" s="844"/>
      <c r="R1086" s="845"/>
      <c r="S1086" s="845"/>
      <c r="T1086" s="845"/>
      <c r="U1086" s="845"/>
      <c r="V1086" s="845"/>
      <c r="W1086" s="845"/>
      <c r="X1086" s="845"/>
      <c r="Y1086" s="845"/>
    </row>
    <row r="1087" spans="1:25" x14ac:dyDescent="0.2">
      <c r="A1087" s="1828"/>
      <c r="B1087" s="1828"/>
      <c r="C1087" s="1828"/>
      <c r="D1087" s="1828"/>
      <c r="E1087" s="844"/>
      <c r="R1087" s="845"/>
      <c r="S1087" s="845"/>
      <c r="T1087" s="845"/>
      <c r="U1087" s="845"/>
      <c r="V1087" s="845"/>
      <c r="W1087" s="845"/>
      <c r="X1087" s="845"/>
      <c r="Y1087" s="845"/>
    </row>
    <row r="1088" spans="1:25" x14ac:dyDescent="0.2">
      <c r="A1088" s="1828"/>
      <c r="B1088" s="1828"/>
      <c r="C1088" s="1828"/>
      <c r="D1088" s="1828"/>
      <c r="E1088" s="844"/>
      <c r="R1088" s="845"/>
      <c r="S1088" s="845"/>
      <c r="T1088" s="845"/>
      <c r="U1088" s="845"/>
      <c r="V1088" s="845"/>
      <c r="W1088" s="845"/>
      <c r="X1088" s="845"/>
      <c r="Y1088" s="845"/>
    </row>
    <row r="1089" spans="1:25" x14ac:dyDescent="0.2">
      <c r="A1089" s="1828"/>
      <c r="B1089" s="1828"/>
      <c r="C1089" s="1828"/>
      <c r="D1089" s="1828"/>
      <c r="E1089" s="844"/>
      <c r="R1089" s="845"/>
      <c r="S1089" s="845"/>
      <c r="T1089" s="845"/>
      <c r="U1089" s="845"/>
      <c r="V1089" s="845"/>
      <c r="W1089" s="845"/>
      <c r="X1089" s="845"/>
      <c r="Y1089" s="845"/>
    </row>
    <row r="1090" spans="1:25" x14ac:dyDescent="0.2">
      <c r="A1090" s="1828"/>
      <c r="B1090" s="1828"/>
      <c r="C1090" s="1828"/>
      <c r="D1090" s="1828"/>
      <c r="E1090" s="844"/>
      <c r="R1090" s="845"/>
      <c r="S1090" s="845"/>
      <c r="T1090" s="845"/>
      <c r="U1090" s="845"/>
      <c r="V1090" s="845"/>
      <c r="W1090" s="845"/>
      <c r="X1090" s="845"/>
      <c r="Y1090" s="845"/>
    </row>
    <row r="1091" spans="1:25" x14ac:dyDescent="0.2">
      <c r="A1091" s="1828"/>
      <c r="B1091" s="1828"/>
      <c r="C1091" s="1828"/>
      <c r="D1091" s="1828"/>
      <c r="E1091" s="844"/>
      <c r="R1091" s="845"/>
      <c r="S1091" s="845"/>
      <c r="T1091" s="845"/>
      <c r="U1091" s="845"/>
      <c r="V1091" s="845"/>
      <c r="W1091" s="845"/>
      <c r="X1091" s="845"/>
      <c r="Y1091" s="845"/>
    </row>
    <row r="1092" spans="1:25" x14ac:dyDescent="0.2">
      <c r="A1092" s="1828"/>
      <c r="B1092" s="1828"/>
      <c r="C1092" s="1828"/>
      <c r="D1092" s="1828"/>
      <c r="E1092" s="844"/>
      <c r="R1092" s="845"/>
      <c r="S1092" s="845"/>
      <c r="T1092" s="845"/>
      <c r="U1092" s="845"/>
      <c r="V1092" s="845"/>
      <c r="W1092" s="845"/>
      <c r="X1092" s="845"/>
      <c r="Y1092" s="845"/>
    </row>
    <row r="1093" spans="1:25" x14ac:dyDescent="0.2">
      <c r="A1093" s="1828"/>
      <c r="B1093" s="1828"/>
      <c r="C1093" s="1828"/>
      <c r="D1093" s="1828"/>
      <c r="E1093" s="844"/>
      <c r="R1093" s="845"/>
      <c r="S1093" s="845"/>
      <c r="T1093" s="845"/>
      <c r="U1093" s="845"/>
      <c r="V1093" s="845"/>
      <c r="W1093" s="845"/>
      <c r="X1093" s="845"/>
      <c r="Y1093" s="845"/>
    </row>
    <row r="1094" spans="1:25" x14ac:dyDescent="0.2">
      <c r="A1094" s="1828"/>
      <c r="B1094" s="1828"/>
      <c r="C1094" s="1828"/>
      <c r="D1094" s="1828"/>
      <c r="E1094" s="844"/>
      <c r="R1094" s="845"/>
      <c r="S1094" s="845"/>
      <c r="T1094" s="845"/>
      <c r="U1094" s="845"/>
      <c r="V1094" s="845"/>
      <c r="W1094" s="845"/>
      <c r="X1094" s="845"/>
      <c r="Y1094" s="845"/>
    </row>
    <row r="1095" spans="1:25" x14ac:dyDescent="0.2">
      <c r="A1095" s="1828"/>
      <c r="B1095" s="1828"/>
      <c r="C1095" s="1828"/>
      <c r="D1095" s="1828"/>
      <c r="E1095" s="844"/>
      <c r="R1095" s="845"/>
      <c r="S1095" s="845"/>
      <c r="T1095" s="845"/>
      <c r="U1095" s="845"/>
      <c r="V1095" s="845"/>
      <c r="W1095" s="845"/>
      <c r="X1095" s="845"/>
      <c r="Y1095" s="845"/>
    </row>
    <row r="1096" spans="1:25" x14ac:dyDescent="0.2">
      <c r="A1096" s="1828"/>
      <c r="B1096" s="1828"/>
      <c r="C1096" s="1828"/>
      <c r="D1096" s="1828"/>
      <c r="E1096" s="844"/>
      <c r="R1096" s="845"/>
      <c r="S1096" s="845"/>
      <c r="T1096" s="845"/>
      <c r="U1096" s="845"/>
      <c r="V1096" s="845"/>
      <c r="W1096" s="845"/>
      <c r="X1096" s="845"/>
      <c r="Y1096" s="845"/>
    </row>
    <row r="1097" spans="1:25" x14ac:dyDescent="0.2">
      <c r="A1097" s="1828"/>
      <c r="B1097" s="1828"/>
      <c r="C1097" s="1828"/>
      <c r="D1097" s="1828"/>
      <c r="E1097" s="844"/>
      <c r="R1097" s="845"/>
      <c r="S1097" s="845"/>
      <c r="T1097" s="845"/>
      <c r="U1097" s="845"/>
      <c r="V1097" s="845"/>
      <c r="W1097" s="845"/>
      <c r="X1097" s="845"/>
      <c r="Y1097" s="845"/>
    </row>
    <row r="1098" spans="1:25" x14ac:dyDescent="0.2">
      <c r="A1098" s="1828"/>
      <c r="B1098" s="1828"/>
      <c r="C1098" s="1828"/>
      <c r="D1098" s="1828"/>
      <c r="E1098" s="844"/>
      <c r="R1098" s="845"/>
      <c r="S1098" s="845"/>
      <c r="T1098" s="845"/>
      <c r="U1098" s="845"/>
      <c r="V1098" s="845"/>
      <c r="W1098" s="845"/>
      <c r="X1098" s="845"/>
      <c r="Y1098" s="845"/>
    </row>
    <row r="1099" spans="1:25" x14ac:dyDescent="0.2">
      <c r="A1099" s="1828"/>
      <c r="B1099" s="1828"/>
      <c r="C1099" s="1828"/>
      <c r="D1099" s="1828"/>
      <c r="E1099" s="844"/>
      <c r="R1099" s="845"/>
      <c r="S1099" s="845"/>
      <c r="T1099" s="845"/>
      <c r="U1099" s="845"/>
      <c r="V1099" s="845"/>
      <c r="W1099" s="845"/>
      <c r="X1099" s="845"/>
      <c r="Y1099" s="845"/>
    </row>
    <row r="1100" spans="1:25" x14ac:dyDescent="0.2">
      <c r="A1100" s="1828"/>
      <c r="B1100" s="1828"/>
      <c r="C1100" s="1828"/>
      <c r="D1100" s="1828"/>
      <c r="E1100" s="844"/>
      <c r="R1100" s="845"/>
      <c r="S1100" s="845"/>
      <c r="T1100" s="845"/>
      <c r="U1100" s="845"/>
      <c r="V1100" s="845"/>
      <c r="W1100" s="845"/>
      <c r="X1100" s="845"/>
      <c r="Y1100" s="845"/>
    </row>
    <row r="1101" spans="1:25" x14ac:dyDescent="0.2">
      <c r="A1101" s="1828"/>
      <c r="B1101" s="1828"/>
      <c r="C1101" s="1828"/>
      <c r="D1101" s="1828"/>
      <c r="E1101" s="844"/>
      <c r="R1101" s="845"/>
      <c r="S1101" s="845"/>
      <c r="T1101" s="845"/>
      <c r="U1101" s="845"/>
      <c r="V1101" s="845"/>
      <c r="W1101" s="845"/>
      <c r="X1101" s="845"/>
      <c r="Y1101" s="845"/>
    </row>
    <row r="1102" spans="1:25" x14ac:dyDescent="0.2">
      <c r="A1102" s="1828"/>
      <c r="B1102" s="1828"/>
      <c r="C1102" s="1828"/>
      <c r="D1102" s="1828"/>
      <c r="E1102" s="844"/>
      <c r="R1102" s="845"/>
      <c r="S1102" s="845"/>
      <c r="T1102" s="845"/>
      <c r="U1102" s="845"/>
      <c r="V1102" s="845"/>
      <c r="W1102" s="845"/>
      <c r="X1102" s="845"/>
      <c r="Y1102" s="845"/>
    </row>
    <row r="1103" spans="1:25" x14ac:dyDescent="0.2">
      <c r="A1103" s="1828"/>
      <c r="B1103" s="1828"/>
      <c r="C1103" s="1828"/>
      <c r="D1103" s="1828"/>
      <c r="E1103" s="844"/>
      <c r="R1103" s="845"/>
      <c r="S1103" s="845"/>
      <c r="T1103" s="845"/>
      <c r="U1103" s="845"/>
      <c r="V1103" s="845"/>
      <c r="W1103" s="845"/>
      <c r="X1103" s="845"/>
      <c r="Y1103" s="845"/>
    </row>
    <row r="1104" spans="1:25" x14ac:dyDescent="0.2">
      <c r="A1104" s="1828"/>
      <c r="B1104" s="1828"/>
      <c r="C1104" s="1828"/>
      <c r="D1104" s="1828"/>
      <c r="E1104" s="844"/>
      <c r="R1104" s="845"/>
      <c r="S1104" s="845"/>
      <c r="T1104" s="845"/>
      <c r="U1104" s="845"/>
      <c r="V1104" s="845"/>
      <c r="W1104" s="845"/>
      <c r="X1104" s="845"/>
      <c r="Y1104" s="845"/>
    </row>
    <row r="1105" spans="1:25" x14ac:dyDescent="0.2">
      <c r="A1105" s="1828"/>
      <c r="B1105" s="1828"/>
      <c r="C1105" s="1828"/>
      <c r="D1105" s="1828"/>
      <c r="E1105" s="844"/>
      <c r="R1105" s="845"/>
      <c r="S1105" s="845"/>
      <c r="T1105" s="845"/>
      <c r="U1105" s="845"/>
      <c r="V1105" s="845"/>
      <c r="W1105" s="845"/>
      <c r="X1105" s="845"/>
      <c r="Y1105" s="845"/>
    </row>
    <row r="1106" spans="1:25" x14ac:dyDescent="0.2">
      <c r="A1106" s="1828"/>
      <c r="B1106" s="1828"/>
      <c r="C1106" s="1828"/>
      <c r="D1106" s="1828"/>
      <c r="E1106" s="844"/>
      <c r="R1106" s="845"/>
      <c r="S1106" s="845"/>
      <c r="T1106" s="845"/>
      <c r="U1106" s="845"/>
      <c r="V1106" s="845"/>
      <c r="W1106" s="845"/>
      <c r="X1106" s="845"/>
      <c r="Y1106" s="845"/>
    </row>
    <row r="1107" spans="1:25" x14ac:dyDescent="0.2">
      <c r="A1107" s="1828"/>
      <c r="B1107" s="1828"/>
      <c r="C1107" s="1828"/>
      <c r="D1107" s="1828"/>
      <c r="E1107" s="844"/>
      <c r="R1107" s="845"/>
      <c r="S1107" s="845"/>
      <c r="T1107" s="845"/>
      <c r="U1107" s="845"/>
      <c r="V1107" s="845"/>
      <c r="W1107" s="845"/>
      <c r="X1107" s="845"/>
      <c r="Y1107" s="845"/>
    </row>
    <row r="1108" spans="1:25" x14ac:dyDescent="0.2">
      <c r="A1108" s="1828"/>
      <c r="B1108" s="1828"/>
      <c r="C1108" s="1828"/>
      <c r="D1108" s="1828"/>
      <c r="E1108" s="844"/>
      <c r="R1108" s="845"/>
      <c r="S1108" s="845"/>
      <c r="T1108" s="845"/>
      <c r="U1108" s="845"/>
      <c r="V1108" s="845"/>
      <c r="W1108" s="845"/>
      <c r="X1108" s="845"/>
      <c r="Y1108" s="845"/>
    </row>
    <row r="1109" spans="1:25" x14ac:dyDescent="0.2">
      <c r="A1109" s="1828"/>
      <c r="B1109" s="1828"/>
      <c r="C1109" s="1828"/>
      <c r="D1109" s="1828"/>
      <c r="E1109" s="844"/>
      <c r="R1109" s="845"/>
      <c r="S1109" s="845"/>
      <c r="T1109" s="845"/>
      <c r="U1109" s="845"/>
      <c r="V1109" s="845"/>
      <c r="W1109" s="845"/>
      <c r="X1109" s="845"/>
      <c r="Y1109" s="845"/>
    </row>
    <row r="1110" spans="1:25" x14ac:dyDescent="0.2">
      <c r="A1110" s="1828"/>
      <c r="B1110" s="1828"/>
      <c r="C1110" s="1828"/>
      <c r="D1110" s="1828"/>
      <c r="E1110" s="844"/>
      <c r="R1110" s="845"/>
      <c r="S1110" s="845"/>
      <c r="T1110" s="845"/>
      <c r="U1110" s="845"/>
      <c r="V1110" s="845"/>
      <c r="W1110" s="845"/>
      <c r="X1110" s="845"/>
      <c r="Y1110" s="845"/>
    </row>
    <row r="1111" spans="1:25" x14ac:dyDescent="0.2">
      <c r="A1111" s="1828"/>
      <c r="B1111" s="1828"/>
      <c r="C1111" s="1828"/>
      <c r="D1111" s="1828"/>
      <c r="E1111" s="844"/>
      <c r="R1111" s="845"/>
      <c r="S1111" s="845"/>
      <c r="T1111" s="845"/>
      <c r="U1111" s="845"/>
      <c r="V1111" s="845"/>
      <c r="W1111" s="845"/>
      <c r="X1111" s="845"/>
      <c r="Y1111" s="845"/>
    </row>
    <row r="1112" spans="1:25" x14ac:dyDescent="0.2">
      <c r="A1112" s="1828"/>
      <c r="B1112" s="1828"/>
      <c r="C1112" s="1828"/>
      <c r="D1112" s="1828"/>
      <c r="E1112" s="844"/>
      <c r="R1112" s="845"/>
      <c r="S1112" s="845"/>
      <c r="T1112" s="845"/>
      <c r="U1112" s="845"/>
      <c r="V1112" s="845"/>
      <c r="W1112" s="845"/>
      <c r="X1112" s="845"/>
      <c r="Y1112" s="845"/>
    </row>
    <row r="1113" spans="1:25" x14ac:dyDescent="0.2">
      <c r="A1113" s="1828"/>
      <c r="B1113" s="1828"/>
      <c r="C1113" s="1828"/>
      <c r="D1113" s="1828"/>
      <c r="E1113" s="844"/>
      <c r="R1113" s="845"/>
      <c r="S1113" s="845"/>
      <c r="T1113" s="845"/>
      <c r="U1113" s="845"/>
      <c r="V1113" s="845"/>
      <c r="W1113" s="845"/>
      <c r="X1113" s="845"/>
      <c r="Y1113" s="845"/>
    </row>
    <row r="1114" spans="1:25" x14ac:dyDescent="0.2">
      <c r="A1114" s="1828"/>
      <c r="B1114" s="1828"/>
      <c r="C1114" s="1828"/>
      <c r="D1114" s="1828"/>
      <c r="E1114" s="844"/>
      <c r="R1114" s="845"/>
      <c r="S1114" s="845"/>
      <c r="T1114" s="845"/>
      <c r="U1114" s="845"/>
      <c r="V1114" s="845"/>
      <c r="W1114" s="845"/>
      <c r="X1114" s="845"/>
      <c r="Y1114" s="845"/>
    </row>
    <row r="1115" spans="1:25" x14ac:dyDescent="0.2">
      <c r="A1115" s="1828"/>
      <c r="B1115" s="1828"/>
      <c r="C1115" s="1828"/>
      <c r="D1115" s="1828"/>
      <c r="E1115" s="844"/>
      <c r="R1115" s="845"/>
      <c r="S1115" s="845"/>
      <c r="T1115" s="845"/>
      <c r="U1115" s="845"/>
      <c r="V1115" s="845"/>
      <c r="W1115" s="845"/>
      <c r="X1115" s="845"/>
      <c r="Y1115" s="845"/>
    </row>
    <row r="1116" spans="1:25" x14ac:dyDescent="0.2">
      <c r="A1116" s="1828"/>
      <c r="B1116" s="1828"/>
      <c r="C1116" s="1828"/>
      <c r="D1116" s="1828"/>
      <c r="E1116" s="844"/>
      <c r="R1116" s="845"/>
      <c r="S1116" s="845"/>
      <c r="T1116" s="845"/>
      <c r="U1116" s="845"/>
      <c r="V1116" s="845"/>
      <c r="W1116" s="845"/>
      <c r="X1116" s="845"/>
      <c r="Y1116" s="845"/>
    </row>
    <row r="1117" spans="1:25" x14ac:dyDescent="0.2">
      <c r="A1117" s="1828"/>
      <c r="B1117" s="1828"/>
      <c r="C1117" s="1828"/>
      <c r="D1117" s="1828"/>
      <c r="E1117" s="844"/>
      <c r="R1117" s="845"/>
      <c r="S1117" s="845"/>
      <c r="T1117" s="845"/>
      <c r="U1117" s="845"/>
      <c r="V1117" s="845"/>
      <c r="W1117" s="845"/>
      <c r="X1117" s="845"/>
      <c r="Y1117" s="845"/>
    </row>
    <row r="1118" spans="1:25" x14ac:dyDescent="0.2">
      <c r="A1118" s="1828"/>
      <c r="B1118" s="1828"/>
      <c r="C1118" s="1828"/>
      <c r="D1118" s="1828"/>
      <c r="E1118" s="844"/>
      <c r="R1118" s="845"/>
      <c r="S1118" s="845"/>
      <c r="T1118" s="845"/>
      <c r="U1118" s="845"/>
      <c r="V1118" s="845"/>
      <c r="W1118" s="845"/>
      <c r="X1118" s="845"/>
      <c r="Y1118" s="845"/>
    </row>
    <row r="1119" spans="1:25" x14ac:dyDescent="0.2">
      <c r="A1119" s="1828"/>
      <c r="B1119" s="1828"/>
      <c r="C1119" s="1828"/>
      <c r="D1119" s="1828"/>
      <c r="E1119" s="844"/>
      <c r="R1119" s="845"/>
      <c r="S1119" s="845"/>
      <c r="T1119" s="845"/>
      <c r="U1119" s="845"/>
      <c r="V1119" s="845"/>
      <c r="W1119" s="845"/>
      <c r="X1119" s="845"/>
      <c r="Y1119" s="845"/>
    </row>
    <row r="1120" spans="1:25" x14ac:dyDescent="0.2">
      <c r="A1120" s="1828"/>
      <c r="B1120" s="1828"/>
      <c r="C1120" s="1828"/>
      <c r="D1120" s="1828"/>
      <c r="E1120" s="844"/>
      <c r="R1120" s="845"/>
      <c r="S1120" s="845"/>
      <c r="T1120" s="845"/>
      <c r="U1120" s="845"/>
      <c r="V1120" s="845"/>
      <c r="W1120" s="845"/>
      <c r="X1120" s="845"/>
      <c r="Y1120" s="845"/>
    </row>
    <row r="1121" spans="1:25" x14ac:dyDescent="0.2">
      <c r="A1121" s="1828"/>
      <c r="B1121" s="1828"/>
      <c r="C1121" s="1828"/>
      <c r="D1121" s="1828"/>
      <c r="E1121" s="844"/>
      <c r="R1121" s="845"/>
      <c r="S1121" s="845"/>
      <c r="T1121" s="845"/>
      <c r="U1121" s="845"/>
      <c r="V1121" s="845"/>
      <c r="W1121" s="845"/>
      <c r="X1121" s="845"/>
      <c r="Y1121" s="845"/>
    </row>
    <row r="1122" spans="1:25" x14ac:dyDescent="0.2">
      <c r="A1122" s="1828"/>
      <c r="B1122" s="1828"/>
      <c r="C1122" s="1828"/>
      <c r="D1122" s="1828"/>
      <c r="E1122" s="844"/>
      <c r="R1122" s="845"/>
      <c r="S1122" s="845"/>
      <c r="T1122" s="845"/>
      <c r="U1122" s="845"/>
      <c r="V1122" s="845"/>
      <c r="W1122" s="845"/>
      <c r="X1122" s="845"/>
      <c r="Y1122" s="845"/>
    </row>
    <row r="1123" spans="1:25" x14ac:dyDescent="0.2">
      <c r="A1123" s="1828"/>
      <c r="B1123" s="1828"/>
      <c r="C1123" s="1828"/>
      <c r="D1123" s="1828"/>
      <c r="E1123" s="844"/>
      <c r="R1123" s="845"/>
      <c r="S1123" s="845"/>
      <c r="T1123" s="845"/>
      <c r="U1123" s="845"/>
      <c r="V1123" s="845"/>
      <c r="W1123" s="845"/>
      <c r="X1123" s="845"/>
      <c r="Y1123" s="845"/>
    </row>
    <row r="1124" spans="1:25" x14ac:dyDescent="0.2">
      <c r="A1124" s="1828"/>
      <c r="B1124" s="1828"/>
      <c r="C1124" s="1828"/>
      <c r="D1124" s="1828"/>
      <c r="E1124" s="844"/>
      <c r="R1124" s="845"/>
      <c r="S1124" s="845"/>
      <c r="T1124" s="845"/>
      <c r="U1124" s="845"/>
      <c r="V1124" s="845"/>
      <c r="W1124" s="845"/>
      <c r="X1124" s="845"/>
      <c r="Y1124" s="845"/>
    </row>
    <row r="1125" spans="1:25" x14ac:dyDescent="0.2">
      <c r="A1125" s="1828"/>
      <c r="B1125" s="1828"/>
      <c r="C1125" s="1828"/>
      <c r="D1125" s="1828"/>
      <c r="E1125" s="844"/>
      <c r="R1125" s="845"/>
      <c r="S1125" s="845"/>
      <c r="T1125" s="845"/>
      <c r="U1125" s="845"/>
      <c r="V1125" s="845"/>
      <c r="W1125" s="845"/>
      <c r="X1125" s="845"/>
      <c r="Y1125" s="845"/>
    </row>
    <row r="1126" spans="1:25" x14ac:dyDescent="0.2">
      <c r="A1126" s="1828"/>
      <c r="B1126" s="1828"/>
      <c r="C1126" s="1828"/>
      <c r="D1126" s="1828"/>
      <c r="E1126" s="844"/>
      <c r="R1126" s="845"/>
      <c r="S1126" s="845"/>
      <c r="T1126" s="845"/>
      <c r="U1126" s="845"/>
      <c r="V1126" s="845"/>
      <c r="W1126" s="845"/>
      <c r="X1126" s="845"/>
      <c r="Y1126" s="845"/>
    </row>
    <row r="1127" spans="1:25" x14ac:dyDescent="0.2">
      <c r="A1127" s="1828"/>
      <c r="B1127" s="1828"/>
      <c r="C1127" s="1828"/>
      <c r="D1127" s="1828"/>
      <c r="E1127" s="844"/>
      <c r="R1127" s="845"/>
      <c r="S1127" s="845"/>
      <c r="T1127" s="845"/>
      <c r="U1127" s="845"/>
      <c r="V1127" s="845"/>
      <c r="W1127" s="845"/>
      <c r="X1127" s="845"/>
      <c r="Y1127" s="845"/>
    </row>
    <row r="1128" spans="1:25" x14ac:dyDescent="0.2">
      <c r="A1128" s="1828"/>
      <c r="B1128" s="1828"/>
      <c r="C1128" s="1828"/>
      <c r="D1128" s="1828"/>
      <c r="E1128" s="844"/>
      <c r="R1128" s="845"/>
      <c r="S1128" s="845"/>
      <c r="T1128" s="845"/>
      <c r="U1128" s="845"/>
      <c r="V1128" s="845"/>
      <c r="W1128" s="845"/>
      <c r="X1128" s="845"/>
      <c r="Y1128" s="845"/>
    </row>
    <row r="1129" spans="1:25" x14ac:dyDescent="0.2">
      <c r="A1129" s="1828"/>
      <c r="B1129" s="1828"/>
      <c r="C1129" s="1828"/>
      <c r="D1129" s="1828"/>
      <c r="E1129" s="844"/>
      <c r="R1129" s="845"/>
      <c r="S1129" s="845"/>
      <c r="T1129" s="845"/>
      <c r="U1129" s="845"/>
      <c r="V1129" s="845"/>
      <c r="W1129" s="845"/>
      <c r="X1129" s="845"/>
      <c r="Y1129" s="845"/>
    </row>
    <row r="1130" spans="1:25" x14ac:dyDescent="0.2">
      <c r="A1130" s="1828"/>
      <c r="B1130" s="1828"/>
      <c r="C1130" s="1828"/>
      <c r="D1130" s="1828"/>
      <c r="E1130" s="844"/>
      <c r="R1130" s="845"/>
      <c r="S1130" s="845"/>
      <c r="T1130" s="845"/>
      <c r="U1130" s="845"/>
      <c r="V1130" s="845"/>
      <c r="W1130" s="845"/>
      <c r="X1130" s="845"/>
      <c r="Y1130" s="845"/>
    </row>
    <row r="1131" spans="1:25" x14ac:dyDescent="0.2">
      <c r="A1131" s="1828"/>
      <c r="B1131" s="1828"/>
      <c r="C1131" s="1828"/>
      <c r="D1131" s="1828"/>
      <c r="E1131" s="844"/>
      <c r="R1131" s="845"/>
      <c r="S1131" s="845"/>
      <c r="T1131" s="845"/>
      <c r="U1131" s="845"/>
      <c r="V1131" s="845"/>
      <c r="W1131" s="845"/>
      <c r="X1131" s="845"/>
      <c r="Y1131" s="845"/>
    </row>
    <row r="1132" spans="1:25" x14ac:dyDescent="0.2">
      <c r="A1132" s="1828"/>
      <c r="B1132" s="1828"/>
      <c r="C1132" s="1828"/>
      <c r="D1132" s="1828"/>
      <c r="E1132" s="844"/>
      <c r="R1132" s="845"/>
      <c r="S1132" s="845"/>
      <c r="T1132" s="845"/>
      <c r="U1132" s="845"/>
      <c r="V1132" s="845"/>
      <c r="W1132" s="845"/>
      <c r="X1132" s="845"/>
      <c r="Y1132" s="845"/>
    </row>
    <row r="1133" spans="1:25" x14ac:dyDescent="0.2">
      <c r="A1133" s="1828"/>
      <c r="B1133" s="1828"/>
      <c r="C1133" s="1828"/>
      <c r="D1133" s="1828"/>
      <c r="E1133" s="844"/>
      <c r="R1133" s="845"/>
      <c r="S1133" s="845"/>
      <c r="T1133" s="845"/>
      <c r="U1133" s="845"/>
      <c r="V1133" s="845"/>
      <c r="W1133" s="845"/>
      <c r="X1133" s="845"/>
      <c r="Y1133" s="845"/>
    </row>
    <row r="1134" spans="1:25" x14ac:dyDescent="0.2">
      <c r="A1134" s="1828"/>
      <c r="B1134" s="1828"/>
      <c r="C1134" s="1828"/>
      <c r="D1134" s="1828"/>
      <c r="E1134" s="844"/>
      <c r="R1134" s="845"/>
      <c r="S1134" s="845"/>
      <c r="T1134" s="845"/>
      <c r="U1134" s="845"/>
      <c r="V1134" s="845"/>
      <c r="W1134" s="845"/>
      <c r="X1134" s="845"/>
      <c r="Y1134" s="845"/>
    </row>
    <row r="1135" spans="1:25" x14ac:dyDescent="0.2">
      <c r="A1135" s="1828"/>
      <c r="B1135" s="1828"/>
      <c r="C1135" s="1828"/>
      <c r="D1135" s="1828"/>
      <c r="E1135" s="844"/>
      <c r="R1135" s="845"/>
      <c r="S1135" s="845"/>
      <c r="T1135" s="845"/>
      <c r="U1135" s="845"/>
      <c r="V1135" s="845"/>
      <c r="W1135" s="845"/>
      <c r="X1135" s="845"/>
      <c r="Y1135" s="845"/>
    </row>
    <row r="1136" spans="1:25" x14ac:dyDescent="0.2">
      <c r="A1136" s="1828"/>
      <c r="B1136" s="1828"/>
      <c r="C1136" s="1828"/>
      <c r="D1136" s="1828"/>
      <c r="E1136" s="844"/>
      <c r="R1136" s="845"/>
      <c r="S1136" s="845"/>
      <c r="T1136" s="845"/>
      <c r="U1136" s="845"/>
      <c r="V1136" s="845"/>
      <c r="W1136" s="845"/>
      <c r="X1136" s="845"/>
      <c r="Y1136" s="845"/>
    </row>
    <row r="1137" spans="1:25" x14ac:dyDescent="0.2">
      <c r="A1137" s="1828"/>
      <c r="B1137" s="1828"/>
      <c r="C1137" s="1828"/>
      <c r="D1137" s="1828"/>
      <c r="E1137" s="844"/>
      <c r="R1137" s="845"/>
      <c r="S1137" s="845"/>
      <c r="T1137" s="845"/>
      <c r="U1137" s="845"/>
      <c r="V1137" s="845"/>
      <c r="W1137" s="845"/>
      <c r="X1137" s="845"/>
      <c r="Y1137" s="845"/>
    </row>
    <row r="1138" spans="1:25" x14ac:dyDescent="0.2">
      <c r="A1138" s="1828"/>
      <c r="B1138" s="1828"/>
      <c r="C1138" s="1828"/>
      <c r="D1138" s="1828"/>
      <c r="E1138" s="844"/>
      <c r="R1138" s="845"/>
      <c r="S1138" s="845"/>
      <c r="T1138" s="845"/>
      <c r="U1138" s="845"/>
      <c r="V1138" s="845"/>
      <c r="W1138" s="845"/>
      <c r="X1138" s="845"/>
      <c r="Y1138" s="845"/>
    </row>
    <row r="1139" spans="1:25" x14ac:dyDescent="0.2">
      <c r="A1139" s="1828"/>
      <c r="B1139" s="1828"/>
      <c r="C1139" s="1828"/>
      <c r="D1139" s="1828"/>
      <c r="E1139" s="844"/>
      <c r="R1139" s="845"/>
      <c r="S1139" s="845"/>
      <c r="T1139" s="845"/>
      <c r="U1139" s="845"/>
      <c r="V1139" s="845"/>
      <c r="W1139" s="845"/>
      <c r="X1139" s="845"/>
      <c r="Y1139" s="845"/>
    </row>
    <row r="1140" spans="1:25" x14ac:dyDescent="0.2">
      <c r="A1140" s="1828"/>
      <c r="B1140" s="1828"/>
      <c r="C1140" s="1828"/>
      <c r="D1140" s="1828"/>
      <c r="E1140" s="844"/>
      <c r="R1140" s="845"/>
      <c r="S1140" s="845"/>
      <c r="T1140" s="845"/>
      <c r="U1140" s="845"/>
      <c r="V1140" s="845"/>
      <c r="W1140" s="845"/>
      <c r="X1140" s="845"/>
      <c r="Y1140" s="845"/>
    </row>
    <row r="1141" spans="1:25" x14ac:dyDescent="0.2">
      <c r="A1141" s="1828"/>
      <c r="B1141" s="1828"/>
      <c r="C1141" s="1828"/>
      <c r="D1141" s="1828"/>
      <c r="E1141" s="844"/>
      <c r="R1141" s="845"/>
      <c r="S1141" s="845"/>
      <c r="T1141" s="845"/>
      <c r="U1141" s="845"/>
      <c r="V1141" s="845"/>
      <c r="W1141" s="845"/>
      <c r="X1141" s="845"/>
      <c r="Y1141" s="845"/>
    </row>
    <row r="1142" spans="1:25" x14ac:dyDescent="0.2">
      <c r="A1142" s="1828"/>
      <c r="B1142" s="1828"/>
      <c r="C1142" s="1828"/>
      <c r="D1142" s="1828"/>
      <c r="E1142" s="844"/>
      <c r="R1142" s="845"/>
      <c r="S1142" s="845"/>
      <c r="T1142" s="845"/>
      <c r="U1142" s="845"/>
      <c r="V1142" s="845"/>
      <c r="W1142" s="845"/>
      <c r="X1142" s="845"/>
      <c r="Y1142" s="845"/>
    </row>
    <row r="1143" spans="1:25" x14ac:dyDescent="0.2">
      <c r="A1143" s="1828"/>
      <c r="B1143" s="1828"/>
      <c r="C1143" s="1828"/>
      <c r="D1143" s="1828"/>
      <c r="E1143" s="844"/>
      <c r="R1143" s="845"/>
      <c r="S1143" s="845"/>
      <c r="T1143" s="845"/>
      <c r="U1143" s="845"/>
      <c r="V1143" s="845"/>
      <c r="W1143" s="845"/>
      <c r="X1143" s="845"/>
      <c r="Y1143" s="845"/>
    </row>
    <row r="1144" spans="1:25" x14ac:dyDescent="0.2">
      <c r="A1144" s="1828"/>
      <c r="B1144" s="1828"/>
      <c r="C1144" s="1828"/>
      <c r="D1144" s="1828"/>
      <c r="E1144" s="844"/>
      <c r="R1144" s="845"/>
      <c r="S1144" s="845"/>
      <c r="T1144" s="845"/>
      <c r="U1144" s="845"/>
      <c r="V1144" s="845"/>
      <c r="W1144" s="845"/>
      <c r="X1144" s="845"/>
      <c r="Y1144" s="845"/>
    </row>
    <row r="1145" spans="1:25" x14ac:dyDescent="0.2">
      <c r="A1145" s="1828"/>
      <c r="B1145" s="1828"/>
      <c r="C1145" s="1828"/>
      <c r="D1145" s="1828"/>
      <c r="E1145" s="844"/>
      <c r="R1145" s="845"/>
      <c r="S1145" s="845"/>
      <c r="T1145" s="845"/>
      <c r="U1145" s="845"/>
      <c r="V1145" s="845"/>
      <c r="W1145" s="845"/>
      <c r="X1145" s="845"/>
      <c r="Y1145" s="845"/>
    </row>
    <row r="1146" spans="1:25" x14ac:dyDescent="0.2">
      <c r="A1146" s="1828"/>
      <c r="B1146" s="1828"/>
      <c r="C1146" s="1828"/>
      <c r="D1146" s="1828"/>
      <c r="E1146" s="844"/>
      <c r="R1146" s="845"/>
      <c r="S1146" s="845"/>
      <c r="T1146" s="845"/>
      <c r="U1146" s="845"/>
      <c r="V1146" s="845"/>
      <c r="W1146" s="845"/>
      <c r="X1146" s="845"/>
      <c r="Y1146" s="845"/>
    </row>
    <row r="1147" spans="1:25" x14ac:dyDescent="0.2">
      <c r="A1147" s="1828"/>
      <c r="B1147" s="1828"/>
      <c r="C1147" s="1828"/>
      <c r="D1147" s="1828"/>
      <c r="E1147" s="844"/>
      <c r="R1147" s="845"/>
      <c r="S1147" s="845"/>
      <c r="T1147" s="845"/>
      <c r="U1147" s="845"/>
      <c r="V1147" s="845"/>
      <c r="W1147" s="845"/>
      <c r="X1147" s="845"/>
      <c r="Y1147" s="845"/>
    </row>
    <row r="1148" spans="1:25" x14ac:dyDescent="0.2">
      <c r="A1148" s="1828"/>
      <c r="B1148" s="1828"/>
      <c r="C1148" s="1828"/>
      <c r="D1148" s="1828"/>
      <c r="E1148" s="844"/>
      <c r="R1148" s="845"/>
      <c r="S1148" s="845"/>
      <c r="T1148" s="845"/>
      <c r="U1148" s="845"/>
      <c r="V1148" s="845"/>
      <c r="W1148" s="845"/>
      <c r="X1148" s="845"/>
      <c r="Y1148" s="845"/>
    </row>
    <row r="1149" spans="1:25" x14ac:dyDescent="0.2">
      <c r="A1149" s="1828"/>
      <c r="B1149" s="1828"/>
      <c r="C1149" s="1828"/>
      <c r="D1149" s="1828"/>
      <c r="E1149" s="844"/>
      <c r="R1149" s="845"/>
      <c r="S1149" s="845"/>
      <c r="T1149" s="845"/>
      <c r="U1149" s="845"/>
      <c r="V1149" s="845"/>
      <c r="W1149" s="845"/>
      <c r="X1149" s="845"/>
      <c r="Y1149" s="845"/>
    </row>
    <row r="1150" spans="1:25" x14ac:dyDescent="0.2">
      <c r="A1150" s="1828"/>
      <c r="B1150" s="1828"/>
      <c r="C1150" s="1828"/>
      <c r="D1150" s="1828"/>
      <c r="E1150" s="844"/>
      <c r="R1150" s="845"/>
      <c r="S1150" s="845"/>
      <c r="T1150" s="845"/>
      <c r="U1150" s="845"/>
      <c r="V1150" s="845"/>
      <c r="W1150" s="845"/>
      <c r="X1150" s="845"/>
      <c r="Y1150" s="845"/>
    </row>
    <row r="1151" spans="1:25" x14ac:dyDescent="0.2">
      <c r="A1151" s="1828"/>
      <c r="B1151" s="1828"/>
      <c r="C1151" s="1828"/>
      <c r="D1151" s="1828"/>
      <c r="E1151" s="844"/>
      <c r="R1151" s="845"/>
      <c r="S1151" s="845"/>
      <c r="T1151" s="845"/>
      <c r="U1151" s="845"/>
      <c r="V1151" s="845"/>
      <c r="W1151" s="845"/>
      <c r="X1151" s="845"/>
      <c r="Y1151" s="845"/>
    </row>
    <row r="1152" spans="1:25" x14ac:dyDescent="0.2">
      <c r="A1152" s="1828"/>
      <c r="B1152" s="1828"/>
      <c r="C1152" s="1828"/>
      <c r="D1152" s="1828"/>
      <c r="E1152" s="844"/>
      <c r="R1152" s="845"/>
      <c r="S1152" s="845"/>
      <c r="T1152" s="845"/>
      <c r="U1152" s="845"/>
      <c r="V1152" s="845"/>
      <c r="W1152" s="845"/>
      <c r="X1152" s="845"/>
      <c r="Y1152" s="845"/>
    </row>
    <row r="1153" spans="1:25" x14ac:dyDescent="0.2">
      <c r="A1153" s="1828"/>
      <c r="B1153" s="1828"/>
      <c r="C1153" s="1828"/>
      <c r="D1153" s="1828"/>
      <c r="E1153" s="844"/>
      <c r="R1153" s="845"/>
      <c r="S1153" s="845"/>
      <c r="T1153" s="845"/>
      <c r="U1153" s="845"/>
      <c r="V1153" s="845"/>
      <c r="W1153" s="845"/>
      <c r="X1153" s="845"/>
      <c r="Y1153" s="845"/>
    </row>
    <row r="1154" spans="1:25" x14ac:dyDescent="0.2">
      <c r="A1154" s="1828"/>
      <c r="B1154" s="1828"/>
      <c r="C1154" s="1828"/>
      <c r="D1154" s="1828"/>
      <c r="E1154" s="844"/>
      <c r="R1154" s="845"/>
      <c r="S1154" s="845"/>
      <c r="T1154" s="845"/>
      <c r="U1154" s="845"/>
      <c r="V1154" s="845"/>
      <c r="W1154" s="845"/>
      <c r="X1154" s="845"/>
      <c r="Y1154" s="845"/>
    </row>
    <row r="1155" spans="1:25" x14ac:dyDescent="0.2">
      <c r="A1155" s="1828"/>
      <c r="B1155" s="1828"/>
      <c r="C1155" s="1828"/>
      <c r="D1155" s="1828"/>
      <c r="E1155" s="844"/>
      <c r="R1155" s="845"/>
      <c r="S1155" s="845"/>
      <c r="T1155" s="845"/>
      <c r="U1155" s="845"/>
      <c r="V1155" s="845"/>
      <c r="W1155" s="845"/>
      <c r="X1155" s="845"/>
      <c r="Y1155" s="845"/>
    </row>
    <row r="1156" spans="1:25" x14ac:dyDescent="0.2">
      <c r="A1156" s="1828"/>
      <c r="B1156" s="1828"/>
      <c r="C1156" s="1828"/>
      <c r="D1156" s="1828"/>
      <c r="E1156" s="844"/>
      <c r="R1156" s="845"/>
      <c r="S1156" s="845"/>
      <c r="T1156" s="845"/>
      <c r="U1156" s="845"/>
      <c r="V1156" s="845"/>
      <c r="W1156" s="845"/>
      <c r="X1156" s="845"/>
      <c r="Y1156" s="845"/>
    </row>
    <row r="1157" spans="1:25" x14ac:dyDescent="0.2">
      <c r="A1157" s="1828"/>
      <c r="B1157" s="1828"/>
      <c r="C1157" s="1828"/>
      <c r="D1157" s="1828"/>
      <c r="E1157" s="844"/>
      <c r="R1157" s="845"/>
      <c r="S1157" s="845"/>
      <c r="T1157" s="845"/>
      <c r="U1157" s="845"/>
      <c r="V1157" s="845"/>
      <c r="W1157" s="845"/>
      <c r="X1157" s="845"/>
      <c r="Y1157" s="845"/>
    </row>
    <row r="1158" spans="1:25" x14ac:dyDescent="0.2">
      <c r="A1158" s="1828"/>
      <c r="B1158" s="1828"/>
      <c r="C1158" s="1828"/>
      <c r="D1158" s="1828"/>
      <c r="E1158" s="844"/>
      <c r="R1158" s="845"/>
      <c r="S1158" s="845"/>
      <c r="T1158" s="845"/>
      <c r="U1158" s="845"/>
      <c r="V1158" s="845"/>
      <c r="W1158" s="845"/>
      <c r="X1158" s="845"/>
      <c r="Y1158" s="845"/>
    </row>
    <row r="1159" spans="1:25" x14ac:dyDescent="0.2">
      <c r="A1159" s="1828"/>
      <c r="B1159" s="1828"/>
      <c r="C1159" s="1828"/>
      <c r="D1159" s="1828"/>
      <c r="E1159" s="844"/>
      <c r="R1159" s="845"/>
      <c r="S1159" s="845"/>
      <c r="T1159" s="845"/>
      <c r="U1159" s="845"/>
      <c r="V1159" s="845"/>
      <c r="W1159" s="845"/>
      <c r="X1159" s="845"/>
      <c r="Y1159" s="845"/>
    </row>
    <row r="1160" spans="1:25" x14ac:dyDescent="0.2">
      <c r="A1160" s="1828"/>
      <c r="B1160" s="1828"/>
      <c r="C1160" s="1828"/>
      <c r="D1160" s="1828"/>
      <c r="E1160" s="844"/>
      <c r="R1160" s="845"/>
      <c r="S1160" s="845"/>
      <c r="T1160" s="845"/>
      <c r="U1160" s="845"/>
      <c r="V1160" s="845"/>
      <c r="W1160" s="845"/>
      <c r="X1160" s="845"/>
      <c r="Y1160" s="845"/>
    </row>
    <row r="1161" spans="1:25" x14ac:dyDescent="0.2">
      <c r="A1161" s="1828"/>
      <c r="B1161" s="1828"/>
      <c r="C1161" s="1828"/>
      <c r="D1161" s="1828"/>
      <c r="E1161" s="844"/>
      <c r="R1161" s="845"/>
      <c r="S1161" s="845"/>
      <c r="T1161" s="845"/>
      <c r="U1161" s="845"/>
      <c r="V1161" s="845"/>
      <c r="W1161" s="845"/>
      <c r="X1161" s="845"/>
      <c r="Y1161" s="845"/>
    </row>
    <row r="1162" spans="1:25" x14ac:dyDescent="0.2">
      <c r="A1162" s="1828"/>
      <c r="B1162" s="1828"/>
      <c r="C1162" s="1828"/>
      <c r="D1162" s="1828"/>
      <c r="E1162" s="844"/>
      <c r="R1162" s="845"/>
      <c r="S1162" s="845"/>
      <c r="T1162" s="845"/>
      <c r="U1162" s="845"/>
      <c r="V1162" s="845"/>
      <c r="W1162" s="845"/>
      <c r="X1162" s="845"/>
      <c r="Y1162" s="845"/>
    </row>
    <row r="1163" spans="1:25" x14ac:dyDescent="0.2">
      <c r="A1163" s="1828"/>
      <c r="B1163" s="1828"/>
      <c r="C1163" s="1828"/>
      <c r="D1163" s="1828"/>
      <c r="E1163" s="844"/>
      <c r="R1163" s="845"/>
      <c r="S1163" s="845"/>
      <c r="T1163" s="845"/>
      <c r="U1163" s="845"/>
      <c r="V1163" s="845"/>
      <c r="W1163" s="845"/>
      <c r="X1163" s="845"/>
      <c r="Y1163" s="845"/>
    </row>
    <row r="1164" spans="1:25" x14ac:dyDescent="0.2">
      <c r="A1164" s="1828"/>
      <c r="B1164" s="1828"/>
      <c r="C1164" s="1828"/>
      <c r="D1164" s="1828"/>
      <c r="E1164" s="844"/>
      <c r="R1164" s="845"/>
      <c r="S1164" s="845"/>
      <c r="T1164" s="845"/>
      <c r="U1164" s="845"/>
      <c r="V1164" s="845"/>
      <c r="W1164" s="845"/>
      <c r="X1164" s="845"/>
      <c r="Y1164" s="845"/>
    </row>
    <row r="1165" spans="1:25" x14ac:dyDescent="0.2">
      <c r="A1165" s="1828"/>
      <c r="B1165" s="1828"/>
      <c r="C1165" s="1828"/>
      <c r="D1165" s="1828"/>
      <c r="E1165" s="844"/>
      <c r="R1165" s="845"/>
      <c r="S1165" s="845"/>
      <c r="T1165" s="845"/>
      <c r="U1165" s="845"/>
      <c r="V1165" s="845"/>
      <c r="W1165" s="845"/>
      <c r="X1165" s="845"/>
      <c r="Y1165" s="845"/>
    </row>
    <row r="1166" spans="1:25" x14ac:dyDescent="0.2">
      <c r="A1166" s="1828"/>
      <c r="B1166" s="1828"/>
      <c r="C1166" s="1828"/>
      <c r="D1166" s="1828"/>
      <c r="E1166" s="844"/>
      <c r="R1166" s="845"/>
      <c r="S1166" s="845"/>
      <c r="T1166" s="845"/>
      <c r="U1166" s="845"/>
      <c r="V1166" s="845"/>
      <c r="W1166" s="845"/>
      <c r="X1166" s="845"/>
      <c r="Y1166" s="845"/>
    </row>
    <row r="1167" spans="1:25" x14ac:dyDescent="0.2">
      <c r="A1167" s="1828"/>
      <c r="B1167" s="1828"/>
      <c r="C1167" s="1828"/>
      <c r="D1167" s="1828"/>
      <c r="E1167" s="844"/>
      <c r="R1167" s="845"/>
      <c r="S1167" s="845"/>
      <c r="T1167" s="845"/>
      <c r="U1167" s="845"/>
      <c r="V1167" s="845"/>
      <c r="W1167" s="845"/>
      <c r="X1167" s="845"/>
      <c r="Y1167" s="845"/>
    </row>
    <row r="1168" spans="1:25" x14ac:dyDescent="0.2">
      <c r="A1168" s="1828"/>
      <c r="B1168" s="1828"/>
      <c r="C1168" s="1828"/>
      <c r="D1168" s="1828"/>
      <c r="E1168" s="844"/>
      <c r="R1168" s="845"/>
      <c r="S1168" s="845"/>
      <c r="T1168" s="845"/>
      <c r="U1168" s="845"/>
      <c r="V1168" s="845"/>
      <c r="W1168" s="845"/>
      <c r="X1168" s="845"/>
      <c r="Y1168" s="845"/>
    </row>
    <row r="1169" spans="1:25" x14ac:dyDescent="0.2">
      <c r="A1169" s="1828"/>
      <c r="B1169" s="1828"/>
      <c r="C1169" s="1828"/>
      <c r="D1169" s="1828"/>
      <c r="E1169" s="844"/>
      <c r="R1169" s="845"/>
      <c r="S1169" s="845"/>
      <c r="T1169" s="845"/>
      <c r="U1169" s="845"/>
      <c r="V1169" s="845"/>
      <c r="W1169" s="845"/>
      <c r="X1169" s="845"/>
      <c r="Y1169" s="845"/>
    </row>
    <row r="1170" spans="1:25" x14ac:dyDescent="0.2">
      <c r="A1170" s="1828"/>
      <c r="B1170" s="1828"/>
      <c r="C1170" s="1828"/>
      <c r="D1170" s="1828"/>
      <c r="E1170" s="844"/>
      <c r="R1170" s="845"/>
      <c r="S1170" s="845"/>
      <c r="T1170" s="845"/>
      <c r="U1170" s="845"/>
      <c r="V1170" s="845"/>
      <c r="W1170" s="845"/>
      <c r="X1170" s="845"/>
      <c r="Y1170" s="845"/>
    </row>
    <row r="1171" spans="1:25" x14ac:dyDescent="0.2">
      <c r="A1171" s="1828"/>
      <c r="B1171" s="1828"/>
      <c r="C1171" s="1828"/>
      <c r="D1171" s="1828"/>
      <c r="E1171" s="844"/>
      <c r="R1171" s="845"/>
      <c r="S1171" s="845"/>
      <c r="T1171" s="845"/>
      <c r="U1171" s="845"/>
      <c r="V1171" s="845"/>
      <c r="W1171" s="845"/>
      <c r="X1171" s="845"/>
      <c r="Y1171" s="845"/>
    </row>
    <row r="1172" spans="1:25" x14ac:dyDescent="0.2">
      <c r="A1172" s="1828"/>
      <c r="B1172" s="1828"/>
      <c r="C1172" s="1828"/>
      <c r="D1172" s="1828"/>
      <c r="E1172" s="844"/>
      <c r="R1172" s="845"/>
      <c r="S1172" s="845"/>
      <c r="T1172" s="845"/>
      <c r="U1172" s="845"/>
      <c r="V1172" s="845"/>
      <c r="W1172" s="845"/>
      <c r="X1172" s="845"/>
      <c r="Y1172" s="845"/>
    </row>
    <row r="1173" spans="1:25" x14ac:dyDescent="0.2">
      <c r="A1173" s="1828"/>
      <c r="B1173" s="1828"/>
      <c r="C1173" s="1828"/>
      <c r="D1173" s="1828"/>
      <c r="E1173" s="844"/>
      <c r="R1173" s="845"/>
      <c r="S1173" s="845"/>
      <c r="T1173" s="845"/>
      <c r="U1173" s="845"/>
      <c r="V1173" s="845"/>
      <c r="W1173" s="845"/>
      <c r="X1173" s="845"/>
      <c r="Y1173" s="845"/>
    </row>
    <row r="1174" spans="1:25" x14ac:dyDescent="0.2">
      <c r="A1174" s="1828"/>
      <c r="B1174" s="1828"/>
      <c r="C1174" s="1828"/>
      <c r="D1174" s="1828"/>
      <c r="E1174" s="844"/>
      <c r="R1174" s="845"/>
      <c r="S1174" s="845"/>
      <c r="T1174" s="845"/>
      <c r="U1174" s="845"/>
      <c r="V1174" s="845"/>
      <c r="W1174" s="845"/>
      <c r="X1174" s="845"/>
      <c r="Y1174" s="845"/>
    </row>
    <row r="1175" spans="1:25" x14ac:dyDescent="0.2">
      <c r="A1175" s="1828"/>
      <c r="B1175" s="1828"/>
      <c r="C1175" s="1828"/>
      <c r="D1175" s="1828"/>
      <c r="E1175" s="844"/>
      <c r="R1175" s="845"/>
      <c r="S1175" s="845"/>
      <c r="T1175" s="845"/>
      <c r="U1175" s="845"/>
      <c r="V1175" s="845"/>
      <c r="W1175" s="845"/>
      <c r="X1175" s="845"/>
      <c r="Y1175" s="845"/>
    </row>
    <row r="1176" spans="1:25" x14ac:dyDescent="0.2">
      <c r="A1176" s="1828"/>
      <c r="B1176" s="1828"/>
      <c r="C1176" s="1828"/>
      <c r="D1176" s="1828"/>
      <c r="E1176" s="844"/>
      <c r="R1176" s="845"/>
      <c r="S1176" s="845"/>
      <c r="T1176" s="845"/>
      <c r="U1176" s="845"/>
      <c r="V1176" s="845"/>
      <c r="W1176" s="845"/>
      <c r="X1176" s="845"/>
      <c r="Y1176" s="845"/>
    </row>
    <row r="1177" spans="1:25" x14ac:dyDescent="0.2">
      <c r="A1177" s="1828"/>
      <c r="B1177" s="1828"/>
      <c r="C1177" s="1828"/>
      <c r="D1177" s="1828"/>
      <c r="E1177" s="844"/>
      <c r="R1177" s="845"/>
      <c r="S1177" s="845"/>
      <c r="T1177" s="845"/>
      <c r="U1177" s="845"/>
      <c r="V1177" s="845"/>
      <c r="W1177" s="845"/>
      <c r="X1177" s="845"/>
      <c r="Y1177" s="845"/>
    </row>
    <row r="1178" spans="1:25" x14ac:dyDescent="0.2">
      <c r="A1178" s="1828"/>
      <c r="B1178" s="1828"/>
      <c r="C1178" s="1828"/>
      <c r="D1178" s="1828"/>
      <c r="E1178" s="844"/>
      <c r="R1178" s="845"/>
      <c r="S1178" s="845"/>
      <c r="T1178" s="845"/>
      <c r="U1178" s="845"/>
      <c r="V1178" s="845"/>
      <c r="W1178" s="845"/>
      <c r="X1178" s="845"/>
      <c r="Y1178" s="845"/>
    </row>
    <row r="1179" spans="1:25" x14ac:dyDescent="0.2">
      <c r="A1179" s="1828"/>
      <c r="B1179" s="1828"/>
      <c r="C1179" s="1828"/>
      <c r="D1179" s="1828"/>
      <c r="E1179" s="844"/>
      <c r="R1179" s="845"/>
      <c r="S1179" s="845"/>
      <c r="T1179" s="845"/>
      <c r="U1179" s="845"/>
      <c r="V1179" s="845"/>
      <c r="W1179" s="845"/>
      <c r="X1179" s="845"/>
      <c r="Y1179" s="845"/>
    </row>
    <row r="1180" spans="1:25" x14ac:dyDescent="0.2">
      <c r="A1180" s="1828"/>
      <c r="B1180" s="1828"/>
      <c r="C1180" s="1828"/>
      <c r="D1180" s="1828"/>
      <c r="E1180" s="844"/>
      <c r="R1180" s="845"/>
      <c r="S1180" s="845"/>
      <c r="T1180" s="845"/>
      <c r="U1180" s="845"/>
      <c r="V1180" s="845"/>
      <c r="W1180" s="845"/>
      <c r="X1180" s="845"/>
      <c r="Y1180" s="845"/>
    </row>
    <row r="1181" spans="1:25" x14ac:dyDescent="0.2">
      <c r="A1181" s="1828"/>
      <c r="B1181" s="1828"/>
      <c r="C1181" s="1828"/>
      <c r="D1181" s="1828"/>
      <c r="E1181" s="844"/>
      <c r="R1181" s="845"/>
      <c r="S1181" s="845"/>
      <c r="T1181" s="845"/>
      <c r="U1181" s="845"/>
      <c r="V1181" s="845"/>
      <c r="W1181" s="845"/>
      <c r="X1181" s="845"/>
      <c r="Y1181" s="845"/>
    </row>
    <row r="1182" spans="1:25" x14ac:dyDescent="0.2">
      <c r="A1182" s="1828"/>
      <c r="B1182" s="1828"/>
      <c r="C1182" s="1828"/>
      <c r="D1182" s="1828"/>
      <c r="E1182" s="844"/>
      <c r="R1182" s="845"/>
      <c r="S1182" s="845"/>
      <c r="T1182" s="845"/>
      <c r="U1182" s="845"/>
      <c r="V1182" s="845"/>
      <c r="W1182" s="845"/>
      <c r="X1182" s="845"/>
      <c r="Y1182" s="845"/>
    </row>
    <row r="1183" spans="1:25" x14ac:dyDescent="0.2">
      <c r="A1183" s="1828"/>
      <c r="B1183" s="1828"/>
      <c r="C1183" s="1828"/>
      <c r="D1183" s="1828"/>
      <c r="E1183" s="844"/>
      <c r="R1183" s="845"/>
      <c r="S1183" s="845"/>
      <c r="T1183" s="845"/>
      <c r="U1183" s="845"/>
      <c r="V1183" s="845"/>
      <c r="W1183" s="845"/>
      <c r="X1183" s="845"/>
      <c r="Y1183" s="845"/>
    </row>
    <row r="1184" spans="1:25" x14ac:dyDescent="0.2">
      <c r="A1184" s="1828"/>
      <c r="B1184" s="1828"/>
      <c r="C1184" s="1828"/>
      <c r="D1184" s="1828"/>
      <c r="E1184" s="844"/>
      <c r="R1184" s="845"/>
      <c r="S1184" s="845"/>
      <c r="T1184" s="845"/>
      <c r="U1184" s="845"/>
      <c r="V1184" s="845"/>
      <c r="W1184" s="845"/>
      <c r="X1184" s="845"/>
      <c r="Y1184" s="845"/>
    </row>
    <row r="1185" spans="1:25" x14ac:dyDescent="0.2">
      <c r="A1185" s="1828"/>
      <c r="B1185" s="1828"/>
      <c r="C1185" s="1828"/>
      <c r="D1185" s="1828"/>
      <c r="E1185" s="844"/>
      <c r="R1185" s="845"/>
      <c r="S1185" s="845"/>
      <c r="T1185" s="845"/>
      <c r="U1185" s="845"/>
      <c r="V1185" s="845"/>
      <c r="W1185" s="845"/>
      <c r="X1185" s="845"/>
      <c r="Y1185" s="845"/>
    </row>
    <row r="1186" spans="1:25" x14ac:dyDescent="0.2">
      <c r="A1186" s="1828"/>
      <c r="B1186" s="1828"/>
      <c r="C1186" s="1828"/>
      <c r="D1186" s="1828"/>
      <c r="E1186" s="844"/>
      <c r="R1186" s="845"/>
      <c r="S1186" s="845"/>
      <c r="T1186" s="845"/>
      <c r="U1186" s="845"/>
      <c r="V1186" s="845"/>
      <c r="W1186" s="845"/>
      <c r="X1186" s="845"/>
      <c r="Y1186" s="845"/>
    </row>
    <row r="1187" spans="1:25" x14ac:dyDescent="0.2">
      <c r="A1187" s="1828"/>
      <c r="B1187" s="1828"/>
      <c r="C1187" s="1828"/>
      <c r="D1187" s="1828"/>
      <c r="E1187" s="844"/>
      <c r="R1187" s="845"/>
      <c r="S1187" s="845"/>
      <c r="T1187" s="845"/>
      <c r="U1187" s="845"/>
      <c r="V1187" s="845"/>
      <c r="W1187" s="845"/>
      <c r="X1187" s="845"/>
      <c r="Y1187" s="845"/>
    </row>
    <row r="1188" spans="1:25" x14ac:dyDescent="0.2">
      <c r="A1188" s="1828"/>
      <c r="B1188" s="1828"/>
      <c r="C1188" s="1828"/>
      <c r="D1188" s="1828"/>
      <c r="E1188" s="844"/>
      <c r="R1188" s="845"/>
      <c r="S1188" s="845"/>
      <c r="T1188" s="845"/>
      <c r="U1188" s="845"/>
      <c r="V1188" s="845"/>
      <c r="W1188" s="845"/>
      <c r="X1188" s="845"/>
      <c r="Y1188" s="845"/>
    </row>
    <row r="1189" spans="1:25" x14ac:dyDescent="0.2">
      <c r="A1189" s="1828"/>
      <c r="B1189" s="1828"/>
      <c r="C1189" s="1828"/>
      <c r="D1189" s="1828"/>
      <c r="E1189" s="844"/>
      <c r="R1189" s="845"/>
      <c r="S1189" s="845"/>
      <c r="T1189" s="845"/>
      <c r="U1189" s="845"/>
      <c r="V1189" s="845"/>
      <c r="W1189" s="845"/>
      <c r="X1189" s="845"/>
      <c r="Y1189" s="845"/>
    </row>
    <row r="1190" spans="1:25" x14ac:dyDescent="0.2">
      <c r="A1190" s="1828"/>
      <c r="B1190" s="1828"/>
      <c r="C1190" s="1828"/>
      <c r="D1190" s="1828"/>
      <c r="E1190" s="844"/>
      <c r="R1190" s="845"/>
      <c r="S1190" s="845"/>
      <c r="T1190" s="845"/>
      <c r="U1190" s="845"/>
      <c r="V1190" s="845"/>
      <c r="W1190" s="845"/>
      <c r="X1190" s="845"/>
      <c r="Y1190" s="845"/>
    </row>
    <row r="1191" spans="1:25" x14ac:dyDescent="0.2">
      <c r="A1191" s="1828"/>
      <c r="B1191" s="1828"/>
      <c r="C1191" s="1828"/>
      <c r="D1191" s="1828"/>
      <c r="E1191" s="844"/>
      <c r="R1191" s="845"/>
      <c r="S1191" s="845"/>
      <c r="T1191" s="845"/>
      <c r="U1191" s="845"/>
      <c r="V1191" s="845"/>
      <c r="W1191" s="845"/>
      <c r="X1191" s="845"/>
      <c r="Y1191" s="845"/>
    </row>
    <row r="1192" spans="1:25" x14ac:dyDescent="0.2">
      <c r="A1192" s="1828"/>
      <c r="B1192" s="1828"/>
      <c r="C1192" s="1828"/>
      <c r="D1192" s="1828"/>
      <c r="E1192" s="844"/>
      <c r="R1192" s="845"/>
      <c r="S1192" s="845"/>
      <c r="T1192" s="845"/>
      <c r="U1192" s="845"/>
      <c r="V1192" s="845"/>
      <c r="W1192" s="845"/>
      <c r="X1192" s="845"/>
      <c r="Y1192" s="845"/>
    </row>
    <row r="1193" spans="1:25" x14ac:dyDescent="0.2">
      <c r="A1193" s="1828"/>
      <c r="B1193" s="1828"/>
      <c r="C1193" s="1828"/>
      <c r="D1193" s="1828"/>
      <c r="E1193" s="844"/>
      <c r="R1193" s="845"/>
      <c r="S1193" s="845"/>
      <c r="T1193" s="845"/>
      <c r="U1193" s="845"/>
      <c r="V1193" s="845"/>
      <c r="W1193" s="845"/>
      <c r="X1193" s="845"/>
      <c r="Y1193" s="845"/>
    </row>
    <row r="1194" spans="1:25" x14ac:dyDescent="0.2">
      <c r="A1194" s="1828"/>
      <c r="B1194" s="1828"/>
      <c r="C1194" s="1828"/>
      <c r="D1194" s="1828"/>
      <c r="E1194" s="844"/>
      <c r="R1194" s="845"/>
      <c r="S1194" s="845"/>
      <c r="T1194" s="845"/>
      <c r="U1194" s="845"/>
      <c r="V1194" s="845"/>
      <c r="W1194" s="845"/>
      <c r="X1194" s="845"/>
      <c r="Y1194" s="845"/>
    </row>
    <row r="1195" spans="1:25" x14ac:dyDescent="0.2">
      <c r="A1195" s="1828"/>
      <c r="B1195" s="1828"/>
      <c r="C1195" s="1828"/>
      <c r="D1195" s="1828"/>
      <c r="E1195" s="844"/>
      <c r="R1195" s="845"/>
      <c r="S1195" s="845"/>
      <c r="T1195" s="845"/>
      <c r="U1195" s="845"/>
      <c r="V1195" s="845"/>
      <c r="W1195" s="845"/>
      <c r="X1195" s="845"/>
      <c r="Y1195" s="845"/>
    </row>
    <row r="1196" spans="1:25" x14ac:dyDescent="0.2">
      <c r="A1196" s="1828"/>
      <c r="B1196" s="1828"/>
      <c r="C1196" s="1828"/>
      <c r="D1196" s="1828"/>
      <c r="E1196" s="844"/>
      <c r="R1196" s="845"/>
      <c r="S1196" s="845"/>
      <c r="T1196" s="845"/>
      <c r="U1196" s="845"/>
      <c r="V1196" s="845"/>
      <c r="W1196" s="845"/>
      <c r="X1196" s="845"/>
      <c r="Y1196" s="845"/>
    </row>
    <row r="1197" spans="1:25" x14ac:dyDescent="0.2">
      <c r="A1197" s="1828"/>
      <c r="B1197" s="1828"/>
      <c r="C1197" s="1828"/>
      <c r="D1197" s="1828"/>
      <c r="E1197" s="844"/>
      <c r="R1197" s="845"/>
      <c r="S1197" s="845"/>
      <c r="T1197" s="845"/>
      <c r="U1197" s="845"/>
      <c r="V1197" s="845"/>
      <c r="W1197" s="845"/>
      <c r="X1197" s="845"/>
      <c r="Y1197" s="845"/>
    </row>
    <row r="1198" spans="1:25" x14ac:dyDescent="0.2">
      <c r="A1198" s="1828"/>
      <c r="B1198" s="1828"/>
      <c r="C1198" s="1828"/>
      <c r="D1198" s="1828"/>
      <c r="E1198" s="844"/>
      <c r="R1198" s="845"/>
      <c r="S1198" s="845"/>
      <c r="T1198" s="845"/>
      <c r="U1198" s="845"/>
      <c r="V1198" s="845"/>
      <c r="W1198" s="845"/>
      <c r="X1198" s="845"/>
      <c r="Y1198" s="845"/>
    </row>
    <row r="1199" spans="1:25" x14ac:dyDescent="0.2">
      <c r="A1199" s="1828"/>
      <c r="B1199" s="1828"/>
      <c r="C1199" s="1828"/>
      <c r="D1199" s="1828"/>
      <c r="E1199" s="844"/>
      <c r="R1199" s="845"/>
      <c r="S1199" s="845"/>
      <c r="T1199" s="845"/>
      <c r="U1199" s="845"/>
      <c r="V1199" s="845"/>
      <c r="W1199" s="845"/>
      <c r="X1199" s="845"/>
      <c r="Y1199" s="845"/>
    </row>
    <row r="1200" spans="1:25" x14ac:dyDescent="0.2">
      <c r="A1200" s="1828"/>
      <c r="B1200" s="1828"/>
      <c r="C1200" s="1828"/>
      <c r="D1200" s="1828"/>
      <c r="E1200" s="844"/>
      <c r="R1200" s="845"/>
      <c r="S1200" s="845"/>
      <c r="T1200" s="845"/>
      <c r="U1200" s="845"/>
      <c r="V1200" s="845"/>
      <c r="W1200" s="845"/>
      <c r="X1200" s="845"/>
      <c r="Y1200" s="845"/>
    </row>
    <row r="1201" spans="1:25" x14ac:dyDescent="0.2">
      <c r="A1201" s="1828"/>
      <c r="B1201" s="1828"/>
      <c r="C1201" s="1828"/>
      <c r="D1201" s="1828"/>
      <c r="E1201" s="844"/>
      <c r="R1201" s="845"/>
      <c r="S1201" s="845"/>
      <c r="T1201" s="845"/>
      <c r="U1201" s="845"/>
      <c r="V1201" s="845"/>
      <c r="W1201" s="845"/>
      <c r="X1201" s="845"/>
      <c r="Y1201" s="845"/>
    </row>
    <row r="1202" spans="1:25" x14ac:dyDescent="0.2">
      <c r="A1202" s="1828"/>
      <c r="B1202" s="1828"/>
      <c r="C1202" s="1828"/>
      <c r="D1202" s="1828"/>
      <c r="E1202" s="844"/>
      <c r="R1202" s="845"/>
      <c r="S1202" s="845"/>
      <c r="T1202" s="845"/>
      <c r="U1202" s="845"/>
      <c r="V1202" s="845"/>
      <c r="W1202" s="845"/>
      <c r="X1202" s="845"/>
      <c r="Y1202" s="845"/>
    </row>
    <row r="1203" spans="1:25" x14ac:dyDescent="0.2">
      <c r="A1203" s="1828"/>
      <c r="B1203" s="1828"/>
      <c r="C1203" s="1828"/>
      <c r="D1203" s="1828"/>
      <c r="E1203" s="844"/>
      <c r="R1203" s="845"/>
      <c r="S1203" s="845"/>
      <c r="T1203" s="845"/>
      <c r="U1203" s="845"/>
      <c r="V1203" s="845"/>
      <c r="W1203" s="845"/>
      <c r="X1203" s="845"/>
      <c r="Y1203" s="845"/>
    </row>
    <row r="1204" spans="1:25" x14ac:dyDescent="0.2">
      <c r="A1204" s="1828"/>
      <c r="B1204" s="1828"/>
      <c r="C1204" s="1828"/>
      <c r="D1204" s="1828"/>
      <c r="E1204" s="844"/>
      <c r="R1204" s="845"/>
      <c r="S1204" s="845"/>
      <c r="T1204" s="845"/>
      <c r="U1204" s="845"/>
      <c r="V1204" s="845"/>
      <c r="W1204" s="845"/>
      <c r="X1204" s="845"/>
      <c r="Y1204" s="845"/>
    </row>
    <row r="1205" spans="1:25" x14ac:dyDescent="0.2">
      <c r="A1205" s="1828"/>
      <c r="B1205" s="1828"/>
      <c r="C1205" s="1828"/>
      <c r="D1205" s="1828"/>
      <c r="E1205" s="844"/>
      <c r="R1205" s="845"/>
      <c r="S1205" s="845"/>
      <c r="T1205" s="845"/>
      <c r="U1205" s="845"/>
      <c r="V1205" s="845"/>
      <c r="W1205" s="845"/>
      <c r="X1205" s="845"/>
      <c r="Y1205" s="845"/>
    </row>
    <row r="1206" spans="1:25" x14ac:dyDescent="0.2">
      <c r="A1206" s="1828"/>
      <c r="B1206" s="1828"/>
      <c r="C1206" s="1828"/>
      <c r="D1206" s="1828"/>
      <c r="E1206" s="844"/>
      <c r="R1206" s="845"/>
      <c r="S1206" s="845"/>
      <c r="T1206" s="845"/>
      <c r="U1206" s="845"/>
      <c r="V1206" s="845"/>
      <c r="W1206" s="845"/>
      <c r="X1206" s="845"/>
      <c r="Y1206" s="845"/>
    </row>
    <row r="1207" spans="1:25" x14ac:dyDescent="0.2">
      <c r="A1207" s="1828"/>
      <c r="B1207" s="1828"/>
      <c r="C1207" s="1828"/>
      <c r="D1207" s="1828"/>
      <c r="E1207" s="844"/>
      <c r="R1207" s="845"/>
      <c r="S1207" s="845"/>
      <c r="T1207" s="845"/>
      <c r="U1207" s="845"/>
      <c r="V1207" s="845"/>
      <c r="W1207" s="845"/>
      <c r="X1207" s="845"/>
      <c r="Y1207" s="845"/>
    </row>
    <row r="1208" spans="1:25" x14ac:dyDescent="0.2">
      <c r="A1208" s="1828"/>
      <c r="B1208" s="1828"/>
      <c r="C1208" s="1828"/>
      <c r="D1208" s="1828"/>
      <c r="E1208" s="844"/>
      <c r="R1208" s="845"/>
      <c r="S1208" s="845"/>
      <c r="T1208" s="845"/>
      <c r="U1208" s="845"/>
      <c r="V1208" s="845"/>
      <c r="W1208" s="845"/>
      <c r="X1208" s="845"/>
      <c r="Y1208" s="845"/>
    </row>
    <row r="1209" spans="1:25" x14ac:dyDescent="0.2">
      <c r="A1209" s="1828"/>
      <c r="B1209" s="1828"/>
      <c r="C1209" s="1828"/>
      <c r="D1209" s="1828"/>
      <c r="E1209" s="844"/>
      <c r="R1209" s="845"/>
      <c r="S1209" s="845"/>
      <c r="T1209" s="845"/>
      <c r="U1209" s="845"/>
      <c r="V1209" s="845"/>
      <c r="W1209" s="845"/>
      <c r="X1209" s="845"/>
      <c r="Y1209" s="845"/>
    </row>
    <row r="1210" spans="1:25" x14ac:dyDescent="0.2">
      <c r="A1210" s="1828"/>
      <c r="B1210" s="1828"/>
      <c r="C1210" s="1828"/>
      <c r="D1210" s="1828"/>
      <c r="E1210" s="844"/>
      <c r="R1210" s="845"/>
      <c r="S1210" s="845"/>
      <c r="T1210" s="845"/>
      <c r="U1210" s="845"/>
      <c r="V1210" s="845"/>
      <c r="W1210" s="845"/>
      <c r="X1210" s="845"/>
      <c r="Y1210" s="845"/>
    </row>
    <row r="1211" spans="1:25" x14ac:dyDescent="0.2">
      <c r="A1211" s="1828"/>
      <c r="B1211" s="1828"/>
      <c r="C1211" s="1828"/>
      <c r="D1211" s="1828"/>
      <c r="E1211" s="844"/>
      <c r="R1211" s="845"/>
      <c r="S1211" s="845"/>
      <c r="T1211" s="845"/>
      <c r="U1211" s="845"/>
      <c r="V1211" s="845"/>
      <c r="W1211" s="845"/>
      <c r="X1211" s="845"/>
      <c r="Y1211" s="845"/>
    </row>
    <row r="1212" spans="1:25" x14ac:dyDescent="0.2">
      <c r="A1212" s="1828"/>
      <c r="B1212" s="1828"/>
      <c r="C1212" s="1828"/>
      <c r="D1212" s="1828"/>
      <c r="E1212" s="844"/>
      <c r="R1212" s="845"/>
      <c r="S1212" s="845"/>
      <c r="T1212" s="845"/>
      <c r="U1212" s="845"/>
      <c r="V1212" s="845"/>
      <c r="W1212" s="845"/>
      <c r="X1212" s="845"/>
      <c r="Y1212" s="845"/>
    </row>
    <row r="1213" spans="1:25" x14ac:dyDescent="0.2">
      <c r="A1213" s="1828"/>
      <c r="B1213" s="1828"/>
      <c r="C1213" s="1828"/>
      <c r="D1213" s="1828"/>
      <c r="E1213" s="844"/>
      <c r="R1213" s="845"/>
      <c r="S1213" s="845"/>
      <c r="T1213" s="845"/>
      <c r="U1213" s="845"/>
      <c r="V1213" s="845"/>
      <c r="W1213" s="845"/>
      <c r="X1213" s="845"/>
      <c r="Y1213" s="845"/>
    </row>
    <row r="1214" spans="1:25" x14ac:dyDescent="0.2">
      <c r="A1214" s="1828"/>
      <c r="B1214" s="1828"/>
      <c r="C1214" s="1828"/>
      <c r="D1214" s="1828"/>
      <c r="E1214" s="844"/>
      <c r="R1214" s="845"/>
      <c r="S1214" s="845"/>
      <c r="T1214" s="845"/>
      <c r="U1214" s="845"/>
      <c r="V1214" s="845"/>
      <c r="W1214" s="845"/>
      <c r="X1214" s="845"/>
      <c r="Y1214" s="845"/>
    </row>
    <row r="1215" spans="1:25" x14ac:dyDescent="0.2">
      <c r="A1215" s="1828"/>
      <c r="B1215" s="1828"/>
      <c r="C1215" s="1828"/>
      <c r="D1215" s="1828"/>
      <c r="E1215" s="844"/>
      <c r="R1215" s="845"/>
      <c r="S1215" s="845"/>
      <c r="T1215" s="845"/>
      <c r="U1215" s="845"/>
      <c r="V1215" s="845"/>
      <c r="W1215" s="845"/>
      <c r="X1215" s="845"/>
      <c r="Y1215" s="845"/>
    </row>
    <row r="1216" spans="1:25" x14ac:dyDescent="0.2">
      <c r="A1216" s="1828"/>
      <c r="B1216" s="1828"/>
      <c r="C1216" s="1828"/>
      <c r="D1216" s="1828"/>
      <c r="E1216" s="844"/>
      <c r="R1216" s="845"/>
      <c r="S1216" s="845"/>
      <c r="T1216" s="845"/>
      <c r="U1216" s="845"/>
      <c r="V1216" s="845"/>
      <c r="W1216" s="845"/>
      <c r="X1216" s="845"/>
      <c r="Y1216" s="845"/>
    </row>
    <row r="1217" spans="1:25" x14ac:dyDescent="0.2">
      <c r="A1217" s="1828"/>
      <c r="B1217" s="1828"/>
      <c r="C1217" s="1828"/>
      <c r="D1217" s="1828"/>
      <c r="E1217" s="844"/>
      <c r="R1217" s="845"/>
      <c r="S1217" s="845"/>
      <c r="T1217" s="845"/>
      <c r="U1217" s="845"/>
      <c r="V1217" s="845"/>
      <c r="W1217" s="845"/>
      <c r="X1217" s="845"/>
      <c r="Y1217" s="845"/>
    </row>
    <row r="1218" spans="1:25" x14ac:dyDescent="0.2">
      <c r="A1218" s="1828"/>
      <c r="B1218" s="1828"/>
      <c r="C1218" s="1828"/>
      <c r="D1218" s="1828"/>
      <c r="E1218" s="844"/>
      <c r="R1218" s="845"/>
      <c r="S1218" s="845"/>
      <c r="T1218" s="845"/>
      <c r="U1218" s="845"/>
      <c r="V1218" s="845"/>
      <c r="W1218" s="845"/>
      <c r="X1218" s="845"/>
      <c r="Y1218" s="845"/>
    </row>
    <row r="1219" spans="1:25" x14ac:dyDescent="0.2">
      <c r="A1219" s="1828"/>
      <c r="B1219" s="1828"/>
      <c r="C1219" s="1828"/>
      <c r="D1219" s="1828"/>
      <c r="E1219" s="844"/>
      <c r="R1219" s="845"/>
      <c r="S1219" s="845"/>
      <c r="T1219" s="845"/>
      <c r="U1219" s="845"/>
      <c r="V1219" s="845"/>
      <c r="W1219" s="845"/>
      <c r="X1219" s="845"/>
      <c r="Y1219" s="845"/>
    </row>
    <row r="1220" spans="1:25" x14ac:dyDescent="0.2">
      <c r="A1220" s="1828"/>
      <c r="B1220" s="1828"/>
      <c r="C1220" s="1828"/>
      <c r="D1220" s="1828"/>
      <c r="E1220" s="844"/>
      <c r="R1220" s="845"/>
      <c r="S1220" s="845"/>
      <c r="T1220" s="845"/>
      <c r="U1220" s="845"/>
      <c r="V1220" s="845"/>
      <c r="W1220" s="845"/>
      <c r="X1220" s="845"/>
      <c r="Y1220" s="845"/>
    </row>
    <row r="1221" spans="1:25" x14ac:dyDescent="0.2">
      <c r="A1221" s="1828"/>
      <c r="B1221" s="1828"/>
      <c r="C1221" s="1828"/>
      <c r="D1221" s="1828"/>
      <c r="E1221" s="844"/>
      <c r="R1221" s="845"/>
      <c r="S1221" s="845"/>
      <c r="T1221" s="845"/>
      <c r="U1221" s="845"/>
      <c r="V1221" s="845"/>
      <c r="W1221" s="845"/>
      <c r="X1221" s="845"/>
      <c r="Y1221" s="845"/>
    </row>
    <row r="1222" spans="1:25" x14ac:dyDescent="0.2">
      <c r="A1222" s="1828"/>
      <c r="B1222" s="1828"/>
      <c r="C1222" s="1828"/>
      <c r="D1222" s="1828"/>
      <c r="E1222" s="844"/>
      <c r="R1222" s="845"/>
      <c r="S1222" s="845"/>
      <c r="T1222" s="845"/>
      <c r="U1222" s="845"/>
      <c r="V1222" s="845"/>
      <c r="W1222" s="845"/>
      <c r="X1222" s="845"/>
      <c r="Y1222" s="845"/>
    </row>
    <row r="1223" spans="1:25" x14ac:dyDescent="0.2">
      <c r="A1223" s="1828"/>
      <c r="B1223" s="1828"/>
      <c r="C1223" s="1828"/>
      <c r="D1223" s="1828"/>
      <c r="E1223" s="844"/>
      <c r="R1223" s="845"/>
      <c r="S1223" s="845"/>
      <c r="T1223" s="845"/>
      <c r="U1223" s="845"/>
      <c r="V1223" s="845"/>
      <c r="W1223" s="845"/>
      <c r="X1223" s="845"/>
      <c r="Y1223" s="845"/>
    </row>
    <row r="1224" spans="1:25" x14ac:dyDescent="0.2">
      <c r="A1224" s="1828"/>
      <c r="B1224" s="1828"/>
      <c r="C1224" s="1828"/>
      <c r="D1224" s="1828"/>
      <c r="E1224" s="844"/>
      <c r="R1224" s="845"/>
      <c r="S1224" s="845"/>
      <c r="T1224" s="845"/>
      <c r="U1224" s="845"/>
      <c r="V1224" s="845"/>
      <c r="W1224" s="845"/>
      <c r="X1224" s="845"/>
      <c r="Y1224" s="845"/>
    </row>
    <row r="1225" spans="1:25" x14ac:dyDescent="0.2">
      <c r="A1225" s="1828"/>
      <c r="B1225" s="1828"/>
      <c r="C1225" s="1828"/>
      <c r="D1225" s="1828"/>
      <c r="E1225" s="844"/>
      <c r="R1225" s="845"/>
      <c r="S1225" s="845"/>
      <c r="T1225" s="845"/>
      <c r="U1225" s="845"/>
      <c r="V1225" s="845"/>
      <c r="W1225" s="845"/>
      <c r="X1225" s="845"/>
      <c r="Y1225" s="845"/>
    </row>
    <row r="1226" spans="1:25" x14ac:dyDescent="0.2">
      <c r="A1226" s="1828"/>
      <c r="B1226" s="1828"/>
      <c r="C1226" s="1828"/>
      <c r="D1226" s="1828"/>
      <c r="E1226" s="844"/>
      <c r="R1226" s="845"/>
      <c r="S1226" s="845"/>
      <c r="T1226" s="845"/>
      <c r="U1226" s="845"/>
      <c r="V1226" s="845"/>
      <c r="W1226" s="845"/>
      <c r="X1226" s="845"/>
      <c r="Y1226" s="845"/>
    </row>
    <row r="1227" spans="1:25" x14ac:dyDescent="0.2">
      <c r="A1227" s="1828"/>
      <c r="B1227" s="1828"/>
      <c r="C1227" s="1828"/>
      <c r="D1227" s="1828"/>
      <c r="E1227" s="844"/>
      <c r="R1227" s="845"/>
      <c r="S1227" s="845"/>
      <c r="T1227" s="845"/>
      <c r="U1227" s="845"/>
      <c r="V1227" s="845"/>
      <c r="W1227" s="845"/>
      <c r="X1227" s="845"/>
      <c r="Y1227" s="845"/>
    </row>
    <row r="1228" spans="1:25" x14ac:dyDescent="0.2">
      <c r="A1228" s="1828"/>
      <c r="B1228" s="1828"/>
      <c r="C1228" s="1828"/>
      <c r="D1228" s="1828"/>
      <c r="E1228" s="844"/>
      <c r="R1228" s="845"/>
      <c r="S1228" s="845"/>
      <c r="T1228" s="845"/>
      <c r="U1228" s="845"/>
      <c r="V1228" s="845"/>
      <c r="W1228" s="845"/>
      <c r="X1228" s="845"/>
      <c r="Y1228" s="845"/>
    </row>
    <row r="1229" spans="1:25" x14ac:dyDescent="0.2">
      <c r="A1229" s="1828"/>
      <c r="B1229" s="1828"/>
      <c r="C1229" s="1828"/>
      <c r="D1229" s="1828"/>
      <c r="E1229" s="844"/>
      <c r="R1229" s="845"/>
      <c r="S1229" s="845"/>
      <c r="T1229" s="845"/>
      <c r="U1229" s="845"/>
      <c r="V1229" s="845"/>
      <c r="W1229" s="845"/>
      <c r="X1229" s="845"/>
      <c r="Y1229" s="845"/>
    </row>
    <row r="1230" spans="1:25" x14ac:dyDescent="0.2">
      <c r="A1230" s="1828"/>
      <c r="B1230" s="1828"/>
      <c r="C1230" s="1828"/>
      <c r="D1230" s="1828"/>
      <c r="E1230" s="844"/>
      <c r="R1230" s="845"/>
      <c r="S1230" s="845"/>
      <c r="T1230" s="845"/>
      <c r="U1230" s="845"/>
      <c r="V1230" s="845"/>
      <c r="W1230" s="845"/>
      <c r="X1230" s="845"/>
      <c r="Y1230" s="845"/>
    </row>
    <row r="1231" spans="1:25" x14ac:dyDescent="0.2">
      <c r="A1231" s="1828"/>
      <c r="B1231" s="1828"/>
      <c r="C1231" s="1828"/>
      <c r="D1231" s="1828"/>
      <c r="E1231" s="844"/>
      <c r="R1231" s="845"/>
      <c r="S1231" s="845"/>
      <c r="T1231" s="845"/>
      <c r="U1231" s="845"/>
      <c r="V1231" s="845"/>
      <c r="W1231" s="845"/>
      <c r="X1231" s="845"/>
      <c r="Y1231" s="845"/>
    </row>
    <row r="1232" spans="1:25" x14ac:dyDescent="0.2">
      <c r="A1232" s="1828"/>
      <c r="B1232" s="1828"/>
      <c r="C1232" s="1828"/>
      <c r="D1232" s="1828"/>
      <c r="E1232" s="844"/>
      <c r="R1232" s="845"/>
      <c r="S1232" s="845"/>
      <c r="T1232" s="845"/>
      <c r="U1232" s="845"/>
      <c r="V1232" s="845"/>
      <c r="W1232" s="845"/>
      <c r="X1232" s="845"/>
      <c r="Y1232" s="845"/>
    </row>
    <row r="1233" spans="1:25" x14ac:dyDescent="0.2">
      <c r="A1233" s="1828"/>
      <c r="B1233" s="1828"/>
      <c r="C1233" s="1828"/>
      <c r="D1233" s="1828"/>
      <c r="E1233" s="844"/>
      <c r="R1233" s="845"/>
      <c r="S1233" s="845"/>
      <c r="T1233" s="845"/>
      <c r="U1233" s="845"/>
      <c r="V1233" s="845"/>
      <c r="W1233" s="845"/>
      <c r="X1233" s="845"/>
      <c r="Y1233" s="845"/>
    </row>
    <row r="1234" spans="1:25" x14ac:dyDescent="0.2">
      <c r="A1234" s="1828"/>
      <c r="B1234" s="1828"/>
      <c r="C1234" s="1828"/>
      <c r="D1234" s="1828"/>
      <c r="E1234" s="844"/>
      <c r="R1234" s="845"/>
      <c r="S1234" s="845"/>
      <c r="T1234" s="845"/>
      <c r="U1234" s="845"/>
      <c r="V1234" s="845"/>
      <c r="W1234" s="845"/>
      <c r="X1234" s="845"/>
      <c r="Y1234" s="845"/>
    </row>
    <row r="1235" spans="1:25" x14ac:dyDescent="0.2">
      <c r="A1235" s="1828"/>
      <c r="B1235" s="1828"/>
      <c r="C1235" s="1828"/>
      <c r="D1235" s="1828"/>
      <c r="E1235" s="844"/>
      <c r="R1235" s="845"/>
      <c r="S1235" s="845"/>
      <c r="T1235" s="845"/>
      <c r="U1235" s="845"/>
      <c r="V1235" s="845"/>
      <c r="W1235" s="845"/>
      <c r="X1235" s="845"/>
      <c r="Y1235" s="845"/>
    </row>
    <row r="1236" spans="1:25" x14ac:dyDescent="0.2">
      <c r="A1236" s="1828"/>
      <c r="B1236" s="1828"/>
      <c r="C1236" s="1828"/>
      <c r="D1236" s="1828"/>
      <c r="E1236" s="844"/>
      <c r="R1236" s="845"/>
      <c r="S1236" s="845"/>
      <c r="T1236" s="845"/>
      <c r="U1236" s="845"/>
      <c r="V1236" s="845"/>
      <c r="W1236" s="845"/>
      <c r="X1236" s="845"/>
      <c r="Y1236" s="845"/>
    </row>
    <row r="1237" spans="1:25" x14ac:dyDescent="0.2">
      <c r="A1237" s="1828"/>
      <c r="B1237" s="1828"/>
      <c r="C1237" s="1828"/>
      <c r="D1237" s="1828"/>
      <c r="E1237" s="844"/>
      <c r="R1237" s="845"/>
      <c r="S1237" s="845"/>
      <c r="T1237" s="845"/>
      <c r="U1237" s="845"/>
      <c r="V1237" s="845"/>
      <c r="W1237" s="845"/>
      <c r="X1237" s="845"/>
      <c r="Y1237" s="845"/>
    </row>
    <row r="1238" spans="1:25" x14ac:dyDescent="0.2">
      <c r="A1238" s="1828"/>
      <c r="B1238" s="1828"/>
      <c r="C1238" s="1828"/>
      <c r="D1238" s="1828"/>
      <c r="E1238" s="844"/>
      <c r="R1238" s="845"/>
      <c r="S1238" s="845"/>
      <c r="T1238" s="845"/>
      <c r="U1238" s="845"/>
      <c r="V1238" s="845"/>
      <c r="W1238" s="845"/>
      <c r="X1238" s="845"/>
      <c r="Y1238" s="845"/>
    </row>
    <row r="1239" spans="1:25" x14ac:dyDescent="0.2">
      <c r="A1239" s="1828"/>
      <c r="B1239" s="1828"/>
      <c r="C1239" s="1828"/>
      <c r="D1239" s="1828"/>
      <c r="E1239" s="844"/>
      <c r="R1239" s="845"/>
      <c r="S1239" s="845"/>
      <c r="T1239" s="845"/>
      <c r="U1239" s="845"/>
      <c r="V1239" s="845"/>
      <c r="W1239" s="845"/>
      <c r="X1239" s="845"/>
      <c r="Y1239" s="845"/>
    </row>
    <row r="1240" spans="1:25" x14ac:dyDescent="0.2">
      <c r="A1240" s="1828"/>
      <c r="B1240" s="1828"/>
      <c r="C1240" s="1828"/>
      <c r="D1240" s="1828"/>
      <c r="E1240" s="844"/>
      <c r="R1240" s="845"/>
      <c r="S1240" s="845"/>
      <c r="T1240" s="845"/>
      <c r="U1240" s="845"/>
      <c r="V1240" s="845"/>
      <c r="W1240" s="845"/>
      <c r="X1240" s="845"/>
      <c r="Y1240" s="845"/>
    </row>
    <row r="1241" spans="1:25" x14ac:dyDescent="0.2">
      <c r="A1241" s="1828"/>
      <c r="B1241" s="1828"/>
      <c r="C1241" s="1828"/>
      <c r="D1241" s="1828"/>
      <c r="E1241" s="844"/>
      <c r="R1241" s="845"/>
      <c r="S1241" s="845"/>
      <c r="T1241" s="845"/>
      <c r="U1241" s="845"/>
      <c r="V1241" s="845"/>
      <c r="W1241" s="845"/>
      <c r="X1241" s="845"/>
      <c r="Y1241" s="845"/>
    </row>
    <row r="1242" spans="1:25" x14ac:dyDescent="0.2">
      <c r="A1242" s="1828"/>
      <c r="B1242" s="1828"/>
      <c r="C1242" s="1828"/>
      <c r="D1242" s="1828"/>
      <c r="E1242" s="844"/>
      <c r="R1242" s="845"/>
      <c r="S1242" s="845"/>
      <c r="T1242" s="845"/>
      <c r="U1242" s="845"/>
      <c r="V1242" s="845"/>
      <c r="W1242" s="845"/>
      <c r="X1242" s="845"/>
      <c r="Y1242" s="845"/>
    </row>
    <row r="1243" spans="1:25" x14ac:dyDescent="0.2">
      <c r="A1243" s="1828"/>
      <c r="B1243" s="1828"/>
      <c r="C1243" s="1828"/>
      <c r="D1243" s="1828"/>
      <c r="E1243" s="844"/>
      <c r="R1243" s="845"/>
      <c r="S1243" s="845"/>
      <c r="T1243" s="845"/>
      <c r="U1243" s="845"/>
      <c r="V1243" s="845"/>
      <c r="W1243" s="845"/>
      <c r="X1243" s="845"/>
      <c r="Y1243" s="845"/>
    </row>
    <row r="1244" spans="1:25" x14ac:dyDescent="0.2">
      <c r="A1244" s="1828"/>
      <c r="B1244" s="1828"/>
      <c r="C1244" s="1828"/>
      <c r="D1244" s="1828"/>
      <c r="E1244" s="844"/>
      <c r="R1244" s="845"/>
      <c r="S1244" s="845"/>
      <c r="T1244" s="845"/>
      <c r="U1244" s="845"/>
      <c r="V1244" s="845"/>
      <c r="W1244" s="845"/>
      <c r="X1244" s="845"/>
      <c r="Y1244" s="845"/>
    </row>
    <row r="1245" spans="1:25" x14ac:dyDescent="0.2">
      <c r="A1245" s="1828"/>
      <c r="B1245" s="1828"/>
      <c r="C1245" s="1828"/>
      <c r="D1245" s="1828"/>
      <c r="E1245" s="844"/>
      <c r="R1245" s="845"/>
      <c r="S1245" s="845"/>
      <c r="T1245" s="845"/>
      <c r="U1245" s="845"/>
      <c r="V1245" s="845"/>
      <c r="W1245" s="845"/>
      <c r="X1245" s="845"/>
      <c r="Y1245" s="845"/>
    </row>
    <row r="1246" spans="1:25" x14ac:dyDescent="0.2">
      <c r="A1246" s="1828"/>
      <c r="B1246" s="1828"/>
      <c r="C1246" s="1828"/>
      <c r="D1246" s="1828"/>
      <c r="E1246" s="844"/>
      <c r="R1246" s="845"/>
      <c r="S1246" s="845"/>
      <c r="T1246" s="845"/>
      <c r="U1246" s="845"/>
      <c r="V1246" s="845"/>
      <c r="W1246" s="845"/>
      <c r="X1246" s="845"/>
      <c r="Y1246" s="845"/>
    </row>
    <row r="1247" spans="1:25" x14ac:dyDescent="0.2">
      <c r="A1247" s="1828"/>
      <c r="B1247" s="1828"/>
      <c r="C1247" s="1828"/>
      <c r="D1247" s="1828"/>
      <c r="E1247" s="844"/>
      <c r="R1247" s="845"/>
      <c r="S1247" s="845"/>
      <c r="T1247" s="845"/>
      <c r="U1247" s="845"/>
      <c r="V1247" s="845"/>
      <c r="W1247" s="845"/>
      <c r="X1247" s="845"/>
      <c r="Y1247" s="845"/>
    </row>
    <row r="1248" spans="1:25" x14ac:dyDescent="0.2">
      <c r="A1248" s="1828"/>
      <c r="B1248" s="1828"/>
      <c r="C1248" s="1828"/>
      <c r="D1248" s="1828"/>
      <c r="E1248" s="844"/>
      <c r="R1248" s="845"/>
      <c r="S1248" s="845"/>
      <c r="T1248" s="845"/>
      <c r="U1248" s="845"/>
      <c r="V1248" s="845"/>
      <c r="W1248" s="845"/>
      <c r="X1248" s="845"/>
      <c r="Y1248" s="845"/>
    </row>
    <row r="1249" spans="1:25" x14ac:dyDescent="0.2">
      <c r="A1249" s="1828"/>
      <c r="B1249" s="1828"/>
      <c r="C1249" s="1828"/>
      <c r="D1249" s="1828"/>
      <c r="E1249" s="844"/>
      <c r="R1249" s="845"/>
      <c r="S1249" s="845"/>
      <c r="T1249" s="845"/>
      <c r="U1249" s="845"/>
      <c r="V1249" s="845"/>
      <c r="W1249" s="845"/>
      <c r="X1249" s="845"/>
      <c r="Y1249" s="845"/>
    </row>
    <row r="1250" spans="1:25" x14ac:dyDescent="0.2">
      <c r="A1250" s="1828"/>
      <c r="B1250" s="1828"/>
      <c r="C1250" s="1828"/>
      <c r="D1250" s="1828"/>
      <c r="E1250" s="844"/>
      <c r="R1250" s="845"/>
      <c r="S1250" s="845"/>
      <c r="T1250" s="845"/>
      <c r="U1250" s="845"/>
      <c r="V1250" s="845"/>
      <c r="W1250" s="845"/>
      <c r="X1250" s="845"/>
      <c r="Y1250" s="845"/>
    </row>
    <row r="1251" spans="1:25" x14ac:dyDescent="0.2">
      <c r="A1251" s="1828"/>
      <c r="B1251" s="1828"/>
      <c r="C1251" s="1828"/>
      <c r="D1251" s="1828"/>
      <c r="E1251" s="844"/>
      <c r="R1251" s="845"/>
      <c r="S1251" s="845"/>
      <c r="T1251" s="845"/>
      <c r="U1251" s="845"/>
      <c r="V1251" s="845"/>
      <c r="W1251" s="845"/>
      <c r="X1251" s="845"/>
      <c r="Y1251" s="845"/>
    </row>
    <row r="1252" spans="1:25" x14ac:dyDescent="0.2">
      <c r="A1252" s="1828"/>
      <c r="B1252" s="1828"/>
      <c r="C1252" s="1828"/>
      <c r="D1252" s="1828"/>
      <c r="E1252" s="844"/>
      <c r="R1252" s="845"/>
      <c r="S1252" s="845"/>
      <c r="T1252" s="845"/>
      <c r="U1252" s="845"/>
      <c r="V1252" s="845"/>
      <c r="W1252" s="845"/>
      <c r="X1252" s="845"/>
      <c r="Y1252" s="845"/>
    </row>
    <row r="1253" spans="1:25" x14ac:dyDescent="0.2">
      <c r="A1253" s="1828"/>
      <c r="B1253" s="1828"/>
      <c r="C1253" s="1828"/>
      <c r="D1253" s="1828"/>
      <c r="E1253" s="844"/>
      <c r="R1253" s="845"/>
      <c r="S1253" s="845"/>
      <c r="T1253" s="845"/>
      <c r="U1253" s="845"/>
      <c r="V1253" s="845"/>
      <c r="W1253" s="845"/>
      <c r="X1253" s="845"/>
      <c r="Y1253" s="845"/>
    </row>
    <row r="1254" spans="1:25" x14ac:dyDescent="0.2">
      <c r="A1254" s="1828"/>
      <c r="B1254" s="1828"/>
      <c r="C1254" s="1828"/>
      <c r="D1254" s="1828"/>
      <c r="E1254" s="844"/>
      <c r="R1254" s="845"/>
      <c r="S1254" s="845"/>
      <c r="T1254" s="845"/>
      <c r="U1254" s="845"/>
      <c r="V1254" s="845"/>
      <c r="W1254" s="845"/>
      <c r="X1254" s="845"/>
      <c r="Y1254" s="845"/>
    </row>
    <row r="1255" spans="1:25" x14ac:dyDescent="0.2">
      <c r="A1255" s="1828"/>
      <c r="B1255" s="1828"/>
      <c r="C1255" s="1828"/>
      <c r="D1255" s="1828"/>
      <c r="E1255" s="844"/>
      <c r="R1255" s="845"/>
      <c r="S1255" s="845"/>
      <c r="T1255" s="845"/>
      <c r="U1255" s="845"/>
      <c r="V1255" s="845"/>
      <c r="W1255" s="845"/>
      <c r="X1255" s="845"/>
      <c r="Y1255" s="845"/>
    </row>
    <row r="1256" spans="1:25" x14ac:dyDescent="0.2">
      <c r="A1256" s="1828"/>
      <c r="B1256" s="1828"/>
      <c r="C1256" s="1828"/>
      <c r="D1256" s="1828"/>
      <c r="E1256" s="844"/>
      <c r="R1256" s="845"/>
      <c r="S1256" s="845"/>
      <c r="T1256" s="845"/>
      <c r="U1256" s="845"/>
      <c r="V1256" s="845"/>
      <c r="W1256" s="845"/>
      <c r="X1256" s="845"/>
      <c r="Y1256" s="845"/>
    </row>
    <row r="1257" spans="1:25" x14ac:dyDescent="0.2">
      <c r="A1257" s="1828"/>
      <c r="B1257" s="1828"/>
      <c r="C1257" s="1828"/>
      <c r="D1257" s="1828"/>
      <c r="E1257" s="844"/>
      <c r="R1257" s="845"/>
      <c r="S1257" s="845"/>
      <c r="T1257" s="845"/>
      <c r="U1257" s="845"/>
      <c r="V1257" s="845"/>
      <c r="W1257" s="845"/>
      <c r="X1257" s="845"/>
      <c r="Y1257" s="845"/>
    </row>
    <row r="1258" spans="1:25" x14ac:dyDescent="0.2">
      <c r="A1258" s="1828"/>
      <c r="B1258" s="1828"/>
      <c r="C1258" s="1828"/>
      <c r="D1258" s="1828"/>
      <c r="E1258" s="844"/>
      <c r="R1258" s="845"/>
      <c r="S1258" s="845"/>
      <c r="T1258" s="845"/>
      <c r="U1258" s="845"/>
      <c r="V1258" s="845"/>
      <c r="W1258" s="845"/>
      <c r="X1258" s="845"/>
      <c r="Y1258" s="845"/>
    </row>
    <row r="1259" spans="1:25" x14ac:dyDescent="0.2">
      <c r="A1259" s="1828"/>
      <c r="B1259" s="1828"/>
      <c r="C1259" s="1828"/>
      <c r="D1259" s="1828"/>
      <c r="E1259" s="844"/>
      <c r="R1259" s="845"/>
      <c r="S1259" s="845"/>
      <c r="T1259" s="845"/>
      <c r="U1259" s="845"/>
      <c r="V1259" s="845"/>
      <c r="W1259" s="845"/>
      <c r="X1259" s="845"/>
      <c r="Y1259" s="845"/>
    </row>
    <row r="1260" spans="1:25" x14ac:dyDescent="0.2">
      <c r="A1260" s="1828"/>
      <c r="B1260" s="1828"/>
      <c r="C1260" s="1828"/>
      <c r="D1260" s="1828"/>
      <c r="E1260" s="844"/>
      <c r="R1260" s="845"/>
      <c r="S1260" s="845"/>
      <c r="T1260" s="845"/>
      <c r="U1260" s="845"/>
      <c r="V1260" s="845"/>
      <c r="W1260" s="845"/>
      <c r="X1260" s="845"/>
      <c r="Y1260" s="845"/>
    </row>
    <row r="1261" spans="1:25" x14ac:dyDescent="0.2">
      <c r="A1261" s="1828"/>
      <c r="B1261" s="1828"/>
      <c r="C1261" s="1828"/>
      <c r="D1261" s="1828"/>
      <c r="E1261" s="844"/>
      <c r="R1261" s="845"/>
      <c r="S1261" s="845"/>
      <c r="T1261" s="845"/>
      <c r="U1261" s="845"/>
      <c r="V1261" s="845"/>
      <c r="W1261" s="845"/>
      <c r="X1261" s="845"/>
      <c r="Y1261" s="845"/>
    </row>
    <row r="1262" spans="1:25" x14ac:dyDescent="0.2">
      <c r="A1262" s="1828"/>
      <c r="B1262" s="1828"/>
      <c r="C1262" s="1828"/>
      <c r="D1262" s="1828"/>
      <c r="E1262" s="844"/>
      <c r="R1262" s="845"/>
      <c r="S1262" s="845"/>
      <c r="T1262" s="845"/>
      <c r="U1262" s="845"/>
      <c r="V1262" s="845"/>
      <c r="W1262" s="845"/>
      <c r="X1262" s="845"/>
      <c r="Y1262" s="845"/>
    </row>
    <row r="1263" spans="1:25" x14ac:dyDescent="0.2">
      <c r="A1263" s="1828"/>
      <c r="B1263" s="1828"/>
      <c r="C1263" s="1828"/>
      <c r="D1263" s="1828"/>
      <c r="E1263" s="844"/>
      <c r="R1263" s="845"/>
      <c r="S1263" s="845"/>
      <c r="T1263" s="845"/>
      <c r="U1263" s="845"/>
      <c r="V1263" s="845"/>
      <c r="W1263" s="845"/>
      <c r="X1263" s="845"/>
      <c r="Y1263" s="845"/>
    </row>
    <row r="1264" spans="1:25" x14ac:dyDescent="0.2">
      <c r="A1264" s="1828"/>
      <c r="B1264" s="1828"/>
      <c r="C1264" s="1828"/>
      <c r="D1264" s="1828"/>
      <c r="E1264" s="844"/>
      <c r="R1264" s="845"/>
      <c r="S1264" s="845"/>
      <c r="T1264" s="845"/>
      <c r="U1264" s="845"/>
      <c r="V1264" s="845"/>
      <c r="W1264" s="845"/>
      <c r="X1264" s="845"/>
      <c r="Y1264" s="845"/>
    </row>
    <row r="1265" spans="1:25" x14ac:dyDescent="0.2">
      <c r="A1265" s="1828"/>
      <c r="B1265" s="1828"/>
      <c r="C1265" s="1828"/>
      <c r="D1265" s="1828"/>
      <c r="E1265" s="844"/>
      <c r="R1265" s="845"/>
      <c r="S1265" s="845"/>
      <c r="T1265" s="845"/>
      <c r="U1265" s="845"/>
      <c r="V1265" s="845"/>
      <c r="W1265" s="845"/>
      <c r="X1265" s="845"/>
      <c r="Y1265" s="845"/>
    </row>
    <row r="1266" spans="1:25" x14ac:dyDescent="0.2">
      <c r="A1266" s="1828"/>
      <c r="B1266" s="1828"/>
      <c r="C1266" s="1828"/>
      <c r="D1266" s="1828"/>
      <c r="E1266" s="844"/>
      <c r="R1266" s="845"/>
      <c r="S1266" s="845"/>
      <c r="T1266" s="845"/>
      <c r="U1266" s="845"/>
      <c r="V1266" s="845"/>
      <c r="W1266" s="845"/>
      <c r="X1266" s="845"/>
      <c r="Y1266" s="845"/>
    </row>
    <row r="1267" spans="1:25" x14ac:dyDescent="0.2">
      <c r="A1267" s="1828"/>
      <c r="B1267" s="1828"/>
      <c r="C1267" s="1828"/>
      <c r="D1267" s="1828"/>
      <c r="E1267" s="844"/>
      <c r="R1267" s="845"/>
      <c r="S1267" s="845"/>
      <c r="T1267" s="845"/>
      <c r="U1267" s="845"/>
      <c r="V1267" s="845"/>
      <c r="W1267" s="845"/>
      <c r="X1267" s="845"/>
      <c r="Y1267" s="845"/>
    </row>
    <row r="1268" spans="1:25" x14ac:dyDescent="0.2">
      <c r="A1268" s="1828"/>
      <c r="B1268" s="1828"/>
      <c r="C1268" s="1828"/>
      <c r="D1268" s="1828"/>
      <c r="E1268" s="844"/>
      <c r="R1268" s="845"/>
      <c r="S1268" s="845"/>
      <c r="T1268" s="845"/>
      <c r="U1268" s="845"/>
      <c r="V1268" s="845"/>
      <c r="W1268" s="845"/>
      <c r="X1268" s="845"/>
      <c r="Y1268" s="845"/>
    </row>
    <row r="1269" spans="1:25" x14ac:dyDescent="0.2">
      <c r="A1269" s="1828"/>
      <c r="B1269" s="1828"/>
      <c r="C1269" s="1828"/>
      <c r="D1269" s="1828"/>
      <c r="E1269" s="844"/>
      <c r="R1269" s="845"/>
      <c r="S1269" s="845"/>
      <c r="T1269" s="845"/>
      <c r="U1269" s="845"/>
      <c r="V1269" s="845"/>
      <c r="W1269" s="845"/>
      <c r="X1269" s="845"/>
      <c r="Y1269" s="845"/>
    </row>
    <row r="1270" spans="1:25" x14ac:dyDescent="0.2">
      <c r="A1270" s="1828"/>
      <c r="B1270" s="1828"/>
      <c r="C1270" s="1828"/>
      <c r="D1270" s="1828"/>
      <c r="E1270" s="844"/>
      <c r="R1270" s="845"/>
      <c r="S1270" s="845"/>
      <c r="T1270" s="845"/>
      <c r="U1270" s="845"/>
      <c r="V1270" s="845"/>
      <c r="W1270" s="845"/>
      <c r="X1270" s="845"/>
      <c r="Y1270" s="845"/>
    </row>
    <row r="1271" spans="1:25" x14ac:dyDescent="0.2">
      <c r="A1271" s="1828"/>
      <c r="B1271" s="1828"/>
      <c r="C1271" s="1828"/>
      <c r="D1271" s="1828"/>
      <c r="E1271" s="844"/>
      <c r="R1271" s="845"/>
      <c r="S1271" s="845"/>
      <c r="T1271" s="845"/>
      <c r="U1271" s="845"/>
      <c r="V1271" s="845"/>
      <c r="W1271" s="845"/>
      <c r="X1271" s="845"/>
      <c r="Y1271" s="845"/>
    </row>
    <row r="1272" spans="1:25" x14ac:dyDescent="0.2">
      <c r="A1272" s="1828"/>
      <c r="B1272" s="1828"/>
      <c r="C1272" s="1828"/>
      <c r="D1272" s="1828"/>
      <c r="E1272" s="844"/>
      <c r="R1272" s="845"/>
      <c r="S1272" s="845"/>
      <c r="T1272" s="845"/>
      <c r="U1272" s="845"/>
      <c r="V1272" s="845"/>
      <c r="W1272" s="845"/>
      <c r="X1272" s="845"/>
      <c r="Y1272" s="845"/>
    </row>
    <row r="1273" spans="1:25" x14ac:dyDescent="0.2">
      <c r="A1273" s="1828"/>
      <c r="B1273" s="1828"/>
      <c r="C1273" s="1828"/>
      <c r="D1273" s="1828"/>
      <c r="E1273" s="844"/>
      <c r="R1273" s="845"/>
      <c r="S1273" s="845"/>
      <c r="T1273" s="845"/>
      <c r="U1273" s="845"/>
      <c r="V1273" s="845"/>
      <c r="W1273" s="845"/>
      <c r="X1273" s="845"/>
      <c r="Y1273" s="845"/>
    </row>
    <row r="1274" spans="1:25" x14ac:dyDescent="0.2">
      <c r="A1274" s="1828"/>
      <c r="B1274" s="1828"/>
      <c r="C1274" s="1828"/>
      <c r="D1274" s="1828"/>
      <c r="E1274" s="844"/>
      <c r="R1274" s="845"/>
      <c r="S1274" s="845"/>
      <c r="T1274" s="845"/>
      <c r="U1274" s="845"/>
      <c r="V1274" s="845"/>
      <c r="W1274" s="845"/>
      <c r="X1274" s="845"/>
      <c r="Y1274" s="845"/>
    </row>
    <row r="1275" spans="1:25" x14ac:dyDescent="0.2">
      <c r="A1275" s="1828"/>
      <c r="B1275" s="1828"/>
      <c r="C1275" s="1828"/>
      <c r="D1275" s="1828"/>
      <c r="E1275" s="844"/>
      <c r="R1275" s="845"/>
      <c r="S1275" s="845"/>
      <c r="T1275" s="845"/>
      <c r="U1275" s="845"/>
      <c r="V1275" s="845"/>
      <c r="W1275" s="845"/>
      <c r="X1275" s="845"/>
      <c r="Y1275" s="845"/>
    </row>
    <row r="1276" spans="1:25" x14ac:dyDescent="0.2">
      <c r="A1276" s="1828"/>
      <c r="B1276" s="1828"/>
      <c r="C1276" s="1828"/>
      <c r="D1276" s="1828"/>
      <c r="E1276" s="844"/>
      <c r="R1276" s="845"/>
      <c r="S1276" s="845"/>
      <c r="T1276" s="845"/>
      <c r="U1276" s="845"/>
      <c r="V1276" s="845"/>
      <c r="W1276" s="845"/>
      <c r="X1276" s="845"/>
      <c r="Y1276" s="845"/>
    </row>
    <row r="1277" spans="1:25" x14ac:dyDescent="0.2">
      <c r="A1277" s="1828"/>
      <c r="B1277" s="1828"/>
      <c r="C1277" s="1828"/>
      <c r="D1277" s="1828"/>
      <c r="E1277" s="844"/>
      <c r="R1277" s="845"/>
      <c r="S1277" s="845"/>
      <c r="T1277" s="845"/>
      <c r="U1277" s="845"/>
      <c r="V1277" s="845"/>
      <c r="W1277" s="845"/>
      <c r="X1277" s="845"/>
      <c r="Y1277" s="845"/>
    </row>
    <row r="1278" spans="1:25" x14ac:dyDescent="0.2">
      <c r="A1278" s="1828"/>
      <c r="B1278" s="1828"/>
      <c r="C1278" s="1828"/>
      <c r="D1278" s="1828"/>
      <c r="E1278" s="844"/>
      <c r="R1278" s="845"/>
      <c r="S1278" s="845"/>
      <c r="T1278" s="845"/>
      <c r="U1278" s="845"/>
      <c r="V1278" s="845"/>
      <c r="W1278" s="845"/>
      <c r="X1278" s="845"/>
      <c r="Y1278" s="845"/>
    </row>
    <row r="1279" spans="1:25" x14ac:dyDescent="0.2">
      <c r="A1279" s="1828"/>
      <c r="B1279" s="1828"/>
      <c r="C1279" s="1828"/>
      <c r="D1279" s="1828"/>
      <c r="E1279" s="844"/>
      <c r="R1279" s="845"/>
      <c r="S1279" s="845"/>
      <c r="T1279" s="845"/>
      <c r="U1279" s="845"/>
      <c r="V1279" s="845"/>
      <c r="W1279" s="845"/>
      <c r="X1279" s="845"/>
      <c r="Y1279" s="845"/>
    </row>
    <row r="1280" spans="1:25" x14ac:dyDescent="0.2">
      <c r="A1280" s="1828"/>
      <c r="B1280" s="1828"/>
      <c r="C1280" s="1828"/>
      <c r="D1280" s="1828"/>
      <c r="E1280" s="844"/>
      <c r="R1280" s="845"/>
      <c r="S1280" s="845"/>
      <c r="T1280" s="845"/>
      <c r="U1280" s="845"/>
      <c r="V1280" s="845"/>
      <c r="W1280" s="845"/>
      <c r="X1280" s="845"/>
      <c r="Y1280" s="845"/>
    </row>
    <row r="1281" spans="1:25" x14ac:dyDescent="0.2">
      <c r="A1281" s="1828"/>
      <c r="B1281" s="1828"/>
      <c r="C1281" s="1828"/>
      <c r="D1281" s="1828"/>
      <c r="E1281" s="844"/>
      <c r="R1281" s="845"/>
      <c r="S1281" s="845"/>
      <c r="T1281" s="845"/>
      <c r="U1281" s="845"/>
      <c r="V1281" s="845"/>
      <c r="W1281" s="845"/>
      <c r="X1281" s="845"/>
      <c r="Y1281" s="845"/>
    </row>
    <row r="1282" spans="1:25" x14ac:dyDescent="0.2">
      <c r="A1282" s="1828"/>
      <c r="B1282" s="1828"/>
      <c r="C1282" s="1828"/>
      <c r="D1282" s="1828"/>
      <c r="E1282" s="844"/>
      <c r="R1282" s="845"/>
      <c r="S1282" s="845"/>
      <c r="T1282" s="845"/>
      <c r="U1282" s="845"/>
      <c r="V1282" s="845"/>
      <c r="W1282" s="845"/>
      <c r="X1282" s="845"/>
      <c r="Y1282" s="845"/>
    </row>
    <row r="1283" spans="1:25" x14ac:dyDescent="0.2">
      <c r="A1283" s="1828"/>
      <c r="B1283" s="1828"/>
      <c r="C1283" s="1828"/>
      <c r="D1283" s="1828"/>
      <c r="E1283" s="844"/>
      <c r="R1283" s="845"/>
      <c r="S1283" s="845"/>
      <c r="T1283" s="845"/>
      <c r="U1283" s="845"/>
      <c r="V1283" s="845"/>
      <c r="W1283" s="845"/>
      <c r="X1283" s="845"/>
      <c r="Y1283" s="845"/>
    </row>
    <row r="1284" spans="1:25" x14ac:dyDescent="0.2">
      <c r="A1284" s="1828"/>
      <c r="B1284" s="1828"/>
      <c r="C1284" s="1828"/>
      <c r="D1284" s="1828"/>
      <c r="E1284" s="844"/>
      <c r="R1284" s="845"/>
      <c r="S1284" s="845"/>
      <c r="T1284" s="845"/>
      <c r="U1284" s="845"/>
      <c r="V1284" s="845"/>
      <c r="W1284" s="845"/>
      <c r="X1284" s="845"/>
      <c r="Y1284" s="845"/>
    </row>
    <row r="1285" spans="1:25" x14ac:dyDescent="0.2">
      <c r="A1285" s="1828"/>
      <c r="B1285" s="1828"/>
      <c r="C1285" s="1828"/>
      <c r="D1285" s="1828"/>
      <c r="E1285" s="844"/>
      <c r="R1285" s="845"/>
      <c r="S1285" s="845"/>
      <c r="T1285" s="845"/>
      <c r="U1285" s="845"/>
      <c r="V1285" s="845"/>
      <c r="W1285" s="845"/>
      <c r="X1285" s="845"/>
      <c r="Y1285" s="845"/>
    </row>
    <row r="1286" spans="1:25" x14ac:dyDescent="0.2">
      <c r="A1286" s="1828"/>
      <c r="B1286" s="1828"/>
      <c r="C1286" s="1828"/>
      <c r="D1286" s="1828"/>
      <c r="E1286" s="844"/>
      <c r="R1286" s="845"/>
      <c r="S1286" s="845"/>
      <c r="T1286" s="845"/>
      <c r="U1286" s="845"/>
      <c r="V1286" s="845"/>
      <c r="W1286" s="845"/>
      <c r="X1286" s="845"/>
      <c r="Y1286" s="845"/>
    </row>
    <row r="1287" spans="1:25" x14ac:dyDescent="0.2">
      <c r="A1287" s="1828"/>
      <c r="B1287" s="1828"/>
      <c r="C1287" s="1828"/>
      <c r="D1287" s="1828"/>
      <c r="E1287" s="844"/>
      <c r="R1287" s="845"/>
      <c r="S1287" s="845"/>
      <c r="T1287" s="845"/>
      <c r="U1287" s="845"/>
      <c r="V1287" s="845"/>
      <c r="W1287" s="845"/>
      <c r="X1287" s="845"/>
      <c r="Y1287" s="845"/>
    </row>
    <row r="1288" spans="1:25" x14ac:dyDescent="0.2">
      <c r="A1288" s="1828"/>
      <c r="B1288" s="1828"/>
      <c r="C1288" s="1828"/>
      <c r="D1288" s="1828"/>
      <c r="E1288" s="844"/>
      <c r="R1288" s="845"/>
      <c r="S1288" s="845"/>
      <c r="T1288" s="845"/>
      <c r="U1288" s="845"/>
      <c r="V1288" s="845"/>
      <c r="W1288" s="845"/>
      <c r="X1288" s="845"/>
      <c r="Y1288" s="845"/>
    </row>
    <row r="1289" spans="1:25" x14ac:dyDescent="0.2">
      <c r="A1289" s="1828"/>
      <c r="B1289" s="1828"/>
      <c r="C1289" s="1828"/>
      <c r="D1289" s="1828"/>
      <c r="E1289" s="844"/>
      <c r="R1289" s="845"/>
      <c r="S1289" s="845"/>
      <c r="T1289" s="845"/>
      <c r="U1289" s="845"/>
      <c r="V1289" s="845"/>
      <c r="W1289" s="845"/>
      <c r="X1289" s="845"/>
      <c r="Y1289" s="845"/>
    </row>
    <row r="1290" spans="1:25" x14ac:dyDescent="0.2">
      <c r="A1290" s="1828"/>
      <c r="B1290" s="1828"/>
      <c r="C1290" s="1828"/>
      <c r="D1290" s="1828"/>
      <c r="E1290" s="844"/>
      <c r="R1290" s="845"/>
      <c r="S1290" s="845"/>
      <c r="T1290" s="845"/>
      <c r="U1290" s="845"/>
      <c r="V1290" s="845"/>
      <c r="W1290" s="845"/>
      <c r="X1290" s="845"/>
      <c r="Y1290" s="845"/>
    </row>
    <row r="1291" spans="1:25" x14ac:dyDescent="0.2">
      <c r="A1291" s="1828"/>
      <c r="B1291" s="1828"/>
      <c r="C1291" s="1828"/>
      <c r="D1291" s="1828"/>
      <c r="E1291" s="844"/>
      <c r="R1291" s="845"/>
      <c r="S1291" s="845"/>
      <c r="T1291" s="845"/>
      <c r="U1291" s="845"/>
      <c r="V1291" s="845"/>
      <c r="W1291" s="845"/>
      <c r="X1291" s="845"/>
      <c r="Y1291" s="845"/>
    </row>
    <row r="1292" spans="1:25" x14ac:dyDescent="0.2">
      <c r="A1292" s="1828"/>
      <c r="B1292" s="1828"/>
      <c r="C1292" s="1828"/>
      <c r="D1292" s="1828"/>
      <c r="E1292" s="844"/>
      <c r="R1292" s="845"/>
      <c r="S1292" s="845"/>
      <c r="T1292" s="845"/>
      <c r="U1292" s="845"/>
      <c r="V1292" s="845"/>
      <c r="W1292" s="845"/>
      <c r="X1292" s="845"/>
      <c r="Y1292" s="845"/>
    </row>
    <row r="1293" spans="1:25" x14ac:dyDescent="0.2">
      <c r="A1293" s="1828"/>
      <c r="B1293" s="1828"/>
      <c r="C1293" s="1828"/>
      <c r="D1293" s="1828"/>
      <c r="E1293" s="844"/>
      <c r="R1293" s="845"/>
      <c r="S1293" s="845"/>
      <c r="T1293" s="845"/>
      <c r="U1293" s="845"/>
      <c r="V1293" s="845"/>
      <c r="W1293" s="845"/>
      <c r="X1293" s="845"/>
      <c r="Y1293" s="845"/>
    </row>
    <row r="1294" spans="1:25" x14ac:dyDescent="0.2">
      <c r="A1294" s="1828"/>
      <c r="B1294" s="1828"/>
      <c r="C1294" s="1828"/>
      <c r="D1294" s="1828"/>
      <c r="E1294" s="844"/>
      <c r="R1294" s="845"/>
      <c r="S1294" s="845"/>
      <c r="T1294" s="845"/>
      <c r="U1294" s="845"/>
      <c r="V1294" s="845"/>
      <c r="W1294" s="845"/>
      <c r="X1294" s="845"/>
      <c r="Y1294" s="845"/>
    </row>
    <row r="1295" spans="1:25" x14ac:dyDescent="0.2">
      <c r="A1295" s="1828"/>
      <c r="B1295" s="1828"/>
      <c r="C1295" s="1828"/>
      <c r="D1295" s="1828"/>
      <c r="E1295" s="844"/>
      <c r="R1295" s="845"/>
      <c r="S1295" s="845"/>
      <c r="T1295" s="845"/>
      <c r="U1295" s="845"/>
      <c r="V1295" s="845"/>
      <c r="W1295" s="845"/>
      <c r="X1295" s="845"/>
      <c r="Y1295" s="845"/>
    </row>
    <row r="1296" spans="1:25" x14ac:dyDescent="0.2">
      <c r="A1296" s="1828"/>
      <c r="B1296" s="1828"/>
      <c r="C1296" s="1828"/>
      <c r="D1296" s="1828"/>
      <c r="E1296" s="844"/>
      <c r="R1296" s="845"/>
      <c r="S1296" s="845"/>
      <c r="T1296" s="845"/>
      <c r="U1296" s="845"/>
      <c r="V1296" s="845"/>
      <c r="W1296" s="845"/>
      <c r="X1296" s="845"/>
      <c r="Y1296" s="845"/>
    </row>
    <row r="1297" spans="1:25" x14ac:dyDescent="0.2">
      <c r="A1297" s="1828"/>
      <c r="B1297" s="1828"/>
      <c r="C1297" s="1828"/>
      <c r="D1297" s="1828"/>
      <c r="E1297" s="844"/>
      <c r="R1297" s="845"/>
      <c r="S1297" s="845"/>
      <c r="T1297" s="845"/>
      <c r="U1297" s="845"/>
      <c r="V1297" s="845"/>
      <c r="W1297" s="845"/>
      <c r="X1297" s="845"/>
      <c r="Y1297" s="845"/>
    </row>
    <row r="1298" spans="1:25" x14ac:dyDescent="0.2">
      <c r="A1298" s="1828"/>
      <c r="B1298" s="1828"/>
      <c r="C1298" s="1828"/>
      <c r="D1298" s="1828"/>
      <c r="E1298" s="844"/>
      <c r="R1298" s="845"/>
      <c r="S1298" s="845"/>
      <c r="T1298" s="845"/>
      <c r="U1298" s="845"/>
      <c r="V1298" s="845"/>
      <c r="W1298" s="845"/>
      <c r="X1298" s="845"/>
      <c r="Y1298" s="845"/>
    </row>
    <row r="1299" spans="1:25" x14ac:dyDescent="0.2">
      <c r="A1299" s="1828"/>
      <c r="B1299" s="1828"/>
      <c r="C1299" s="1828"/>
      <c r="D1299" s="1828"/>
      <c r="E1299" s="844"/>
      <c r="R1299" s="845"/>
      <c r="S1299" s="845"/>
      <c r="T1299" s="845"/>
      <c r="U1299" s="845"/>
      <c r="V1299" s="845"/>
      <c r="W1299" s="845"/>
      <c r="X1299" s="845"/>
      <c r="Y1299" s="845"/>
    </row>
    <row r="1300" spans="1:25" x14ac:dyDescent="0.2">
      <c r="A1300" s="1828"/>
      <c r="B1300" s="1828"/>
      <c r="C1300" s="1828"/>
      <c r="D1300" s="1828"/>
      <c r="E1300" s="844"/>
      <c r="R1300" s="845"/>
      <c r="S1300" s="845"/>
      <c r="T1300" s="845"/>
      <c r="U1300" s="845"/>
      <c r="V1300" s="845"/>
      <c r="W1300" s="845"/>
      <c r="X1300" s="845"/>
      <c r="Y1300" s="845"/>
    </row>
    <row r="1301" spans="1:25" x14ac:dyDescent="0.2">
      <c r="A1301" s="1828"/>
      <c r="B1301" s="1828"/>
      <c r="C1301" s="1828"/>
      <c r="D1301" s="1828"/>
      <c r="E1301" s="844"/>
      <c r="R1301" s="845"/>
      <c r="S1301" s="845"/>
      <c r="T1301" s="845"/>
      <c r="U1301" s="845"/>
      <c r="V1301" s="845"/>
      <c r="W1301" s="845"/>
      <c r="X1301" s="845"/>
      <c r="Y1301" s="845"/>
    </row>
    <row r="1302" spans="1:25" x14ac:dyDescent="0.2">
      <c r="A1302" s="1828"/>
      <c r="B1302" s="1828"/>
      <c r="C1302" s="1828"/>
      <c r="D1302" s="1828"/>
      <c r="E1302" s="844"/>
      <c r="R1302" s="845"/>
      <c r="S1302" s="845"/>
      <c r="T1302" s="845"/>
      <c r="U1302" s="845"/>
      <c r="V1302" s="845"/>
      <c r="W1302" s="845"/>
      <c r="X1302" s="845"/>
      <c r="Y1302" s="845"/>
    </row>
    <row r="1303" spans="1:25" x14ac:dyDescent="0.2">
      <c r="A1303" s="1828"/>
      <c r="B1303" s="1828"/>
      <c r="C1303" s="1828"/>
      <c r="D1303" s="1828"/>
      <c r="E1303" s="844"/>
      <c r="R1303" s="845"/>
      <c r="S1303" s="845"/>
      <c r="T1303" s="845"/>
      <c r="U1303" s="845"/>
      <c r="V1303" s="845"/>
      <c r="W1303" s="845"/>
      <c r="X1303" s="845"/>
      <c r="Y1303" s="845"/>
    </row>
    <row r="1304" spans="1:25" x14ac:dyDescent="0.2">
      <c r="A1304" s="1828"/>
      <c r="B1304" s="1828"/>
      <c r="C1304" s="1828"/>
      <c r="D1304" s="1828"/>
      <c r="E1304" s="844"/>
      <c r="R1304" s="845"/>
      <c r="S1304" s="845"/>
      <c r="T1304" s="845"/>
      <c r="U1304" s="845"/>
      <c r="V1304" s="845"/>
      <c r="W1304" s="845"/>
      <c r="X1304" s="845"/>
      <c r="Y1304" s="845"/>
    </row>
    <row r="1305" spans="1:25" x14ac:dyDescent="0.2">
      <c r="A1305" s="1828"/>
      <c r="B1305" s="1828"/>
      <c r="C1305" s="1828"/>
      <c r="D1305" s="1828"/>
      <c r="E1305" s="844"/>
      <c r="R1305" s="845"/>
      <c r="S1305" s="845"/>
      <c r="T1305" s="845"/>
      <c r="U1305" s="845"/>
      <c r="V1305" s="845"/>
      <c r="W1305" s="845"/>
      <c r="X1305" s="845"/>
      <c r="Y1305" s="845"/>
    </row>
    <row r="1306" spans="1:25" x14ac:dyDescent="0.2">
      <c r="A1306" s="1828"/>
      <c r="B1306" s="1828"/>
      <c r="C1306" s="1828"/>
      <c r="D1306" s="1828"/>
      <c r="E1306" s="844"/>
      <c r="R1306" s="845"/>
      <c r="S1306" s="845"/>
      <c r="T1306" s="845"/>
      <c r="U1306" s="845"/>
      <c r="V1306" s="845"/>
      <c r="W1306" s="845"/>
      <c r="X1306" s="845"/>
      <c r="Y1306" s="845"/>
    </row>
    <row r="1307" spans="1:25" x14ac:dyDescent="0.2">
      <c r="A1307" s="1828"/>
      <c r="B1307" s="1828"/>
      <c r="C1307" s="1828"/>
      <c r="D1307" s="1828"/>
      <c r="E1307" s="844"/>
      <c r="R1307" s="845"/>
      <c r="S1307" s="845"/>
      <c r="T1307" s="845"/>
      <c r="U1307" s="845"/>
      <c r="V1307" s="845"/>
      <c r="W1307" s="845"/>
      <c r="X1307" s="845"/>
      <c r="Y1307" s="845"/>
    </row>
    <row r="1308" spans="1:25" x14ac:dyDescent="0.2">
      <c r="A1308" s="1828"/>
      <c r="B1308" s="1828"/>
      <c r="C1308" s="1828"/>
      <c r="D1308" s="1828"/>
      <c r="E1308" s="844"/>
      <c r="R1308" s="845"/>
      <c r="S1308" s="845"/>
      <c r="T1308" s="845"/>
      <c r="U1308" s="845"/>
      <c r="V1308" s="845"/>
      <c r="W1308" s="845"/>
      <c r="X1308" s="845"/>
      <c r="Y1308" s="845"/>
    </row>
    <row r="1309" spans="1:25" x14ac:dyDescent="0.2">
      <c r="A1309" s="1828"/>
      <c r="B1309" s="1828"/>
      <c r="C1309" s="1828"/>
      <c r="D1309" s="1828"/>
      <c r="E1309" s="844"/>
      <c r="R1309" s="845"/>
      <c r="S1309" s="845"/>
      <c r="T1309" s="845"/>
      <c r="U1309" s="845"/>
      <c r="V1309" s="845"/>
      <c r="W1309" s="845"/>
      <c r="X1309" s="845"/>
      <c r="Y1309" s="845"/>
    </row>
    <row r="1310" spans="1:25" x14ac:dyDescent="0.2">
      <c r="A1310" s="1828"/>
      <c r="B1310" s="1828"/>
      <c r="C1310" s="1828"/>
      <c r="D1310" s="1828"/>
      <c r="E1310" s="844"/>
      <c r="R1310" s="845"/>
      <c r="S1310" s="845"/>
      <c r="T1310" s="845"/>
      <c r="U1310" s="845"/>
      <c r="V1310" s="845"/>
      <c r="W1310" s="845"/>
      <c r="X1310" s="845"/>
      <c r="Y1310" s="845"/>
    </row>
    <row r="1311" spans="1:25" x14ac:dyDescent="0.2">
      <c r="A1311" s="1828"/>
      <c r="B1311" s="1828"/>
      <c r="C1311" s="1828"/>
      <c r="D1311" s="1828"/>
      <c r="E1311" s="844"/>
      <c r="R1311" s="845"/>
      <c r="S1311" s="845"/>
      <c r="T1311" s="845"/>
      <c r="U1311" s="845"/>
      <c r="V1311" s="845"/>
      <c r="W1311" s="845"/>
      <c r="X1311" s="845"/>
      <c r="Y1311" s="845"/>
    </row>
    <row r="1312" spans="1:25" x14ac:dyDescent="0.2">
      <c r="A1312" s="1828"/>
      <c r="B1312" s="1828"/>
      <c r="C1312" s="1828"/>
      <c r="D1312" s="1828"/>
      <c r="E1312" s="844"/>
      <c r="R1312" s="845"/>
      <c r="S1312" s="845"/>
      <c r="T1312" s="845"/>
      <c r="U1312" s="845"/>
      <c r="V1312" s="845"/>
      <c r="W1312" s="845"/>
      <c r="X1312" s="845"/>
      <c r="Y1312" s="845"/>
    </row>
    <row r="1313" spans="1:25" x14ac:dyDescent="0.2">
      <c r="A1313" s="1828"/>
      <c r="B1313" s="1828"/>
      <c r="C1313" s="1828"/>
      <c r="D1313" s="1828"/>
      <c r="E1313" s="844"/>
      <c r="R1313" s="845"/>
      <c r="S1313" s="845"/>
      <c r="T1313" s="845"/>
      <c r="U1313" s="845"/>
      <c r="V1313" s="845"/>
      <c r="W1313" s="845"/>
      <c r="X1313" s="845"/>
      <c r="Y1313" s="845"/>
    </row>
    <row r="1314" spans="1:25" x14ac:dyDescent="0.2">
      <c r="A1314" s="1828"/>
      <c r="B1314" s="1828"/>
      <c r="C1314" s="1828"/>
      <c r="D1314" s="1828"/>
      <c r="E1314" s="844"/>
      <c r="R1314" s="845"/>
      <c r="S1314" s="845"/>
      <c r="T1314" s="845"/>
      <c r="U1314" s="845"/>
      <c r="V1314" s="845"/>
      <c r="W1314" s="845"/>
      <c r="X1314" s="845"/>
      <c r="Y1314" s="845"/>
    </row>
    <row r="1315" spans="1:25" x14ac:dyDescent="0.2">
      <c r="A1315" s="1828"/>
      <c r="B1315" s="1828"/>
      <c r="C1315" s="1828"/>
      <c r="D1315" s="1828"/>
      <c r="E1315" s="844"/>
      <c r="R1315" s="845"/>
      <c r="S1315" s="845"/>
      <c r="T1315" s="845"/>
      <c r="U1315" s="845"/>
      <c r="V1315" s="845"/>
      <c r="W1315" s="845"/>
      <c r="X1315" s="845"/>
      <c r="Y1315" s="845"/>
    </row>
    <row r="1316" spans="1:25" x14ac:dyDescent="0.2">
      <c r="A1316" s="1828"/>
      <c r="B1316" s="1828"/>
      <c r="C1316" s="1828"/>
      <c r="D1316" s="1828"/>
      <c r="E1316" s="844"/>
      <c r="R1316" s="845"/>
      <c r="S1316" s="845"/>
      <c r="T1316" s="845"/>
      <c r="U1316" s="845"/>
      <c r="V1316" s="845"/>
      <c r="W1316" s="845"/>
      <c r="X1316" s="845"/>
      <c r="Y1316" s="845"/>
    </row>
    <row r="1317" spans="1:25" x14ac:dyDescent="0.2">
      <c r="A1317" s="1828"/>
      <c r="B1317" s="1828"/>
      <c r="C1317" s="1828"/>
      <c r="D1317" s="1828"/>
      <c r="E1317" s="844"/>
      <c r="R1317" s="845"/>
      <c r="S1317" s="845"/>
      <c r="T1317" s="845"/>
      <c r="U1317" s="845"/>
      <c r="V1317" s="845"/>
      <c r="W1317" s="845"/>
      <c r="X1317" s="845"/>
      <c r="Y1317" s="845"/>
    </row>
    <row r="1318" spans="1:25" x14ac:dyDescent="0.2">
      <c r="A1318" s="1828"/>
      <c r="B1318" s="1828"/>
      <c r="C1318" s="1828"/>
      <c r="D1318" s="1828"/>
      <c r="E1318" s="844"/>
      <c r="R1318" s="845"/>
      <c r="S1318" s="845"/>
      <c r="T1318" s="845"/>
      <c r="U1318" s="845"/>
      <c r="V1318" s="845"/>
      <c r="W1318" s="845"/>
      <c r="X1318" s="845"/>
      <c r="Y1318" s="845"/>
    </row>
    <row r="1319" spans="1:25" x14ac:dyDescent="0.2">
      <c r="A1319" s="1828"/>
      <c r="B1319" s="1828"/>
      <c r="C1319" s="1828"/>
      <c r="D1319" s="1828"/>
      <c r="E1319" s="844"/>
      <c r="R1319" s="845"/>
      <c r="S1319" s="845"/>
      <c r="T1319" s="845"/>
      <c r="U1319" s="845"/>
      <c r="V1319" s="845"/>
      <c r="W1319" s="845"/>
      <c r="X1319" s="845"/>
      <c r="Y1319" s="845"/>
    </row>
    <row r="1320" spans="1:25" x14ac:dyDescent="0.2">
      <c r="A1320" s="1828"/>
      <c r="B1320" s="1828"/>
      <c r="C1320" s="1828"/>
      <c r="D1320" s="1828"/>
      <c r="E1320" s="844"/>
      <c r="R1320" s="845"/>
      <c r="S1320" s="845"/>
      <c r="T1320" s="845"/>
      <c r="U1320" s="845"/>
      <c r="V1320" s="845"/>
      <c r="W1320" s="845"/>
      <c r="X1320" s="845"/>
      <c r="Y1320" s="845"/>
    </row>
    <row r="1321" spans="1:25" x14ac:dyDescent="0.2">
      <c r="A1321" s="1828"/>
      <c r="B1321" s="1828"/>
      <c r="C1321" s="1828"/>
      <c r="D1321" s="1828"/>
      <c r="E1321" s="844"/>
      <c r="R1321" s="845"/>
      <c r="S1321" s="845"/>
      <c r="T1321" s="845"/>
      <c r="U1321" s="845"/>
      <c r="V1321" s="845"/>
      <c r="W1321" s="845"/>
      <c r="X1321" s="845"/>
      <c r="Y1321" s="845"/>
    </row>
    <row r="1322" spans="1:25" x14ac:dyDescent="0.2">
      <c r="A1322" s="1828"/>
      <c r="B1322" s="1828"/>
      <c r="C1322" s="1828"/>
      <c r="D1322" s="1828"/>
      <c r="E1322" s="844"/>
      <c r="R1322" s="845"/>
      <c r="S1322" s="845"/>
      <c r="T1322" s="845"/>
      <c r="U1322" s="845"/>
      <c r="V1322" s="845"/>
      <c r="W1322" s="845"/>
      <c r="X1322" s="845"/>
      <c r="Y1322" s="845"/>
    </row>
    <row r="1323" spans="1:25" x14ac:dyDescent="0.2">
      <c r="A1323" s="1828"/>
      <c r="B1323" s="1828"/>
      <c r="C1323" s="1828"/>
      <c r="D1323" s="1828"/>
      <c r="E1323" s="844"/>
      <c r="R1323" s="845"/>
      <c r="S1323" s="845"/>
      <c r="T1323" s="845"/>
      <c r="U1323" s="845"/>
      <c r="V1323" s="845"/>
      <c r="W1323" s="845"/>
      <c r="X1323" s="845"/>
      <c r="Y1323" s="845"/>
    </row>
    <row r="1324" spans="1:25" x14ac:dyDescent="0.2">
      <c r="A1324" s="1828"/>
      <c r="B1324" s="1828"/>
      <c r="C1324" s="1828"/>
      <c r="D1324" s="1828"/>
      <c r="E1324" s="844"/>
      <c r="R1324" s="845"/>
      <c r="S1324" s="845"/>
      <c r="T1324" s="845"/>
      <c r="U1324" s="845"/>
      <c r="V1324" s="845"/>
      <c r="W1324" s="845"/>
      <c r="X1324" s="845"/>
      <c r="Y1324" s="845"/>
    </row>
    <row r="1325" spans="1:25" x14ac:dyDescent="0.2">
      <c r="A1325" s="1828"/>
      <c r="B1325" s="1828"/>
      <c r="C1325" s="1828"/>
      <c r="D1325" s="1828"/>
      <c r="E1325" s="844"/>
      <c r="R1325" s="845"/>
      <c r="S1325" s="845"/>
      <c r="T1325" s="845"/>
      <c r="U1325" s="845"/>
      <c r="V1325" s="845"/>
      <c r="W1325" s="845"/>
      <c r="X1325" s="845"/>
      <c r="Y1325" s="845"/>
    </row>
    <row r="1326" spans="1:25" x14ac:dyDescent="0.2">
      <c r="A1326" s="1828"/>
      <c r="B1326" s="1828"/>
      <c r="C1326" s="1828"/>
      <c r="D1326" s="1828"/>
      <c r="E1326" s="844"/>
      <c r="R1326" s="845"/>
      <c r="S1326" s="845"/>
      <c r="T1326" s="845"/>
      <c r="U1326" s="845"/>
      <c r="V1326" s="845"/>
      <c r="W1326" s="845"/>
      <c r="X1326" s="845"/>
      <c r="Y1326" s="845"/>
    </row>
    <row r="1327" spans="1:25" x14ac:dyDescent="0.2">
      <c r="A1327" s="1828"/>
      <c r="B1327" s="1828"/>
      <c r="C1327" s="1828"/>
      <c r="D1327" s="1828"/>
      <c r="E1327" s="844"/>
      <c r="R1327" s="845"/>
      <c r="S1327" s="845"/>
      <c r="T1327" s="845"/>
      <c r="U1327" s="845"/>
      <c r="V1327" s="845"/>
      <c r="W1327" s="845"/>
      <c r="X1327" s="845"/>
      <c r="Y1327" s="845"/>
    </row>
    <row r="1328" spans="1:25" x14ac:dyDescent="0.2">
      <c r="A1328" s="1828"/>
      <c r="B1328" s="1828"/>
      <c r="C1328" s="1828"/>
      <c r="D1328" s="1828"/>
      <c r="E1328" s="844"/>
      <c r="R1328" s="845"/>
      <c r="S1328" s="845"/>
      <c r="T1328" s="845"/>
      <c r="U1328" s="845"/>
      <c r="V1328" s="845"/>
      <c r="W1328" s="845"/>
      <c r="X1328" s="845"/>
      <c r="Y1328" s="845"/>
    </row>
    <row r="1329" spans="1:25" x14ac:dyDescent="0.2">
      <c r="A1329" s="1828"/>
      <c r="B1329" s="1828"/>
      <c r="C1329" s="1828"/>
      <c r="D1329" s="1828"/>
      <c r="E1329" s="844"/>
      <c r="R1329" s="845"/>
      <c r="S1329" s="845"/>
      <c r="T1329" s="845"/>
      <c r="U1329" s="845"/>
      <c r="V1329" s="845"/>
      <c r="W1329" s="845"/>
      <c r="X1329" s="845"/>
      <c r="Y1329" s="845"/>
    </row>
    <row r="1330" spans="1:25" x14ac:dyDescent="0.2">
      <c r="A1330" s="1828"/>
      <c r="B1330" s="1828"/>
      <c r="C1330" s="1828"/>
      <c r="D1330" s="1828"/>
      <c r="E1330" s="844"/>
      <c r="R1330" s="845"/>
      <c r="S1330" s="845"/>
      <c r="T1330" s="845"/>
      <c r="U1330" s="845"/>
      <c r="V1330" s="845"/>
      <c r="W1330" s="845"/>
      <c r="X1330" s="845"/>
      <c r="Y1330" s="845"/>
    </row>
    <row r="1331" spans="1:25" x14ac:dyDescent="0.2">
      <c r="A1331" s="1828"/>
      <c r="B1331" s="1828"/>
      <c r="C1331" s="1828"/>
      <c r="D1331" s="1828"/>
      <c r="E1331" s="844"/>
      <c r="R1331" s="845"/>
      <c r="S1331" s="845"/>
      <c r="T1331" s="845"/>
      <c r="U1331" s="845"/>
      <c r="V1331" s="845"/>
      <c r="W1331" s="845"/>
      <c r="X1331" s="845"/>
      <c r="Y1331" s="845"/>
    </row>
    <row r="1332" spans="1:25" x14ac:dyDescent="0.2">
      <c r="A1332" s="1828"/>
      <c r="B1332" s="1828"/>
      <c r="C1332" s="1828"/>
      <c r="D1332" s="1828"/>
      <c r="E1332" s="844"/>
      <c r="R1332" s="845"/>
      <c r="S1332" s="845"/>
      <c r="T1332" s="845"/>
      <c r="U1332" s="845"/>
      <c r="V1332" s="845"/>
      <c r="W1332" s="845"/>
      <c r="X1332" s="845"/>
      <c r="Y1332" s="845"/>
    </row>
    <row r="1333" spans="1:25" x14ac:dyDescent="0.2">
      <c r="A1333" s="1828"/>
      <c r="B1333" s="1828"/>
      <c r="C1333" s="1828"/>
      <c r="D1333" s="1828"/>
      <c r="E1333" s="844"/>
      <c r="R1333" s="845"/>
      <c r="S1333" s="845"/>
      <c r="T1333" s="845"/>
      <c r="U1333" s="845"/>
      <c r="V1333" s="845"/>
      <c r="W1333" s="845"/>
      <c r="X1333" s="845"/>
      <c r="Y1333" s="845"/>
    </row>
    <row r="1334" spans="1:25" x14ac:dyDescent="0.2">
      <c r="A1334" s="1828"/>
      <c r="B1334" s="1828"/>
      <c r="C1334" s="1828"/>
      <c r="D1334" s="1828"/>
      <c r="E1334" s="844"/>
      <c r="R1334" s="845"/>
      <c r="S1334" s="845"/>
      <c r="T1334" s="845"/>
      <c r="U1334" s="845"/>
      <c r="V1334" s="845"/>
      <c r="W1334" s="845"/>
      <c r="X1334" s="845"/>
      <c r="Y1334" s="845"/>
    </row>
    <row r="1335" spans="1:25" x14ac:dyDescent="0.2">
      <c r="A1335" s="1828"/>
      <c r="B1335" s="1828"/>
      <c r="C1335" s="1828"/>
      <c r="D1335" s="1828"/>
      <c r="E1335" s="844"/>
      <c r="R1335" s="845"/>
      <c r="S1335" s="845"/>
      <c r="T1335" s="845"/>
      <c r="U1335" s="845"/>
      <c r="V1335" s="845"/>
      <c r="W1335" s="845"/>
      <c r="X1335" s="845"/>
      <c r="Y1335" s="845"/>
    </row>
    <row r="1336" spans="1:25" x14ac:dyDescent="0.2">
      <c r="A1336" s="1828"/>
      <c r="B1336" s="1828"/>
      <c r="C1336" s="1828"/>
      <c r="D1336" s="1828"/>
      <c r="E1336" s="844"/>
      <c r="R1336" s="845"/>
      <c r="S1336" s="845"/>
      <c r="T1336" s="845"/>
      <c r="U1336" s="845"/>
      <c r="V1336" s="845"/>
      <c r="W1336" s="845"/>
      <c r="X1336" s="845"/>
      <c r="Y1336" s="845"/>
    </row>
    <row r="1337" spans="1:25" x14ac:dyDescent="0.2">
      <c r="A1337" s="1828"/>
      <c r="B1337" s="1828"/>
      <c r="C1337" s="1828"/>
      <c r="D1337" s="1828"/>
      <c r="E1337" s="844"/>
      <c r="R1337" s="845"/>
      <c r="S1337" s="845"/>
      <c r="T1337" s="845"/>
      <c r="U1337" s="845"/>
      <c r="V1337" s="845"/>
      <c r="W1337" s="845"/>
      <c r="X1337" s="845"/>
      <c r="Y1337" s="845"/>
    </row>
    <row r="1338" spans="1:25" x14ac:dyDescent="0.2">
      <c r="A1338" s="1828"/>
      <c r="B1338" s="1828"/>
      <c r="C1338" s="1828"/>
      <c r="D1338" s="1828"/>
      <c r="E1338" s="844"/>
      <c r="R1338" s="845"/>
      <c r="S1338" s="845"/>
      <c r="T1338" s="845"/>
      <c r="U1338" s="845"/>
      <c r="V1338" s="845"/>
      <c r="W1338" s="845"/>
      <c r="X1338" s="845"/>
      <c r="Y1338" s="845"/>
    </row>
    <row r="1339" spans="1:25" x14ac:dyDescent="0.2">
      <c r="A1339" s="1828"/>
      <c r="B1339" s="1828"/>
      <c r="C1339" s="1828"/>
      <c r="D1339" s="1828"/>
      <c r="E1339" s="844"/>
      <c r="R1339" s="845"/>
      <c r="S1339" s="845"/>
      <c r="T1339" s="845"/>
      <c r="U1339" s="845"/>
      <c r="V1339" s="845"/>
      <c r="W1339" s="845"/>
      <c r="X1339" s="845"/>
      <c r="Y1339" s="845"/>
    </row>
    <row r="1340" spans="1:25" x14ac:dyDescent="0.2">
      <c r="A1340" s="1828"/>
      <c r="B1340" s="1828"/>
      <c r="C1340" s="1828"/>
      <c r="D1340" s="1828"/>
      <c r="E1340" s="844"/>
      <c r="R1340" s="845"/>
      <c r="S1340" s="845"/>
      <c r="T1340" s="845"/>
      <c r="U1340" s="845"/>
      <c r="V1340" s="845"/>
      <c r="W1340" s="845"/>
      <c r="X1340" s="845"/>
      <c r="Y1340" s="845"/>
    </row>
    <row r="1341" spans="1:25" x14ac:dyDescent="0.2">
      <c r="A1341" s="1828"/>
      <c r="B1341" s="1828"/>
      <c r="C1341" s="1828"/>
      <c r="D1341" s="1828"/>
      <c r="E1341" s="844"/>
      <c r="R1341" s="845"/>
      <c r="S1341" s="845"/>
      <c r="T1341" s="845"/>
      <c r="U1341" s="845"/>
      <c r="V1341" s="845"/>
      <c r="W1341" s="845"/>
      <c r="X1341" s="845"/>
      <c r="Y1341" s="845"/>
    </row>
    <row r="1342" spans="1:25" x14ac:dyDescent="0.2">
      <c r="A1342" s="1828"/>
      <c r="B1342" s="1828"/>
      <c r="C1342" s="1828"/>
      <c r="D1342" s="1828"/>
      <c r="E1342" s="844"/>
      <c r="R1342" s="845"/>
      <c r="S1342" s="845"/>
      <c r="T1342" s="845"/>
      <c r="U1342" s="845"/>
      <c r="V1342" s="845"/>
      <c r="W1342" s="845"/>
      <c r="X1342" s="845"/>
      <c r="Y1342" s="845"/>
    </row>
    <row r="1343" spans="1:25" x14ac:dyDescent="0.2">
      <c r="A1343" s="1828"/>
      <c r="B1343" s="1828"/>
      <c r="C1343" s="1828"/>
      <c r="D1343" s="1828"/>
      <c r="E1343" s="844"/>
      <c r="R1343" s="845"/>
      <c r="S1343" s="845"/>
      <c r="T1343" s="845"/>
      <c r="U1343" s="845"/>
      <c r="V1343" s="845"/>
      <c r="W1343" s="845"/>
      <c r="X1343" s="845"/>
      <c r="Y1343" s="845"/>
    </row>
    <row r="1344" spans="1:25" x14ac:dyDescent="0.2">
      <c r="A1344" s="1828"/>
      <c r="B1344" s="1828"/>
      <c r="C1344" s="1828"/>
      <c r="D1344" s="1828"/>
      <c r="E1344" s="844"/>
      <c r="R1344" s="845"/>
      <c r="S1344" s="845"/>
      <c r="T1344" s="845"/>
      <c r="U1344" s="845"/>
      <c r="V1344" s="845"/>
      <c r="W1344" s="845"/>
      <c r="X1344" s="845"/>
      <c r="Y1344" s="845"/>
    </row>
    <row r="1345" spans="1:25" x14ac:dyDescent="0.2">
      <c r="A1345" s="1828"/>
      <c r="B1345" s="1828"/>
      <c r="C1345" s="1828"/>
      <c r="D1345" s="1828"/>
      <c r="E1345" s="844"/>
      <c r="R1345" s="845"/>
      <c r="S1345" s="845"/>
      <c r="T1345" s="845"/>
      <c r="U1345" s="845"/>
      <c r="V1345" s="845"/>
      <c r="W1345" s="845"/>
      <c r="X1345" s="845"/>
      <c r="Y1345" s="845"/>
    </row>
    <row r="1346" spans="1:25" x14ac:dyDescent="0.2">
      <c r="A1346" s="1828"/>
      <c r="B1346" s="1828"/>
      <c r="C1346" s="1828"/>
      <c r="D1346" s="1828"/>
      <c r="E1346" s="844"/>
      <c r="R1346" s="845"/>
      <c r="S1346" s="845"/>
      <c r="T1346" s="845"/>
      <c r="U1346" s="845"/>
      <c r="V1346" s="845"/>
      <c r="W1346" s="845"/>
      <c r="X1346" s="845"/>
      <c r="Y1346" s="845"/>
    </row>
    <row r="1347" spans="1:25" x14ac:dyDescent="0.2">
      <c r="A1347" s="1828"/>
      <c r="B1347" s="1828"/>
      <c r="C1347" s="1828"/>
      <c r="D1347" s="1828"/>
      <c r="E1347" s="844"/>
      <c r="R1347" s="845"/>
      <c r="S1347" s="845"/>
      <c r="T1347" s="845"/>
      <c r="U1347" s="845"/>
      <c r="V1347" s="845"/>
      <c r="W1347" s="845"/>
      <c r="X1347" s="845"/>
      <c r="Y1347" s="845"/>
    </row>
    <row r="1348" spans="1:25" x14ac:dyDescent="0.2">
      <c r="A1348" s="1828"/>
      <c r="B1348" s="1828"/>
      <c r="C1348" s="1828"/>
      <c r="D1348" s="1828"/>
      <c r="E1348" s="844"/>
      <c r="R1348" s="845"/>
      <c r="S1348" s="845"/>
      <c r="T1348" s="845"/>
      <c r="U1348" s="845"/>
      <c r="V1348" s="845"/>
      <c r="W1348" s="845"/>
      <c r="X1348" s="845"/>
      <c r="Y1348" s="845"/>
    </row>
    <row r="1349" spans="1:25" x14ac:dyDescent="0.2">
      <c r="A1349" s="1828"/>
      <c r="B1349" s="1828"/>
      <c r="C1349" s="1828"/>
      <c r="D1349" s="1828"/>
      <c r="E1349" s="844"/>
      <c r="R1349" s="845"/>
      <c r="S1349" s="845"/>
      <c r="T1349" s="845"/>
      <c r="U1349" s="845"/>
      <c r="V1349" s="845"/>
      <c r="W1349" s="845"/>
      <c r="X1349" s="845"/>
      <c r="Y1349" s="845"/>
    </row>
    <row r="1350" spans="1:25" x14ac:dyDescent="0.2">
      <c r="A1350" s="1828"/>
      <c r="B1350" s="1828"/>
      <c r="C1350" s="1828"/>
      <c r="D1350" s="1828"/>
      <c r="E1350" s="844"/>
      <c r="R1350" s="845"/>
      <c r="S1350" s="845"/>
      <c r="T1350" s="845"/>
      <c r="U1350" s="845"/>
      <c r="V1350" s="845"/>
      <c r="W1350" s="845"/>
      <c r="X1350" s="845"/>
      <c r="Y1350" s="845"/>
    </row>
    <row r="1351" spans="1:25" x14ac:dyDescent="0.2">
      <c r="A1351" s="1828"/>
      <c r="B1351" s="1828"/>
      <c r="C1351" s="1828"/>
      <c r="D1351" s="1828"/>
      <c r="E1351" s="844"/>
      <c r="R1351" s="845"/>
      <c r="S1351" s="845"/>
      <c r="T1351" s="845"/>
      <c r="U1351" s="845"/>
      <c r="V1351" s="845"/>
      <c r="W1351" s="845"/>
      <c r="X1351" s="845"/>
      <c r="Y1351" s="845"/>
    </row>
    <row r="1352" spans="1:25" x14ac:dyDescent="0.2">
      <c r="A1352" s="1828"/>
      <c r="B1352" s="1828"/>
      <c r="C1352" s="1828"/>
      <c r="D1352" s="1828"/>
      <c r="E1352" s="844"/>
      <c r="R1352" s="845"/>
      <c r="S1352" s="845"/>
      <c r="T1352" s="845"/>
      <c r="U1352" s="845"/>
      <c r="V1352" s="845"/>
      <c r="W1352" s="845"/>
      <c r="X1352" s="845"/>
      <c r="Y1352" s="845"/>
    </row>
    <row r="1353" spans="1:25" x14ac:dyDescent="0.2">
      <c r="A1353" s="1828"/>
      <c r="B1353" s="1828"/>
      <c r="C1353" s="1828"/>
      <c r="D1353" s="1828"/>
      <c r="E1353" s="844"/>
      <c r="R1353" s="845"/>
      <c r="S1353" s="845"/>
      <c r="T1353" s="845"/>
      <c r="U1353" s="845"/>
      <c r="V1353" s="845"/>
      <c r="W1353" s="845"/>
      <c r="X1353" s="845"/>
      <c r="Y1353" s="845"/>
    </row>
    <row r="1354" spans="1:25" x14ac:dyDescent="0.2">
      <c r="A1354" s="1828"/>
      <c r="B1354" s="1828"/>
      <c r="C1354" s="1828"/>
      <c r="D1354" s="1828"/>
      <c r="E1354" s="844"/>
      <c r="R1354" s="845"/>
      <c r="S1354" s="845"/>
      <c r="T1354" s="845"/>
      <c r="U1354" s="845"/>
      <c r="V1354" s="845"/>
      <c r="W1354" s="845"/>
      <c r="X1354" s="845"/>
      <c r="Y1354" s="845"/>
    </row>
    <row r="1355" spans="1:25" x14ac:dyDescent="0.2">
      <c r="A1355" s="1828"/>
      <c r="B1355" s="1828"/>
      <c r="C1355" s="1828"/>
      <c r="D1355" s="1828"/>
      <c r="E1355" s="844"/>
      <c r="R1355" s="845"/>
      <c r="S1355" s="845"/>
      <c r="T1355" s="845"/>
      <c r="U1355" s="845"/>
      <c r="V1355" s="845"/>
      <c r="W1355" s="845"/>
      <c r="X1355" s="845"/>
      <c r="Y1355" s="845"/>
    </row>
    <row r="1356" spans="1:25" x14ac:dyDescent="0.2">
      <c r="A1356" s="1828"/>
      <c r="B1356" s="1828"/>
      <c r="C1356" s="1828"/>
      <c r="D1356" s="1828"/>
      <c r="E1356" s="844"/>
      <c r="R1356" s="845"/>
      <c r="S1356" s="845"/>
      <c r="T1356" s="845"/>
      <c r="U1356" s="845"/>
      <c r="V1356" s="845"/>
      <c r="W1356" s="845"/>
      <c r="X1356" s="845"/>
      <c r="Y1356" s="845"/>
    </row>
    <row r="1357" spans="1:25" x14ac:dyDescent="0.2">
      <c r="A1357" s="1828"/>
      <c r="B1357" s="1828"/>
      <c r="C1357" s="1828"/>
      <c r="D1357" s="1828"/>
      <c r="E1357" s="844"/>
      <c r="R1357" s="845"/>
      <c r="S1357" s="845"/>
      <c r="T1357" s="845"/>
      <c r="U1357" s="845"/>
      <c r="V1357" s="845"/>
      <c r="W1357" s="845"/>
      <c r="X1357" s="845"/>
      <c r="Y1357" s="845"/>
    </row>
    <row r="1358" spans="1:25" x14ac:dyDescent="0.2">
      <c r="A1358" s="1828"/>
      <c r="B1358" s="1828"/>
      <c r="C1358" s="1828"/>
      <c r="D1358" s="1828"/>
      <c r="E1358" s="844"/>
      <c r="R1358" s="845"/>
      <c r="S1358" s="845"/>
      <c r="T1358" s="845"/>
      <c r="U1358" s="845"/>
      <c r="V1358" s="845"/>
      <c r="W1358" s="845"/>
      <c r="X1358" s="845"/>
      <c r="Y1358" s="845"/>
    </row>
    <row r="1359" spans="1:25" x14ac:dyDescent="0.2">
      <c r="A1359" s="1828"/>
      <c r="B1359" s="1828"/>
      <c r="C1359" s="1828"/>
      <c r="D1359" s="1828"/>
      <c r="E1359" s="844"/>
      <c r="R1359" s="845"/>
      <c r="S1359" s="845"/>
      <c r="T1359" s="845"/>
      <c r="U1359" s="845"/>
      <c r="V1359" s="845"/>
      <c r="W1359" s="845"/>
      <c r="X1359" s="845"/>
      <c r="Y1359" s="845"/>
    </row>
    <row r="1360" spans="1:25" x14ac:dyDescent="0.2">
      <c r="A1360" s="1828"/>
      <c r="B1360" s="1828"/>
      <c r="C1360" s="1828"/>
      <c r="D1360" s="1828"/>
      <c r="E1360" s="844"/>
      <c r="R1360" s="845"/>
      <c r="S1360" s="845"/>
      <c r="T1360" s="845"/>
      <c r="U1360" s="845"/>
      <c r="V1360" s="845"/>
      <c r="W1360" s="845"/>
      <c r="X1360" s="845"/>
      <c r="Y1360" s="845"/>
    </row>
    <row r="1361" spans="1:25" x14ac:dyDescent="0.2">
      <c r="A1361" s="1828"/>
      <c r="B1361" s="1828"/>
      <c r="C1361" s="1828"/>
      <c r="D1361" s="1828"/>
      <c r="E1361" s="844"/>
      <c r="R1361" s="845"/>
      <c r="S1361" s="845"/>
      <c r="T1361" s="845"/>
      <c r="U1361" s="845"/>
      <c r="V1361" s="845"/>
      <c r="W1361" s="845"/>
      <c r="X1361" s="845"/>
      <c r="Y1361" s="845"/>
    </row>
    <row r="1362" spans="1:25" x14ac:dyDescent="0.2">
      <c r="A1362" s="1828"/>
      <c r="B1362" s="1828"/>
      <c r="C1362" s="1828"/>
      <c r="D1362" s="1828"/>
      <c r="E1362" s="844"/>
      <c r="R1362" s="845"/>
      <c r="S1362" s="845"/>
      <c r="T1362" s="845"/>
      <c r="U1362" s="845"/>
      <c r="V1362" s="845"/>
      <c r="W1362" s="845"/>
      <c r="X1362" s="845"/>
      <c r="Y1362" s="845"/>
    </row>
    <row r="1363" spans="1:25" x14ac:dyDescent="0.2">
      <c r="A1363" s="1828"/>
      <c r="B1363" s="1828"/>
      <c r="C1363" s="1828"/>
      <c r="D1363" s="1828"/>
      <c r="E1363" s="844"/>
      <c r="R1363" s="845"/>
      <c r="S1363" s="845"/>
      <c r="T1363" s="845"/>
      <c r="U1363" s="845"/>
      <c r="V1363" s="845"/>
      <c r="W1363" s="845"/>
      <c r="X1363" s="845"/>
      <c r="Y1363" s="845"/>
    </row>
    <row r="1364" spans="1:25" x14ac:dyDescent="0.2">
      <c r="A1364" s="1828"/>
      <c r="B1364" s="1828"/>
      <c r="C1364" s="1828"/>
      <c r="D1364" s="1828"/>
      <c r="E1364" s="844"/>
      <c r="R1364" s="845"/>
      <c r="S1364" s="845"/>
      <c r="T1364" s="845"/>
      <c r="U1364" s="845"/>
      <c r="V1364" s="845"/>
      <c r="W1364" s="845"/>
      <c r="X1364" s="845"/>
      <c r="Y1364" s="845"/>
    </row>
    <row r="1365" spans="1:25" x14ac:dyDescent="0.2">
      <c r="A1365" s="1828"/>
      <c r="B1365" s="1828"/>
      <c r="C1365" s="1828"/>
      <c r="D1365" s="1828"/>
      <c r="E1365" s="844"/>
      <c r="R1365" s="845"/>
      <c r="S1365" s="845"/>
      <c r="T1365" s="845"/>
      <c r="U1365" s="845"/>
      <c r="V1365" s="845"/>
      <c r="W1365" s="845"/>
      <c r="X1365" s="845"/>
      <c r="Y1365" s="845"/>
    </row>
    <row r="1366" spans="1:25" x14ac:dyDescent="0.2">
      <c r="A1366" s="1828"/>
      <c r="B1366" s="1828"/>
      <c r="C1366" s="1828"/>
      <c r="D1366" s="1828"/>
      <c r="E1366" s="844"/>
      <c r="R1366" s="845"/>
      <c r="S1366" s="845"/>
      <c r="T1366" s="845"/>
      <c r="U1366" s="845"/>
      <c r="V1366" s="845"/>
      <c r="W1366" s="845"/>
      <c r="X1366" s="845"/>
      <c r="Y1366" s="845"/>
    </row>
    <row r="1367" spans="1:25" x14ac:dyDescent="0.2">
      <c r="A1367" s="1828"/>
      <c r="B1367" s="1828"/>
      <c r="C1367" s="1828"/>
      <c r="D1367" s="1828"/>
      <c r="E1367" s="844"/>
      <c r="R1367" s="845"/>
      <c r="S1367" s="845"/>
      <c r="T1367" s="845"/>
      <c r="U1367" s="845"/>
      <c r="V1367" s="845"/>
      <c r="W1367" s="845"/>
      <c r="X1367" s="845"/>
      <c r="Y1367" s="845"/>
    </row>
    <row r="1368" spans="1:25" x14ac:dyDescent="0.2">
      <c r="A1368" s="1828"/>
      <c r="B1368" s="1828"/>
      <c r="C1368" s="1828"/>
      <c r="D1368" s="1828"/>
      <c r="E1368" s="844"/>
      <c r="R1368" s="845"/>
      <c r="S1368" s="845"/>
      <c r="T1368" s="845"/>
      <c r="U1368" s="845"/>
      <c r="V1368" s="845"/>
      <c r="W1368" s="845"/>
      <c r="X1368" s="845"/>
      <c r="Y1368" s="845"/>
    </row>
    <row r="1369" spans="1:25" x14ac:dyDescent="0.2">
      <c r="A1369" s="1828"/>
      <c r="B1369" s="1828"/>
      <c r="C1369" s="1828"/>
      <c r="D1369" s="1828"/>
      <c r="E1369" s="844"/>
      <c r="R1369" s="845"/>
      <c r="S1369" s="845"/>
      <c r="T1369" s="845"/>
      <c r="U1369" s="845"/>
      <c r="V1369" s="845"/>
      <c r="W1369" s="845"/>
      <c r="X1369" s="845"/>
      <c r="Y1369" s="845"/>
    </row>
    <row r="1370" spans="1:25" x14ac:dyDescent="0.2">
      <c r="A1370" s="1828"/>
      <c r="B1370" s="1828"/>
      <c r="C1370" s="1828"/>
      <c r="D1370" s="1828"/>
      <c r="E1370" s="844"/>
      <c r="R1370" s="845"/>
      <c r="S1370" s="845"/>
      <c r="T1370" s="845"/>
      <c r="U1370" s="845"/>
      <c r="V1370" s="845"/>
      <c r="W1370" s="845"/>
      <c r="X1370" s="845"/>
      <c r="Y1370" s="845"/>
    </row>
    <row r="1371" spans="1:25" x14ac:dyDescent="0.2">
      <c r="A1371" s="1828"/>
      <c r="B1371" s="1828"/>
      <c r="C1371" s="1828"/>
      <c r="D1371" s="1828"/>
      <c r="E1371" s="844"/>
      <c r="R1371" s="845"/>
      <c r="S1371" s="845"/>
      <c r="T1371" s="845"/>
      <c r="U1371" s="845"/>
      <c r="V1371" s="845"/>
      <c r="W1371" s="845"/>
      <c r="X1371" s="845"/>
      <c r="Y1371" s="845"/>
    </row>
    <row r="1372" spans="1:25" x14ac:dyDescent="0.2">
      <c r="A1372" s="1828"/>
      <c r="B1372" s="1828"/>
      <c r="C1372" s="1828"/>
      <c r="D1372" s="1828"/>
      <c r="E1372" s="844"/>
      <c r="R1372" s="845"/>
      <c r="S1372" s="845"/>
      <c r="T1372" s="845"/>
      <c r="U1372" s="845"/>
      <c r="V1372" s="845"/>
      <c r="W1372" s="845"/>
      <c r="X1372" s="845"/>
      <c r="Y1372" s="845"/>
    </row>
    <row r="1373" spans="1:25" x14ac:dyDescent="0.2">
      <c r="A1373" s="1828"/>
      <c r="B1373" s="1828"/>
      <c r="C1373" s="1828"/>
      <c r="D1373" s="1828"/>
      <c r="E1373" s="844"/>
      <c r="R1373" s="845"/>
      <c r="S1373" s="845"/>
      <c r="T1373" s="845"/>
      <c r="U1373" s="845"/>
      <c r="V1373" s="845"/>
      <c r="W1373" s="845"/>
      <c r="X1373" s="845"/>
      <c r="Y1373" s="845"/>
    </row>
    <row r="1374" spans="1:25" x14ac:dyDescent="0.2">
      <c r="A1374" s="1828"/>
      <c r="B1374" s="1828"/>
      <c r="C1374" s="1828"/>
      <c r="D1374" s="1828"/>
      <c r="E1374" s="844"/>
      <c r="R1374" s="845"/>
      <c r="S1374" s="845"/>
      <c r="T1374" s="845"/>
      <c r="U1374" s="845"/>
      <c r="V1374" s="845"/>
      <c r="W1374" s="845"/>
      <c r="X1374" s="845"/>
      <c r="Y1374" s="845"/>
    </row>
    <row r="1375" spans="1:25" x14ac:dyDescent="0.2">
      <c r="A1375" s="1828"/>
      <c r="B1375" s="1828"/>
      <c r="C1375" s="1828"/>
      <c r="D1375" s="1828"/>
      <c r="E1375" s="844"/>
      <c r="R1375" s="845"/>
      <c r="S1375" s="845"/>
      <c r="T1375" s="845"/>
      <c r="U1375" s="845"/>
      <c r="V1375" s="845"/>
      <c r="W1375" s="845"/>
      <c r="X1375" s="845"/>
      <c r="Y1375" s="845"/>
    </row>
    <row r="1376" spans="1:25" x14ac:dyDescent="0.2">
      <c r="A1376" s="1828"/>
      <c r="B1376" s="1828"/>
      <c r="C1376" s="1828"/>
      <c r="D1376" s="1828"/>
      <c r="E1376" s="844"/>
      <c r="R1376" s="845"/>
      <c r="S1376" s="845"/>
      <c r="T1376" s="845"/>
      <c r="U1376" s="845"/>
      <c r="V1376" s="845"/>
      <c r="W1376" s="845"/>
      <c r="X1376" s="845"/>
      <c r="Y1376" s="845"/>
    </row>
    <row r="1377" spans="1:25" x14ac:dyDescent="0.2">
      <c r="A1377" s="1828"/>
      <c r="B1377" s="1828"/>
      <c r="C1377" s="1828"/>
      <c r="D1377" s="1828"/>
      <c r="E1377" s="844"/>
      <c r="R1377" s="845"/>
      <c r="S1377" s="845"/>
      <c r="T1377" s="845"/>
      <c r="U1377" s="845"/>
      <c r="V1377" s="845"/>
      <c r="W1377" s="845"/>
      <c r="X1377" s="845"/>
      <c r="Y1377" s="845"/>
    </row>
    <row r="1378" spans="1:25" x14ac:dyDescent="0.2">
      <c r="A1378" s="1828"/>
      <c r="B1378" s="1828"/>
      <c r="C1378" s="1828"/>
      <c r="D1378" s="1828"/>
      <c r="E1378" s="844"/>
      <c r="R1378" s="845"/>
      <c r="S1378" s="845"/>
      <c r="T1378" s="845"/>
      <c r="U1378" s="845"/>
      <c r="V1378" s="845"/>
      <c r="W1378" s="845"/>
      <c r="X1378" s="845"/>
      <c r="Y1378" s="845"/>
    </row>
    <row r="1379" spans="1:25" x14ac:dyDescent="0.2">
      <c r="A1379" s="1828"/>
      <c r="B1379" s="1828"/>
      <c r="C1379" s="1828"/>
      <c r="D1379" s="1828"/>
      <c r="E1379" s="844"/>
      <c r="R1379" s="845"/>
      <c r="S1379" s="845"/>
      <c r="T1379" s="845"/>
      <c r="U1379" s="845"/>
      <c r="V1379" s="845"/>
      <c r="W1379" s="845"/>
      <c r="X1379" s="845"/>
      <c r="Y1379" s="845"/>
    </row>
    <row r="1380" spans="1:25" x14ac:dyDescent="0.2">
      <c r="A1380" s="1828"/>
      <c r="B1380" s="1828"/>
      <c r="C1380" s="1828"/>
      <c r="D1380" s="1828"/>
      <c r="E1380" s="844"/>
      <c r="R1380" s="845"/>
      <c r="S1380" s="845"/>
      <c r="T1380" s="845"/>
      <c r="U1380" s="845"/>
      <c r="V1380" s="845"/>
      <c r="W1380" s="845"/>
      <c r="X1380" s="845"/>
      <c r="Y1380" s="845"/>
    </row>
    <row r="1381" spans="1:25" x14ac:dyDescent="0.2">
      <c r="A1381" s="1828"/>
      <c r="B1381" s="1828"/>
      <c r="C1381" s="1828"/>
      <c r="D1381" s="1828"/>
      <c r="E1381" s="844"/>
      <c r="R1381" s="845"/>
      <c r="S1381" s="845"/>
      <c r="T1381" s="845"/>
      <c r="U1381" s="845"/>
      <c r="V1381" s="845"/>
      <c r="W1381" s="845"/>
      <c r="X1381" s="845"/>
      <c r="Y1381" s="845"/>
    </row>
    <row r="1382" spans="1:25" x14ac:dyDescent="0.2">
      <c r="A1382" s="1828"/>
      <c r="B1382" s="1828"/>
      <c r="C1382" s="1828"/>
      <c r="D1382" s="1828"/>
      <c r="E1382" s="844"/>
      <c r="R1382" s="845"/>
      <c r="S1382" s="845"/>
      <c r="T1382" s="845"/>
      <c r="U1382" s="845"/>
      <c r="V1382" s="845"/>
      <c r="W1382" s="845"/>
      <c r="X1382" s="845"/>
      <c r="Y1382" s="845"/>
    </row>
    <row r="1383" spans="1:25" x14ac:dyDescent="0.2">
      <c r="A1383" s="1828"/>
      <c r="B1383" s="1828"/>
      <c r="C1383" s="1828"/>
      <c r="D1383" s="1828"/>
      <c r="E1383" s="844"/>
      <c r="R1383" s="845"/>
      <c r="S1383" s="845"/>
      <c r="T1383" s="845"/>
      <c r="U1383" s="845"/>
      <c r="V1383" s="845"/>
      <c r="W1383" s="845"/>
      <c r="X1383" s="845"/>
      <c r="Y1383" s="845"/>
    </row>
    <row r="1384" spans="1:25" x14ac:dyDescent="0.2">
      <c r="A1384" s="1828"/>
      <c r="B1384" s="1828"/>
      <c r="C1384" s="1828"/>
      <c r="D1384" s="1828"/>
      <c r="E1384" s="844"/>
      <c r="R1384" s="845"/>
      <c r="S1384" s="845"/>
      <c r="T1384" s="845"/>
      <c r="U1384" s="845"/>
      <c r="V1384" s="845"/>
      <c r="W1384" s="845"/>
      <c r="X1384" s="845"/>
      <c r="Y1384" s="845"/>
    </row>
    <row r="1385" spans="1:25" x14ac:dyDescent="0.2">
      <c r="A1385" s="1828"/>
      <c r="B1385" s="1828"/>
      <c r="C1385" s="1828"/>
      <c r="D1385" s="1828"/>
      <c r="E1385" s="844"/>
      <c r="R1385" s="845"/>
      <c r="S1385" s="845"/>
      <c r="T1385" s="845"/>
      <c r="U1385" s="845"/>
      <c r="V1385" s="845"/>
      <c r="W1385" s="845"/>
      <c r="X1385" s="845"/>
      <c r="Y1385" s="845"/>
    </row>
    <row r="1386" spans="1:25" x14ac:dyDescent="0.2">
      <c r="A1386" s="1828"/>
      <c r="B1386" s="1828"/>
      <c r="C1386" s="1828"/>
      <c r="D1386" s="1828"/>
      <c r="E1386" s="844"/>
      <c r="R1386" s="845"/>
      <c r="S1386" s="845"/>
      <c r="T1386" s="845"/>
      <c r="U1386" s="845"/>
      <c r="V1386" s="845"/>
      <c r="W1386" s="845"/>
      <c r="X1386" s="845"/>
      <c r="Y1386" s="845"/>
    </row>
    <row r="1387" spans="1:25" x14ac:dyDescent="0.2">
      <c r="A1387" s="1828"/>
      <c r="B1387" s="1828"/>
      <c r="C1387" s="1828"/>
      <c r="D1387" s="1828"/>
      <c r="E1387" s="844"/>
      <c r="R1387" s="845"/>
      <c r="S1387" s="845"/>
      <c r="T1387" s="845"/>
      <c r="U1387" s="845"/>
      <c r="V1387" s="845"/>
      <c r="W1387" s="845"/>
      <c r="X1387" s="845"/>
      <c r="Y1387" s="845"/>
    </row>
    <row r="1388" spans="1:25" x14ac:dyDescent="0.2">
      <c r="A1388" s="1828"/>
      <c r="B1388" s="1828"/>
      <c r="C1388" s="1828"/>
      <c r="D1388" s="1828"/>
      <c r="E1388" s="844"/>
      <c r="R1388" s="845"/>
      <c r="S1388" s="845"/>
      <c r="T1388" s="845"/>
      <c r="U1388" s="845"/>
      <c r="V1388" s="845"/>
      <c r="W1388" s="845"/>
      <c r="X1388" s="845"/>
      <c r="Y1388" s="845"/>
    </row>
    <row r="1389" spans="1:25" x14ac:dyDescent="0.2">
      <c r="A1389" s="1828"/>
      <c r="B1389" s="1828"/>
      <c r="C1389" s="1828"/>
      <c r="D1389" s="1828"/>
      <c r="E1389" s="844"/>
      <c r="R1389" s="845"/>
      <c r="S1389" s="845"/>
      <c r="T1389" s="845"/>
      <c r="U1389" s="845"/>
      <c r="V1389" s="845"/>
      <c r="W1389" s="845"/>
      <c r="X1389" s="845"/>
      <c r="Y1389" s="845"/>
    </row>
    <row r="1390" spans="1:25" x14ac:dyDescent="0.2">
      <c r="A1390" s="1828"/>
      <c r="B1390" s="1828"/>
      <c r="C1390" s="1828"/>
      <c r="D1390" s="1828"/>
      <c r="E1390" s="844"/>
      <c r="R1390" s="845"/>
      <c r="S1390" s="845"/>
      <c r="T1390" s="845"/>
      <c r="U1390" s="845"/>
      <c r="V1390" s="845"/>
      <c r="W1390" s="845"/>
      <c r="X1390" s="845"/>
      <c r="Y1390" s="845"/>
    </row>
    <row r="1391" spans="1:25" x14ac:dyDescent="0.2">
      <c r="A1391" s="1828"/>
      <c r="B1391" s="1828"/>
      <c r="C1391" s="1828"/>
      <c r="D1391" s="1828"/>
      <c r="E1391" s="844"/>
      <c r="R1391" s="845"/>
      <c r="S1391" s="845"/>
      <c r="T1391" s="845"/>
      <c r="U1391" s="845"/>
      <c r="V1391" s="845"/>
      <c r="W1391" s="845"/>
      <c r="X1391" s="845"/>
      <c r="Y1391" s="845"/>
    </row>
    <row r="1392" spans="1:25" x14ac:dyDescent="0.2">
      <c r="A1392" s="1828"/>
      <c r="B1392" s="1828"/>
      <c r="C1392" s="1828"/>
      <c r="D1392" s="1828"/>
      <c r="E1392" s="844"/>
      <c r="R1392" s="845"/>
      <c r="S1392" s="845"/>
      <c r="T1392" s="845"/>
      <c r="U1392" s="845"/>
      <c r="V1392" s="845"/>
      <c r="W1392" s="845"/>
      <c r="X1392" s="845"/>
      <c r="Y1392" s="845"/>
    </row>
    <row r="1393" spans="1:25" x14ac:dyDescent="0.2">
      <c r="A1393" s="1828"/>
      <c r="B1393" s="1828"/>
      <c r="C1393" s="1828"/>
      <c r="D1393" s="1828"/>
      <c r="E1393" s="844"/>
      <c r="R1393" s="845"/>
      <c r="S1393" s="845"/>
      <c r="T1393" s="845"/>
      <c r="U1393" s="845"/>
      <c r="V1393" s="845"/>
      <c r="W1393" s="845"/>
      <c r="X1393" s="845"/>
      <c r="Y1393" s="845"/>
    </row>
    <row r="1394" spans="1:25" x14ac:dyDescent="0.2">
      <c r="A1394" s="1828"/>
      <c r="B1394" s="1828"/>
      <c r="C1394" s="1828"/>
      <c r="D1394" s="1828"/>
      <c r="E1394" s="844"/>
      <c r="R1394" s="845"/>
      <c r="S1394" s="845"/>
      <c r="T1394" s="845"/>
      <c r="U1394" s="845"/>
      <c r="V1394" s="845"/>
      <c r="W1394" s="845"/>
      <c r="X1394" s="845"/>
      <c r="Y1394" s="845"/>
    </row>
    <row r="1395" spans="1:25" x14ac:dyDescent="0.2">
      <c r="A1395" s="1828"/>
      <c r="B1395" s="1828"/>
      <c r="C1395" s="1828"/>
      <c r="D1395" s="1828"/>
      <c r="E1395" s="844"/>
      <c r="R1395" s="845"/>
      <c r="S1395" s="845"/>
      <c r="T1395" s="845"/>
      <c r="U1395" s="845"/>
      <c r="V1395" s="845"/>
      <c r="W1395" s="845"/>
      <c r="X1395" s="845"/>
      <c r="Y1395" s="845"/>
    </row>
    <row r="1396" spans="1:25" x14ac:dyDescent="0.2">
      <c r="A1396" s="1828"/>
      <c r="B1396" s="1828"/>
      <c r="C1396" s="1828"/>
      <c r="D1396" s="1828"/>
      <c r="E1396" s="844"/>
      <c r="R1396" s="845"/>
      <c r="S1396" s="845"/>
      <c r="T1396" s="845"/>
      <c r="U1396" s="845"/>
      <c r="V1396" s="845"/>
      <c r="W1396" s="845"/>
      <c r="X1396" s="845"/>
      <c r="Y1396" s="845"/>
    </row>
    <row r="1397" spans="1:25" x14ac:dyDescent="0.2">
      <c r="A1397" s="1828"/>
      <c r="B1397" s="1828"/>
      <c r="C1397" s="1828"/>
      <c r="D1397" s="1828"/>
      <c r="E1397" s="844"/>
      <c r="R1397" s="845"/>
      <c r="S1397" s="845"/>
      <c r="T1397" s="845"/>
      <c r="U1397" s="845"/>
      <c r="V1397" s="845"/>
      <c r="W1397" s="845"/>
      <c r="X1397" s="845"/>
      <c r="Y1397" s="845"/>
    </row>
    <row r="1398" spans="1:25" x14ac:dyDescent="0.2">
      <c r="A1398" s="1828"/>
      <c r="B1398" s="1828"/>
      <c r="C1398" s="1828"/>
      <c r="D1398" s="1828"/>
      <c r="E1398" s="844"/>
      <c r="R1398" s="845"/>
      <c r="S1398" s="845"/>
      <c r="T1398" s="845"/>
      <c r="U1398" s="845"/>
      <c r="V1398" s="845"/>
      <c r="W1398" s="845"/>
      <c r="X1398" s="845"/>
      <c r="Y1398" s="845"/>
    </row>
    <row r="1399" spans="1:25" x14ac:dyDescent="0.2">
      <c r="A1399" s="1828"/>
      <c r="B1399" s="1828"/>
      <c r="C1399" s="1828"/>
      <c r="D1399" s="1828"/>
      <c r="E1399" s="844"/>
      <c r="R1399" s="845"/>
      <c r="S1399" s="845"/>
      <c r="T1399" s="845"/>
      <c r="U1399" s="845"/>
      <c r="V1399" s="845"/>
      <c r="W1399" s="845"/>
      <c r="X1399" s="845"/>
      <c r="Y1399" s="845"/>
    </row>
    <row r="1400" spans="1:25" x14ac:dyDescent="0.2">
      <c r="A1400" s="1828"/>
      <c r="B1400" s="1828"/>
      <c r="C1400" s="1828"/>
      <c r="D1400" s="1828"/>
      <c r="E1400" s="844"/>
      <c r="R1400" s="845"/>
      <c r="S1400" s="845"/>
      <c r="T1400" s="845"/>
      <c r="U1400" s="845"/>
      <c r="V1400" s="845"/>
      <c r="W1400" s="845"/>
      <c r="X1400" s="845"/>
      <c r="Y1400" s="845"/>
    </row>
    <row r="1401" spans="1:25" x14ac:dyDescent="0.2">
      <c r="A1401" s="1828"/>
      <c r="B1401" s="1828"/>
      <c r="C1401" s="1828"/>
      <c r="D1401" s="1828"/>
      <c r="E1401" s="844"/>
      <c r="R1401" s="845"/>
      <c r="S1401" s="845"/>
      <c r="T1401" s="845"/>
      <c r="U1401" s="845"/>
      <c r="V1401" s="845"/>
      <c r="W1401" s="845"/>
      <c r="X1401" s="845"/>
      <c r="Y1401" s="845"/>
    </row>
    <row r="1402" spans="1:25" x14ac:dyDescent="0.2">
      <c r="A1402" s="1828"/>
      <c r="B1402" s="1828"/>
      <c r="C1402" s="1828"/>
      <c r="D1402" s="1828"/>
      <c r="E1402" s="844"/>
      <c r="R1402" s="845"/>
      <c r="S1402" s="845"/>
      <c r="T1402" s="845"/>
      <c r="U1402" s="845"/>
      <c r="V1402" s="845"/>
      <c r="W1402" s="845"/>
      <c r="X1402" s="845"/>
      <c r="Y1402" s="845"/>
    </row>
    <row r="1403" spans="1:25" x14ac:dyDescent="0.2">
      <c r="A1403" s="1828"/>
      <c r="B1403" s="1828"/>
      <c r="C1403" s="1828"/>
      <c r="D1403" s="1828"/>
      <c r="E1403" s="844"/>
      <c r="R1403" s="845"/>
      <c r="S1403" s="845"/>
      <c r="T1403" s="845"/>
      <c r="U1403" s="845"/>
      <c r="V1403" s="845"/>
      <c r="W1403" s="845"/>
      <c r="X1403" s="845"/>
      <c r="Y1403" s="845"/>
    </row>
    <row r="1404" spans="1:25" x14ac:dyDescent="0.2">
      <c r="A1404" s="1828"/>
      <c r="B1404" s="1828"/>
      <c r="C1404" s="1828"/>
      <c r="D1404" s="1828"/>
      <c r="E1404" s="844"/>
      <c r="R1404" s="845"/>
      <c r="S1404" s="845"/>
      <c r="T1404" s="845"/>
      <c r="U1404" s="845"/>
      <c r="V1404" s="845"/>
      <c r="W1404" s="845"/>
      <c r="X1404" s="845"/>
      <c r="Y1404" s="845"/>
    </row>
    <row r="1405" spans="1:25" x14ac:dyDescent="0.2">
      <c r="A1405" s="1828"/>
      <c r="B1405" s="1828"/>
      <c r="C1405" s="1828"/>
      <c r="D1405" s="1828"/>
      <c r="E1405" s="844"/>
      <c r="R1405" s="845"/>
      <c r="S1405" s="845"/>
      <c r="T1405" s="845"/>
      <c r="U1405" s="845"/>
      <c r="V1405" s="845"/>
      <c r="W1405" s="845"/>
      <c r="X1405" s="845"/>
      <c r="Y1405" s="845"/>
    </row>
    <row r="1406" spans="1:25" x14ac:dyDescent="0.2">
      <c r="A1406" s="1828"/>
      <c r="B1406" s="1828"/>
      <c r="C1406" s="1828"/>
      <c r="D1406" s="1828"/>
      <c r="E1406" s="844"/>
      <c r="R1406" s="845"/>
      <c r="S1406" s="845"/>
      <c r="T1406" s="845"/>
      <c r="U1406" s="845"/>
      <c r="V1406" s="845"/>
      <c r="W1406" s="845"/>
      <c r="X1406" s="845"/>
      <c r="Y1406" s="845"/>
    </row>
    <row r="1407" spans="1:25" x14ac:dyDescent="0.2">
      <c r="A1407" s="1828"/>
      <c r="B1407" s="1828"/>
      <c r="C1407" s="1828"/>
      <c r="D1407" s="1828"/>
      <c r="E1407" s="844"/>
      <c r="R1407" s="845"/>
      <c r="S1407" s="845"/>
      <c r="T1407" s="845"/>
      <c r="U1407" s="845"/>
      <c r="V1407" s="845"/>
      <c r="W1407" s="845"/>
      <c r="X1407" s="845"/>
      <c r="Y1407" s="845"/>
    </row>
    <row r="1408" spans="1:25" x14ac:dyDescent="0.2">
      <c r="A1408" s="1828"/>
      <c r="B1408" s="1828"/>
      <c r="C1408" s="1828"/>
      <c r="D1408" s="1828"/>
      <c r="E1408" s="844"/>
      <c r="R1408" s="845"/>
      <c r="S1408" s="845"/>
      <c r="T1408" s="845"/>
      <c r="U1408" s="845"/>
      <c r="V1408" s="845"/>
      <c r="W1408" s="845"/>
      <c r="X1408" s="845"/>
      <c r="Y1408" s="845"/>
    </row>
    <row r="1409" spans="1:25" x14ac:dyDescent="0.2">
      <c r="A1409" s="1828"/>
      <c r="B1409" s="1828"/>
      <c r="C1409" s="1828"/>
      <c r="D1409" s="1828"/>
      <c r="E1409" s="844"/>
      <c r="R1409" s="845"/>
      <c r="S1409" s="845"/>
      <c r="T1409" s="845"/>
      <c r="U1409" s="845"/>
      <c r="V1409" s="845"/>
      <c r="W1409" s="845"/>
      <c r="X1409" s="845"/>
      <c r="Y1409" s="845"/>
    </row>
    <row r="1410" spans="1:25" x14ac:dyDescent="0.2">
      <c r="A1410" s="1828"/>
      <c r="B1410" s="1828"/>
      <c r="C1410" s="1828"/>
      <c r="D1410" s="1828"/>
      <c r="E1410" s="844"/>
      <c r="R1410" s="845"/>
      <c r="S1410" s="845"/>
      <c r="T1410" s="845"/>
      <c r="U1410" s="845"/>
      <c r="V1410" s="845"/>
      <c r="W1410" s="845"/>
      <c r="X1410" s="845"/>
      <c r="Y1410" s="845"/>
    </row>
    <row r="1411" spans="1:25" x14ac:dyDescent="0.2">
      <c r="A1411" s="1828"/>
      <c r="B1411" s="1828"/>
      <c r="C1411" s="1828"/>
      <c r="D1411" s="1828"/>
      <c r="E1411" s="844"/>
      <c r="R1411" s="845"/>
      <c r="S1411" s="845"/>
      <c r="T1411" s="845"/>
      <c r="U1411" s="845"/>
      <c r="V1411" s="845"/>
      <c r="W1411" s="845"/>
      <c r="X1411" s="845"/>
      <c r="Y1411" s="845"/>
    </row>
    <row r="1412" spans="1:25" x14ac:dyDescent="0.2">
      <c r="A1412" s="1828"/>
      <c r="B1412" s="1828"/>
      <c r="C1412" s="1828"/>
      <c r="D1412" s="1828"/>
      <c r="E1412" s="844"/>
      <c r="R1412" s="845"/>
      <c r="S1412" s="845"/>
      <c r="T1412" s="845"/>
      <c r="U1412" s="845"/>
      <c r="V1412" s="845"/>
      <c r="W1412" s="845"/>
      <c r="X1412" s="845"/>
      <c r="Y1412" s="845"/>
    </row>
    <row r="1413" spans="1:25" x14ac:dyDescent="0.2">
      <c r="A1413" s="1828"/>
      <c r="B1413" s="1828"/>
      <c r="C1413" s="1828"/>
      <c r="D1413" s="1828"/>
      <c r="E1413" s="844"/>
      <c r="R1413" s="845"/>
      <c r="S1413" s="845"/>
      <c r="T1413" s="845"/>
      <c r="U1413" s="845"/>
      <c r="V1413" s="845"/>
      <c r="W1413" s="845"/>
      <c r="X1413" s="845"/>
      <c r="Y1413" s="845"/>
    </row>
    <row r="1414" spans="1:25" x14ac:dyDescent="0.2">
      <c r="A1414" s="1828"/>
      <c r="B1414" s="1828"/>
      <c r="C1414" s="1828"/>
      <c r="D1414" s="1828"/>
      <c r="E1414" s="844"/>
      <c r="R1414" s="845"/>
      <c r="S1414" s="845"/>
      <c r="T1414" s="845"/>
      <c r="U1414" s="845"/>
      <c r="V1414" s="845"/>
      <c r="W1414" s="845"/>
      <c r="X1414" s="845"/>
      <c r="Y1414" s="845"/>
    </row>
    <row r="1415" spans="1:25" x14ac:dyDescent="0.2">
      <c r="A1415" s="1828"/>
      <c r="B1415" s="1828"/>
      <c r="C1415" s="1828"/>
      <c r="D1415" s="1828"/>
      <c r="E1415" s="844"/>
      <c r="R1415" s="845"/>
      <c r="S1415" s="845"/>
      <c r="T1415" s="845"/>
      <c r="U1415" s="845"/>
      <c r="V1415" s="845"/>
      <c r="W1415" s="845"/>
      <c r="X1415" s="845"/>
      <c r="Y1415" s="845"/>
    </row>
    <row r="1416" spans="1:25" x14ac:dyDescent="0.2">
      <c r="A1416" s="1828"/>
      <c r="B1416" s="1828"/>
      <c r="C1416" s="1828"/>
      <c r="D1416" s="1828"/>
      <c r="E1416" s="844"/>
      <c r="R1416" s="845"/>
      <c r="S1416" s="845"/>
      <c r="T1416" s="845"/>
      <c r="U1416" s="845"/>
      <c r="V1416" s="845"/>
      <c r="W1416" s="845"/>
      <c r="X1416" s="845"/>
      <c r="Y1416" s="845"/>
    </row>
    <row r="1417" spans="1:25" x14ac:dyDescent="0.2">
      <c r="A1417" s="1828"/>
      <c r="B1417" s="1828"/>
      <c r="C1417" s="1828"/>
      <c r="D1417" s="1828"/>
      <c r="E1417" s="844"/>
      <c r="R1417" s="845"/>
      <c r="S1417" s="845"/>
      <c r="T1417" s="845"/>
      <c r="U1417" s="845"/>
      <c r="V1417" s="845"/>
      <c r="W1417" s="845"/>
      <c r="X1417" s="845"/>
      <c r="Y1417" s="845"/>
    </row>
    <row r="1418" spans="1:25" x14ac:dyDescent="0.2">
      <c r="A1418" s="1828"/>
      <c r="B1418" s="1828"/>
      <c r="C1418" s="1828"/>
      <c r="D1418" s="1828"/>
      <c r="E1418" s="844"/>
      <c r="R1418" s="845"/>
      <c r="S1418" s="845"/>
      <c r="T1418" s="845"/>
      <c r="U1418" s="845"/>
      <c r="V1418" s="845"/>
      <c r="W1418" s="845"/>
      <c r="X1418" s="845"/>
      <c r="Y1418" s="845"/>
    </row>
    <row r="1419" spans="1:25" x14ac:dyDescent="0.2">
      <c r="A1419" s="1828"/>
      <c r="B1419" s="1828"/>
      <c r="C1419" s="1828"/>
      <c r="D1419" s="1828"/>
      <c r="E1419" s="844"/>
      <c r="R1419" s="845"/>
      <c r="S1419" s="845"/>
      <c r="T1419" s="845"/>
      <c r="U1419" s="845"/>
      <c r="V1419" s="845"/>
      <c r="W1419" s="845"/>
      <c r="X1419" s="845"/>
      <c r="Y1419" s="845"/>
    </row>
    <row r="1420" spans="1:25" x14ac:dyDescent="0.2">
      <c r="A1420" s="1828"/>
      <c r="B1420" s="1828"/>
      <c r="C1420" s="1828"/>
      <c r="D1420" s="1828"/>
      <c r="E1420" s="844"/>
      <c r="R1420" s="845"/>
      <c r="S1420" s="845"/>
      <c r="T1420" s="845"/>
      <c r="U1420" s="845"/>
      <c r="V1420" s="845"/>
      <c r="W1420" s="845"/>
      <c r="X1420" s="845"/>
      <c r="Y1420" s="845"/>
    </row>
    <row r="1421" spans="1:25" x14ac:dyDescent="0.2">
      <c r="A1421" s="1828"/>
      <c r="B1421" s="1828"/>
      <c r="C1421" s="1828"/>
      <c r="D1421" s="1828"/>
      <c r="E1421" s="844"/>
      <c r="R1421" s="845"/>
      <c r="S1421" s="845"/>
      <c r="T1421" s="845"/>
      <c r="U1421" s="845"/>
      <c r="V1421" s="845"/>
      <c r="W1421" s="845"/>
      <c r="X1421" s="845"/>
      <c r="Y1421" s="845"/>
    </row>
    <row r="1422" spans="1:25" x14ac:dyDescent="0.2">
      <c r="A1422" s="1828"/>
      <c r="B1422" s="1828"/>
      <c r="C1422" s="1828"/>
      <c r="D1422" s="1828"/>
      <c r="E1422" s="844"/>
      <c r="R1422" s="845"/>
      <c r="S1422" s="845"/>
      <c r="T1422" s="845"/>
      <c r="U1422" s="845"/>
      <c r="V1422" s="845"/>
      <c r="W1422" s="845"/>
      <c r="X1422" s="845"/>
      <c r="Y1422" s="845"/>
    </row>
    <row r="1423" spans="1:25" x14ac:dyDescent="0.2">
      <c r="A1423" s="1828"/>
      <c r="B1423" s="1828"/>
      <c r="C1423" s="1828"/>
      <c r="D1423" s="1828"/>
      <c r="E1423" s="844"/>
      <c r="R1423" s="845"/>
      <c r="S1423" s="845"/>
      <c r="T1423" s="845"/>
      <c r="U1423" s="845"/>
      <c r="V1423" s="845"/>
      <c r="W1423" s="845"/>
      <c r="X1423" s="845"/>
      <c r="Y1423" s="845"/>
    </row>
    <row r="1424" spans="1:25" x14ac:dyDescent="0.2">
      <c r="A1424" s="1828"/>
      <c r="B1424" s="1828"/>
      <c r="C1424" s="1828"/>
      <c r="D1424" s="1828"/>
      <c r="E1424" s="844"/>
      <c r="R1424" s="845"/>
      <c r="S1424" s="845"/>
      <c r="T1424" s="845"/>
      <c r="U1424" s="845"/>
      <c r="V1424" s="845"/>
      <c r="W1424" s="845"/>
      <c r="X1424" s="845"/>
      <c r="Y1424" s="845"/>
    </row>
    <row r="1425" spans="1:25" x14ac:dyDescent="0.2">
      <c r="A1425" s="1828"/>
      <c r="B1425" s="1828"/>
      <c r="C1425" s="1828"/>
      <c r="D1425" s="1828"/>
      <c r="E1425" s="844"/>
      <c r="R1425" s="845"/>
      <c r="S1425" s="845"/>
      <c r="T1425" s="845"/>
      <c r="U1425" s="845"/>
      <c r="V1425" s="845"/>
      <c r="W1425" s="845"/>
      <c r="X1425" s="845"/>
      <c r="Y1425" s="845"/>
    </row>
    <row r="1426" spans="1:25" x14ac:dyDescent="0.2">
      <c r="A1426" s="1828"/>
      <c r="B1426" s="1828"/>
      <c r="C1426" s="1828"/>
      <c r="D1426" s="1828"/>
      <c r="E1426" s="844"/>
      <c r="R1426" s="845"/>
      <c r="S1426" s="845"/>
      <c r="T1426" s="845"/>
      <c r="U1426" s="845"/>
      <c r="V1426" s="845"/>
      <c r="W1426" s="845"/>
      <c r="X1426" s="845"/>
      <c r="Y1426" s="845"/>
    </row>
    <row r="1427" spans="1:25" x14ac:dyDescent="0.2">
      <c r="A1427" s="1828"/>
      <c r="B1427" s="1828"/>
      <c r="C1427" s="1828"/>
      <c r="D1427" s="1828"/>
      <c r="E1427" s="844"/>
      <c r="R1427" s="845"/>
      <c r="S1427" s="845"/>
      <c r="T1427" s="845"/>
      <c r="U1427" s="845"/>
      <c r="V1427" s="845"/>
      <c r="W1427" s="845"/>
      <c r="X1427" s="845"/>
      <c r="Y1427" s="845"/>
    </row>
    <row r="1428" spans="1:25" x14ac:dyDescent="0.2">
      <c r="A1428" s="1828"/>
      <c r="B1428" s="1828"/>
      <c r="C1428" s="1828"/>
      <c r="D1428" s="1828"/>
      <c r="E1428" s="844"/>
      <c r="R1428" s="845"/>
      <c r="S1428" s="845"/>
      <c r="T1428" s="845"/>
      <c r="U1428" s="845"/>
      <c r="V1428" s="845"/>
      <c r="W1428" s="845"/>
      <c r="X1428" s="845"/>
      <c r="Y1428" s="845"/>
    </row>
    <row r="1429" spans="1:25" x14ac:dyDescent="0.2">
      <c r="A1429" s="1828"/>
      <c r="B1429" s="1828"/>
      <c r="C1429" s="1828"/>
      <c r="D1429" s="1828"/>
      <c r="E1429" s="844"/>
      <c r="R1429" s="845"/>
      <c r="S1429" s="845"/>
      <c r="T1429" s="845"/>
      <c r="U1429" s="845"/>
      <c r="V1429" s="845"/>
      <c r="W1429" s="845"/>
      <c r="X1429" s="845"/>
      <c r="Y1429" s="845"/>
    </row>
    <row r="1430" spans="1:25" x14ac:dyDescent="0.2">
      <c r="A1430" s="1828"/>
      <c r="B1430" s="1828"/>
      <c r="C1430" s="1828"/>
      <c r="D1430" s="1828"/>
      <c r="E1430" s="844"/>
      <c r="R1430" s="845"/>
      <c r="S1430" s="845"/>
      <c r="T1430" s="845"/>
      <c r="U1430" s="845"/>
      <c r="V1430" s="845"/>
      <c r="W1430" s="845"/>
      <c r="X1430" s="845"/>
      <c r="Y1430" s="845"/>
    </row>
    <row r="1431" spans="1:25" x14ac:dyDescent="0.2">
      <c r="A1431" s="1828"/>
      <c r="B1431" s="1828"/>
      <c r="C1431" s="1828"/>
      <c r="D1431" s="1828"/>
      <c r="E1431" s="844"/>
      <c r="R1431" s="845"/>
      <c r="S1431" s="845"/>
      <c r="T1431" s="845"/>
      <c r="U1431" s="845"/>
      <c r="V1431" s="845"/>
      <c r="W1431" s="845"/>
      <c r="X1431" s="845"/>
      <c r="Y1431" s="845"/>
    </row>
    <row r="1432" spans="1:25" x14ac:dyDescent="0.2">
      <c r="A1432" s="1828"/>
      <c r="B1432" s="1828"/>
      <c r="C1432" s="1828"/>
      <c r="D1432" s="1828"/>
      <c r="E1432" s="844"/>
      <c r="R1432" s="845"/>
      <c r="S1432" s="845"/>
      <c r="T1432" s="845"/>
      <c r="U1432" s="845"/>
      <c r="V1432" s="845"/>
      <c r="W1432" s="845"/>
      <c r="X1432" s="845"/>
      <c r="Y1432" s="845"/>
    </row>
    <row r="1433" spans="1:25" x14ac:dyDescent="0.2">
      <c r="A1433" s="1828"/>
      <c r="B1433" s="1828"/>
      <c r="C1433" s="1828"/>
      <c r="D1433" s="1828"/>
      <c r="E1433" s="844"/>
      <c r="R1433" s="845"/>
      <c r="S1433" s="845"/>
      <c r="T1433" s="845"/>
      <c r="U1433" s="845"/>
      <c r="V1433" s="845"/>
      <c r="W1433" s="845"/>
      <c r="X1433" s="845"/>
      <c r="Y1433" s="845"/>
    </row>
    <row r="1434" spans="1:25" x14ac:dyDescent="0.2">
      <c r="A1434" s="1828"/>
      <c r="B1434" s="1828"/>
      <c r="C1434" s="1828"/>
      <c r="D1434" s="1828"/>
      <c r="E1434" s="844"/>
      <c r="R1434" s="845"/>
      <c r="S1434" s="845"/>
      <c r="T1434" s="845"/>
      <c r="U1434" s="845"/>
      <c r="V1434" s="845"/>
      <c r="W1434" s="845"/>
      <c r="X1434" s="845"/>
      <c r="Y1434" s="845"/>
    </row>
    <row r="1435" spans="1:25" x14ac:dyDescent="0.2">
      <c r="A1435" s="1828"/>
      <c r="B1435" s="1828"/>
      <c r="C1435" s="1828"/>
      <c r="D1435" s="1828"/>
      <c r="E1435" s="844"/>
      <c r="R1435" s="845"/>
      <c r="S1435" s="845"/>
      <c r="T1435" s="845"/>
      <c r="U1435" s="845"/>
      <c r="V1435" s="845"/>
      <c r="W1435" s="845"/>
      <c r="X1435" s="845"/>
      <c r="Y1435" s="845"/>
    </row>
    <row r="1436" spans="1:25" x14ac:dyDescent="0.2">
      <c r="A1436" s="1828"/>
      <c r="B1436" s="1828"/>
      <c r="C1436" s="1828"/>
      <c r="D1436" s="1828"/>
      <c r="E1436" s="844"/>
      <c r="R1436" s="845"/>
      <c r="S1436" s="845"/>
      <c r="T1436" s="845"/>
      <c r="U1436" s="845"/>
      <c r="V1436" s="845"/>
      <c r="W1436" s="845"/>
      <c r="X1436" s="845"/>
      <c r="Y1436" s="845"/>
    </row>
    <row r="1437" spans="1:25" x14ac:dyDescent="0.2">
      <c r="A1437" s="1828"/>
      <c r="B1437" s="1828"/>
      <c r="C1437" s="1828"/>
      <c r="D1437" s="1828"/>
      <c r="E1437" s="844"/>
      <c r="R1437" s="845"/>
      <c r="S1437" s="845"/>
      <c r="T1437" s="845"/>
      <c r="U1437" s="845"/>
      <c r="V1437" s="845"/>
      <c r="W1437" s="845"/>
      <c r="X1437" s="845"/>
      <c r="Y1437" s="845"/>
    </row>
    <row r="1438" spans="1:25" x14ac:dyDescent="0.2">
      <c r="A1438" s="1828"/>
      <c r="B1438" s="1828"/>
      <c r="C1438" s="1828"/>
      <c r="D1438" s="1828"/>
      <c r="E1438" s="844"/>
      <c r="R1438" s="845"/>
      <c r="S1438" s="845"/>
      <c r="T1438" s="845"/>
      <c r="U1438" s="845"/>
      <c r="V1438" s="845"/>
      <c r="W1438" s="845"/>
      <c r="X1438" s="845"/>
      <c r="Y1438" s="845"/>
    </row>
    <row r="1439" spans="1:25" x14ac:dyDescent="0.2">
      <c r="A1439" s="1828"/>
      <c r="B1439" s="1828"/>
      <c r="C1439" s="1828"/>
      <c r="D1439" s="1828"/>
      <c r="E1439" s="844"/>
      <c r="R1439" s="845"/>
      <c r="S1439" s="845"/>
      <c r="T1439" s="845"/>
      <c r="U1439" s="845"/>
      <c r="V1439" s="845"/>
      <c r="W1439" s="845"/>
      <c r="X1439" s="845"/>
      <c r="Y1439" s="845"/>
    </row>
    <row r="1440" spans="1:25" x14ac:dyDescent="0.2">
      <c r="A1440" s="1828"/>
      <c r="B1440" s="1828"/>
      <c r="C1440" s="1828"/>
      <c r="D1440" s="1828"/>
      <c r="E1440" s="844"/>
      <c r="R1440" s="845"/>
      <c r="S1440" s="845"/>
      <c r="T1440" s="845"/>
      <c r="U1440" s="845"/>
      <c r="V1440" s="845"/>
      <c r="W1440" s="845"/>
      <c r="X1440" s="845"/>
      <c r="Y1440" s="845"/>
    </row>
    <row r="1441" spans="1:25" x14ac:dyDescent="0.2">
      <c r="A1441" s="1828"/>
      <c r="B1441" s="1828"/>
      <c r="C1441" s="1828"/>
      <c r="D1441" s="1828"/>
      <c r="E1441" s="844"/>
      <c r="R1441" s="845"/>
      <c r="S1441" s="845"/>
      <c r="T1441" s="845"/>
      <c r="U1441" s="845"/>
      <c r="V1441" s="845"/>
      <c r="W1441" s="845"/>
      <c r="X1441" s="845"/>
      <c r="Y1441" s="845"/>
    </row>
    <row r="1442" spans="1:25" x14ac:dyDescent="0.2">
      <c r="A1442" s="1828"/>
      <c r="B1442" s="1828"/>
      <c r="C1442" s="1828"/>
      <c r="D1442" s="1828"/>
      <c r="E1442" s="844"/>
      <c r="R1442" s="845"/>
      <c r="S1442" s="845"/>
      <c r="T1442" s="845"/>
      <c r="U1442" s="845"/>
      <c r="V1442" s="845"/>
      <c r="W1442" s="845"/>
      <c r="X1442" s="845"/>
      <c r="Y1442" s="845"/>
    </row>
    <row r="1443" spans="1:25" x14ac:dyDescent="0.2">
      <c r="A1443" s="1828"/>
      <c r="B1443" s="1828"/>
      <c r="C1443" s="1828"/>
      <c r="D1443" s="1828"/>
      <c r="E1443" s="844"/>
      <c r="R1443" s="845"/>
      <c r="S1443" s="845"/>
      <c r="T1443" s="845"/>
      <c r="U1443" s="845"/>
      <c r="V1443" s="845"/>
      <c r="W1443" s="845"/>
      <c r="X1443" s="845"/>
      <c r="Y1443" s="845"/>
    </row>
    <row r="1444" spans="1:25" x14ac:dyDescent="0.2">
      <c r="A1444" s="1828"/>
      <c r="B1444" s="1828"/>
      <c r="C1444" s="1828"/>
      <c r="D1444" s="1828"/>
      <c r="E1444" s="844"/>
      <c r="R1444" s="845"/>
      <c r="S1444" s="845"/>
      <c r="T1444" s="845"/>
      <c r="U1444" s="845"/>
      <c r="V1444" s="845"/>
      <c r="W1444" s="845"/>
      <c r="X1444" s="845"/>
      <c r="Y1444" s="845"/>
    </row>
    <row r="1445" spans="1:25" x14ac:dyDescent="0.2">
      <c r="A1445" s="1828"/>
      <c r="B1445" s="1828"/>
      <c r="C1445" s="1828"/>
      <c r="D1445" s="1828"/>
      <c r="E1445" s="844"/>
      <c r="R1445" s="845"/>
      <c r="S1445" s="845"/>
      <c r="T1445" s="845"/>
      <c r="U1445" s="845"/>
      <c r="V1445" s="845"/>
      <c r="W1445" s="845"/>
      <c r="X1445" s="845"/>
      <c r="Y1445" s="845"/>
    </row>
    <row r="1446" spans="1:25" x14ac:dyDescent="0.2">
      <c r="A1446" s="1828"/>
      <c r="B1446" s="1828"/>
      <c r="C1446" s="1828"/>
      <c r="D1446" s="1828"/>
      <c r="E1446" s="844"/>
      <c r="R1446" s="845"/>
      <c r="S1446" s="845"/>
      <c r="T1446" s="845"/>
      <c r="U1446" s="845"/>
      <c r="V1446" s="845"/>
      <c r="W1446" s="845"/>
      <c r="X1446" s="845"/>
      <c r="Y1446" s="845"/>
    </row>
    <row r="1447" spans="1:25" x14ac:dyDescent="0.2">
      <c r="A1447" s="1828"/>
      <c r="B1447" s="1828"/>
      <c r="C1447" s="1828"/>
      <c r="D1447" s="1828"/>
      <c r="E1447" s="844"/>
      <c r="R1447" s="845"/>
      <c r="S1447" s="845"/>
      <c r="T1447" s="845"/>
      <c r="U1447" s="845"/>
      <c r="V1447" s="845"/>
      <c r="W1447" s="845"/>
      <c r="X1447" s="845"/>
      <c r="Y1447" s="845"/>
    </row>
    <row r="1448" spans="1:25" x14ac:dyDescent="0.2">
      <c r="A1448" s="1828"/>
      <c r="B1448" s="1828"/>
      <c r="C1448" s="1828"/>
      <c r="D1448" s="1828"/>
      <c r="E1448" s="844"/>
      <c r="R1448" s="845"/>
      <c r="S1448" s="845"/>
      <c r="T1448" s="845"/>
      <c r="U1448" s="845"/>
      <c r="V1448" s="845"/>
      <c r="W1448" s="845"/>
      <c r="X1448" s="845"/>
      <c r="Y1448" s="845"/>
    </row>
    <row r="1449" spans="1:25" x14ac:dyDescent="0.2">
      <c r="A1449" s="1828"/>
      <c r="B1449" s="1828"/>
      <c r="C1449" s="1828"/>
      <c r="D1449" s="1828"/>
      <c r="E1449" s="844"/>
      <c r="R1449" s="845"/>
      <c r="S1449" s="845"/>
      <c r="T1449" s="845"/>
      <c r="U1449" s="845"/>
      <c r="V1449" s="845"/>
      <c r="W1449" s="845"/>
      <c r="X1449" s="845"/>
      <c r="Y1449" s="845"/>
    </row>
    <row r="1450" spans="1:25" x14ac:dyDescent="0.2">
      <c r="A1450" s="1828"/>
      <c r="B1450" s="1828"/>
      <c r="C1450" s="1828"/>
      <c r="D1450" s="1828"/>
      <c r="E1450" s="844"/>
      <c r="R1450" s="845"/>
      <c r="S1450" s="845"/>
      <c r="T1450" s="845"/>
      <c r="U1450" s="845"/>
      <c r="V1450" s="845"/>
      <c r="W1450" s="845"/>
      <c r="X1450" s="845"/>
      <c r="Y1450" s="845"/>
    </row>
    <row r="1451" spans="1:25" x14ac:dyDescent="0.2">
      <c r="A1451" s="1828"/>
      <c r="B1451" s="1828"/>
      <c r="C1451" s="1828"/>
      <c r="D1451" s="1828"/>
      <c r="E1451" s="844"/>
      <c r="R1451" s="845"/>
      <c r="S1451" s="845"/>
      <c r="T1451" s="845"/>
      <c r="U1451" s="845"/>
      <c r="V1451" s="845"/>
      <c r="W1451" s="845"/>
      <c r="X1451" s="845"/>
      <c r="Y1451" s="845"/>
    </row>
    <row r="1452" spans="1:25" x14ac:dyDescent="0.2">
      <c r="A1452" s="1828"/>
      <c r="B1452" s="1828"/>
      <c r="C1452" s="1828"/>
      <c r="D1452" s="1828"/>
      <c r="E1452" s="844"/>
      <c r="R1452" s="845"/>
      <c r="S1452" s="845"/>
      <c r="T1452" s="845"/>
      <c r="U1452" s="845"/>
      <c r="V1452" s="845"/>
      <c r="W1452" s="845"/>
      <c r="X1452" s="845"/>
      <c r="Y1452" s="845"/>
    </row>
    <row r="1453" spans="1:25" x14ac:dyDescent="0.2">
      <c r="A1453" s="1828"/>
      <c r="B1453" s="1828"/>
      <c r="C1453" s="1828"/>
      <c r="D1453" s="1828"/>
      <c r="E1453" s="844"/>
      <c r="R1453" s="845"/>
      <c r="S1453" s="845"/>
      <c r="T1453" s="845"/>
      <c r="U1453" s="845"/>
      <c r="V1453" s="845"/>
      <c r="W1453" s="845"/>
      <c r="X1453" s="845"/>
      <c r="Y1453" s="845"/>
    </row>
    <row r="1454" spans="1:25" x14ac:dyDescent="0.2">
      <c r="A1454" s="1828"/>
      <c r="B1454" s="1828"/>
      <c r="C1454" s="1828"/>
      <c r="D1454" s="1828"/>
      <c r="E1454" s="844"/>
      <c r="R1454" s="845"/>
      <c r="S1454" s="845"/>
      <c r="T1454" s="845"/>
      <c r="U1454" s="845"/>
      <c r="V1454" s="845"/>
      <c r="W1454" s="845"/>
      <c r="X1454" s="845"/>
      <c r="Y1454" s="845"/>
    </row>
    <row r="1455" spans="1:25" x14ac:dyDescent="0.2">
      <c r="A1455" s="1828"/>
      <c r="B1455" s="1828"/>
      <c r="C1455" s="1828"/>
      <c r="D1455" s="1828"/>
      <c r="E1455" s="844"/>
      <c r="R1455" s="845"/>
      <c r="S1455" s="845"/>
      <c r="T1455" s="845"/>
      <c r="U1455" s="845"/>
      <c r="V1455" s="845"/>
      <c r="W1455" s="845"/>
      <c r="X1455" s="845"/>
      <c r="Y1455" s="845"/>
    </row>
    <row r="1456" spans="1:25" x14ac:dyDescent="0.2">
      <c r="A1456" s="1828"/>
      <c r="B1456" s="1828"/>
      <c r="C1456" s="1828"/>
      <c r="D1456" s="1828"/>
      <c r="E1456" s="844"/>
      <c r="R1456" s="845"/>
      <c r="S1456" s="845"/>
      <c r="T1456" s="845"/>
      <c r="U1456" s="845"/>
      <c r="V1456" s="845"/>
      <c r="W1456" s="845"/>
      <c r="X1456" s="845"/>
      <c r="Y1456" s="845"/>
    </row>
    <row r="1457" spans="1:25" x14ac:dyDescent="0.2">
      <c r="A1457" s="1828"/>
      <c r="B1457" s="1828"/>
      <c r="C1457" s="1828"/>
      <c r="D1457" s="1828"/>
      <c r="E1457" s="844"/>
      <c r="R1457" s="845"/>
      <c r="S1457" s="845"/>
      <c r="T1457" s="845"/>
      <c r="U1457" s="845"/>
      <c r="V1457" s="845"/>
      <c r="W1457" s="845"/>
      <c r="X1457" s="845"/>
      <c r="Y1457" s="845"/>
    </row>
    <row r="1458" spans="1:25" x14ac:dyDescent="0.2">
      <c r="A1458" s="1828"/>
      <c r="B1458" s="1828"/>
      <c r="C1458" s="1828"/>
      <c r="D1458" s="1828"/>
      <c r="E1458" s="844"/>
      <c r="R1458" s="845"/>
      <c r="S1458" s="845"/>
      <c r="T1458" s="845"/>
      <c r="U1458" s="845"/>
      <c r="V1458" s="845"/>
      <c r="W1458" s="845"/>
      <c r="X1458" s="845"/>
      <c r="Y1458" s="845"/>
    </row>
    <row r="1459" spans="1:25" x14ac:dyDescent="0.2">
      <c r="A1459" s="1828"/>
      <c r="B1459" s="1828"/>
      <c r="C1459" s="1828"/>
      <c r="D1459" s="1828"/>
      <c r="E1459" s="844"/>
      <c r="R1459" s="845"/>
      <c r="S1459" s="845"/>
      <c r="T1459" s="845"/>
      <c r="U1459" s="845"/>
      <c r="V1459" s="845"/>
      <c r="W1459" s="845"/>
      <c r="X1459" s="845"/>
      <c r="Y1459" s="845"/>
    </row>
    <row r="1460" spans="1:25" x14ac:dyDescent="0.2">
      <c r="A1460" s="1828"/>
      <c r="B1460" s="1828"/>
      <c r="C1460" s="1828"/>
      <c r="D1460" s="1828"/>
      <c r="E1460" s="844"/>
      <c r="R1460" s="845"/>
      <c r="S1460" s="845"/>
      <c r="T1460" s="845"/>
      <c r="U1460" s="845"/>
      <c r="V1460" s="845"/>
      <c r="W1460" s="845"/>
      <c r="X1460" s="845"/>
      <c r="Y1460" s="845"/>
    </row>
    <row r="1461" spans="1:25" x14ac:dyDescent="0.2">
      <c r="A1461" s="1828"/>
      <c r="B1461" s="1828"/>
      <c r="C1461" s="1828"/>
      <c r="D1461" s="1828"/>
      <c r="E1461" s="844"/>
      <c r="R1461" s="845"/>
      <c r="S1461" s="845"/>
      <c r="T1461" s="845"/>
      <c r="U1461" s="845"/>
      <c r="V1461" s="845"/>
      <c r="W1461" s="845"/>
      <c r="X1461" s="845"/>
      <c r="Y1461" s="845"/>
    </row>
    <row r="1462" spans="1:25" x14ac:dyDescent="0.2">
      <c r="A1462" s="1828"/>
      <c r="B1462" s="1828"/>
      <c r="C1462" s="1828"/>
      <c r="D1462" s="1828"/>
      <c r="E1462" s="844"/>
      <c r="R1462" s="845"/>
      <c r="S1462" s="845"/>
      <c r="T1462" s="845"/>
      <c r="U1462" s="845"/>
      <c r="V1462" s="845"/>
      <c r="W1462" s="845"/>
      <c r="X1462" s="845"/>
      <c r="Y1462" s="845"/>
    </row>
    <row r="1463" spans="1:25" x14ac:dyDescent="0.2">
      <c r="A1463" s="1828"/>
      <c r="B1463" s="1828"/>
      <c r="C1463" s="1828"/>
      <c r="D1463" s="1828"/>
      <c r="E1463" s="844"/>
      <c r="R1463" s="845"/>
      <c r="S1463" s="845"/>
      <c r="T1463" s="845"/>
      <c r="U1463" s="845"/>
      <c r="V1463" s="845"/>
      <c r="W1463" s="845"/>
      <c r="X1463" s="845"/>
      <c r="Y1463" s="845"/>
    </row>
    <row r="1464" spans="1:25" x14ac:dyDescent="0.2">
      <c r="A1464" s="1828"/>
      <c r="B1464" s="1828"/>
      <c r="C1464" s="1828"/>
      <c r="D1464" s="1828"/>
      <c r="E1464" s="844"/>
      <c r="R1464" s="845"/>
      <c r="S1464" s="845"/>
      <c r="T1464" s="845"/>
      <c r="U1464" s="845"/>
      <c r="V1464" s="845"/>
      <c r="W1464" s="845"/>
      <c r="X1464" s="845"/>
      <c r="Y1464" s="845"/>
    </row>
    <row r="1465" spans="1:25" x14ac:dyDescent="0.2">
      <c r="A1465" s="1828"/>
      <c r="B1465" s="1828"/>
      <c r="C1465" s="1828"/>
      <c r="D1465" s="1828"/>
      <c r="E1465" s="844"/>
      <c r="R1465" s="845"/>
      <c r="S1465" s="845"/>
      <c r="T1465" s="845"/>
      <c r="U1465" s="845"/>
      <c r="V1465" s="845"/>
      <c r="W1465" s="845"/>
      <c r="X1465" s="845"/>
      <c r="Y1465" s="845"/>
    </row>
    <row r="1466" spans="1:25" x14ac:dyDescent="0.2">
      <c r="A1466" s="1828"/>
      <c r="B1466" s="1828"/>
      <c r="C1466" s="1828"/>
      <c r="D1466" s="1828"/>
      <c r="E1466" s="844"/>
      <c r="R1466" s="845"/>
      <c r="S1466" s="845"/>
      <c r="T1466" s="845"/>
      <c r="U1466" s="845"/>
      <c r="V1466" s="845"/>
      <c r="W1466" s="845"/>
      <c r="X1466" s="845"/>
      <c r="Y1466" s="845"/>
    </row>
    <row r="1467" spans="1:25" x14ac:dyDescent="0.2">
      <c r="A1467" s="1828"/>
      <c r="B1467" s="1828"/>
      <c r="C1467" s="1828"/>
      <c r="D1467" s="1828"/>
      <c r="E1467" s="844"/>
      <c r="R1467" s="845"/>
      <c r="S1467" s="845"/>
      <c r="T1467" s="845"/>
      <c r="U1467" s="845"/>
      <c r="V1467" s="845"/>
      <c r="W1467" s="845"/>
      <c r="X1467" s="845"/>
      <c r="Y1467" s="845"/>
    </row>
    <row r="1468" spans="1:25" x14ac:dyDescent="0.2">
      <c r="A1468" s="1828"/>
      <c r="B1468" s="1828"/>
      <c r="C1468" s="1828"/>
      <c r="D1468" s="1828"/>
      <c r="E1468" s="844"/>
      <c r="R1468" s="845"/>
      <c r="S1468" s="845"/>
      <c r="T1468" s="845"/>
      <c r="U1468" s="845"/>
      <c r="V1468" s="845"/>
      <c r="W1468" s="845"/>
      <c r="X1468" s="845"/>
      <c r="Y1468" s="845"/>
    </row>
    <row r="1469" spans="1:25" x14ac:dyDescent="0.2">
      <c r="A1469" s="1828"/>
      <c r="B1469" s="1828"/>
      <c r="C1469" s="1828"/>
      <c r="D1469" s="1828"/>
      <c r="E1469" s="844"/>
      <c r="R1469" s="845"/>
      <c r="S1469" s="845"/>
      <c r="T1469" s="845"/>
      <c r="U1469" s="845"/>
      <c r="V1469" s="845"/>
      <c r="W1469" s="845"/>
      <c r="X1469" s="845"/>
      <c r="Y1469" s="845"/>
    </row>
    <row r="1470" spans="1:25" x14ac:dyDescent="0.2">
      <c r="A1470" s="1828"/>
      <c r="B1470" s="1828"/>
      <c r="C1470" s="1828"/>
      <c r="D1470" s="1828"/>
      <c r="E1470" s="844"/>
      <c r="R1470" s="845"/>
      <c r="S1470" s="845"/>
      <c r="T1470" s="845"/>
      <c r="U1470" s="845"/>
      <c r="V1470" s="845"/>
      <c r="W1470" s="845"/>
      <c r="X1470" s="845"/>
      <c r="Y1470" s="845"/>
    </row>
    <row r="1471" spans="1:25" x14ac:dyDescent="0.2">
      <c r="A1471" s="1828"/>
      <c r="B1471" s="1828"/>
      <c r="C1471" s="1828"/>
      <c r="D1471" s="1828"/>
      <c r="E1471" s="844"/>
      <c r="R1471" s="845"/>
      <c r="S1471" s="845"/>
      <c r="T1471" s="845"/>
      <c r="U1471" s="845"/>
      <c r="V1471" s="845"/>
      <c r="W1471" s="845"/>
      <c r="X1471" s="845"/>
      <c r="Y1471" s="845"/>
    </row>
    <row r="1472" spans="1:25" x14ac:dyDescent="0.2">
      <c r="A1472" s="1828"/>
      <c r="B1472" s="1828"/>
      <c r="C1472" s="1828"/>
      <c r="D1472" s="1828"/>
      <c r="E1472" s="844"/>
      <c r="R1472" s="845"/>
      <c r="S1472" s="845"/>
      <c r="T1472" s="845"/>
      <c r="U1472" s="845"/>
      <c r="V1472" s="845"/>
      <c r="W1472" s="845"/>
      <c r="X1472" s="845"/>
      <c r="Y1472" s="845"/>
    </row>
    <row r="1473" spans="1:25" x14ac:dyDescent="0.2">
      <c r="A1473" s="1828"/>
      <c r="B1473" s="1828"/>
      <c r="C1473" s="1828"/>
      <c r="D1473" s="1828"/>
      <c r="E1473" s="844"/>
      <c r="R1473" s="845"/>
      <c r="S1473" s="845"/>
      <c r="T1473" s="845"/>
      <c r="U1473" s="845"/>
      <c r="V1473" s="845"/>
      <c r="W1473" s="845"/>
      <c r="X1473" s="845"/>
      <c r="Y1473" s="845"/>
    </row>
    <row r="1474" spans="1:25" x14ac:dyDescent="0.2">
      <c r="A1474" s="1828"/>
      <c r="B1474" s="1828"/>
      <c r="C1474" s="1828"/>
      <c r="D1474" s="1828"/>
      <c r="E1474" s="844"/>
      <c r="R1474" s="845"/>
      <c r="S1474" s="845"/>
      <c r="T1474" s="845"/>
      <c r="U1474" s="845"/>
      <c r="V1474" s="845"/>
      <c r="W1474" s="845"/>
      <c r="X1474" s="845"/>
      <c r="Y1474" s="845"/>
    </row>
    <row r="1475" spans="1:25" x14ac:dyDescent="0.2">
      <c r="A1475" s="1828"/>
      <c r="B1475" s="1828"/>
      <c r="C1475" s="1828"/>
      <c r="D1475" s="1828"/>
      <c r="E1475" s="844"/>
      <c r="R1475" s="845"/>
      <c r="S1475" s="845"/>
      <c r="T1475" s="845"/>
      <c r="U1475" s="845"/>
      <c r="V1475" s="845"/>
      <c r="W1475" s="845"/>
      <c r="X1475" s="845"/>
      <c r="Y1475" s="845"/>
    </row>
    <row r="1476" spans="1:25" x14ac:dyDescent="0.2">
      <c r="A1476" s="1828"/>
      <c r="B1476" s="1828"/>
      <c r="C1476" s="1828"/>
      <c r="D1476" s="1828"/>
      <c r="E1476" s="844"/>
      <c r="R1476" s="845"/>
      <c r="S1476" s="845"/>
      <c r="T1476" s="845"/>
      <c r="U1476" s="845"/>
      <c r="V1476" s="845"/>
      <c r="W1476" s="845"/>
      <c r="X1476" s="845"/>
      <c r="Y1476" s="845"/>
    </row>
    <row r="1477" spans="1:25" x14ac:dyDescent="0.2">
      <c r="A1477" s="1828"/>
      <c r="B1477" s="1828"/>
      <c r="C1477" s="1828"/>
      <c r="D1477" s="1828"/>
      <c r="E1477" s="844"/>
      <c r="R1477" s="845"/>
      <c r="S1477" s="845"/>
      <c r="T1477" s="845"/>
      <c r="U1477" s="845"/>
      <c r="V1477" s="845"/>
      <c r="W1477" s="845"/>
      <c r="X1477" s="845"/>
      <c r="Y1477" s="845"/>
    </row>
    <row r="1478" spans="1:25" x14ac:dyDescent="0.2">
      <c r="A1478" s="1828"/>
      <c r="B1478" s="1828"/>
      <c r="C1478" s="1828"/>
      <c r="D1478" s="1828"/>
      <c r="E1478" s="844"/>
      <c r="R1478" s="845"/>
      <c r="S1478" s="845"/>
      <c r="T1478" s="845"/>
      <c r="U1478" s="845"/>
      <c r="V1478" s="845"/>
      <c r="W1478" s="845"/>
      <c r="X1478" s="845"/>
      <c r="Y1478" s="845"/>
    </row>
    <row r="1479" spans="1:25" x14ac:dyDescent="0.2">
      <c r="A1479" s="1828"/>
      <c r="B1479" s="1828"/>
      <c r="C1479" s="1828"/>
      <c r="D1479" s="1828"/>
      <c r="E1479" s="844"/>
      <c r="R1479" s="845"/>
      <c r="S1479" s="845"/>
      <c r="T1479" s="845"/>
      <c r="U1479" s="845"/>
      <c r="V1479" s="845"/>
      <c r="W1479" s="845"/>
      <c r="X1479" s="845"/>
      <c r="Y1479" s="845"/>
    </row>
    <row r="1480" spans="1:25" x14ac:dyDescent="0.2">
      <c r="A1480" s="1828"/>
      <c r="B1480" s="1828"/>
      <c r="C1480" s="1828"/>
      <c r="D1480" s="1828"/>
      <c r="E1480" s="844"/>
      <c r="R1480" s="845"/>
      <c r="S1480" s="845"/>
      <c r="T1480" s="845"/>
      <c r="U1480" s="845"/>
      <c r="V1480" s="845"/>
      <c r="W1480" s="845"/>
      <c r="X1480" s="845"/>
      <c r="Y1480" s="845"/>
    </row>
    <row r="1481" spans="1:25" x14ac:dyDescent="0.2">
      <c r="A1481" s="1828"/>
      <c r="B1481" s="1828"/>
      <c r="C1481" s="1828"/>
      <c r="D1481" s="1828"/>
      <c r="E1481" s="844"/>
      <c r="R1481" s="845"/>
      <c r="S1481" s="845"/>
      <c r="T1481" s="845"/>
      <c r="U1481" s="845"/>
      <c r="V1481" s="845"/>
      <c r="W1481" s="845"/>
      <c r="X1481" s="845"/>
      <c r="Y1481" s="845"/>
    </row>
    <row r="1482" spans="1:25" x14ac:dyDescent="0.2">
      <c r="A1482" s="1828"/>
      <c r="B1482" s="1828"/>
      <c r="C1482" s="1828"/>
      <c r="D1482" s="1828"/>
      <c r="E1482" s="844"/>
      <c r="R1482" s="845"/>
      <c r="S1482" s="845"/>
      <c r="T1482" s="845"/>
      <c r="U1482" s="845"/>
      <c r="V1482" s="845"/>
      <c r="W1482" s="845"/>
      <c r="X1482" s="845"/>
      <c r="Y1482" s="845"/>
    </row>
    <row r="1483" spans="1:25" x14ac:dyDescent="0.2">
      <c r="A1483" s="1828"/>
      <c r="B1483" s="1828"/>
      <c r="C1483" s="1828"/>
      <c r="D1483" s="1828"/>
      <c r="E1483" s="844"/>
      <c r="R1483" s="845"/>
      <c r="S1483" s="845"/>
      <c r="T1483" s="845"/>
      <c r="U1483" s="845"/>
      <c r="V1483" s="845"/>
      <c r="W1483" s="845"/>
      <c r="X1483" s="845"/>
      <c r="Y1483" s="845"/>
    </row>
    <row r="1484" spans="1:25" x14ac:dyDescent="0.2">
      <c r="A1484" s="1828"/>
      <c r="B1484" s="1828"/>
      <c r="C1484" s="1828"/>
      <c r="D1484" s="1828"/>
      <c r="E1484" s="844"/>
      <c r="R1484" s="845"/>
      <c r="S1484" s="845"/>
      <c r="T1484" s="845"/>
      <c r="U1484" s="845"/>
      <c r="V1484" s="845"/>
      <c r="W1484" s="845"/>
      <c r="X1484" s="845"/>
      <c r="Y1484" s="845"/>
    </row>
    <row r="1485" spans="1:25" x14ac:dyDescent="0.2">
      <c r="A1485" s="1828"/>
      <c r="B1485" s="1828"/>
      <c r="C1485" s="1828"/>
      <c r="D1485" s="1828"/>
      <c r="E1485" s="844"/>
      <c r="R1485" s="845"/>
      <c r="S1485" s="845"/>
      <c r="T1485" s="845"/>
      <c r="U1485" s="845"/>
      <c r="V1485" s="845"/>
      <c r="W1485" s="845"/>
      <c r="X1485" s="845"/>
      <c r="Y1485" s="845"/>
    </row>
    <row r="1486" spans="1:25" x14ac:dyDescent="0.2">
      <c r="A1486" s="1828"/>
      <c r="B1486" s="1828"/>
      <c r="C1486" s="1828"/>
      <c r="D1486" s="1828"/>
      <c r="E1486" s="844"/>
      <c r="R1486" s="845"/>
      <c r="S1486" s="845"/>
      <c r="T1486" s="845"/>
      <c r="U1486" s="845"/>
      <c r="V1486" s="845"/>
      <c r="W1486" s="845"/>
      <c r="X1486" s="845"/>
      <c r="Y1486" s="845"/>
    </row>
    <row r="1487" spans="1:25" x14ac:dyDescent="0.2">
      <c r="A1487" s="1828"/>
      <c r="B1487" s="1828"/>
      <c r="C1487" s="1828"/>
      <c r="D1487" s="1828"/>
      <c r="E1487" s="844"/>
      <c r="R1487" s="845"/>
      <c r="S1487" s="845"/>
      <c r="T1487" s="845"/>
      <c r="U1487" s="845"/>
      <c r="V1487" s="845"/>
      <c r="W1487" s="845"/>
      <c r="X1487" s="845"/>
      <c r="Y1487" s="845"/>
    </row>
    <row r="1488" spans="1:25" x14ac:dyDescent="0.2">
      <c r="A1488" s="1828"/>
      <c r="B1488" s="1828"/>
      <c r="C1488" s="1828"/>
      <c r="D1488" s="1828"/>
      <c r="E1488" s="844"/>
      <c r="R1488" s="845"/>
      <c r="S1488" s="845"/>
      <c r="T1488" s="845"/>
      <c r="U1488" s="845"/>
      <c r="V1488" s="845"/>
      <c r="W1488" s="845"/>
      <c r="X1488" s="845"/>
      <c r="Y1488" s="845"/>
    </row>
    <row r="1489" spans="1:25" x14ac:dyDescent="0.2">
      <c r="A1489" s="1828"/>
      <c r="B1489" s="1828"/>
      <c r="C1489" s="1828"/>
      <c r="D1489" s="1828"/>
      <c r="E1489" s="844"/>
      <c r="R1489" s="845"/>
      <c r="S1489" s="845"/>
      <c r="T1489" s="845"/>
      <c r="U1489" s="845"/>
      <c r="V1489" s="845"/>
      <c r="W1489" s="845"/>
      <c r="X1489" s="845"/>
      <c r="Y1489" s="845"/>
    </row>
    <row r="1490" spans="1:25" x14ac:dyDescent="0.2">
      <c r="A1490" s="1828"/>
      <c r="B1490" s="1828"/>
      <c r="C1490" s="1828"/>
      <c r="D1490" s="1828"/>
      <c r="E1490" s="844"/>
      <c r="R1490" s="845"/>
      <c r="S1490" s="845"/>
      <c r="T1490" s="845"/>
      <c r="U1490" s="845"/>
      <c r="V1490" s="845"/>
      <c r="W1490" s="845"/>
      <c r="X1490" s="845"/>
      <c r="Y1490" s="845"/>
    </row>
    <row r="1491" spans="1:25" x14ac:dyDescent="0.2">
      <c r="A1491" s="1828"/>
      <c r="B1491" s="1828"/>
      <c r="C1491" s="1828"/>
      <c r="D1491" s="1828"/>
      <c r="E1491" s="844"/>
      <c r="R1491" s="845"/>
      <c r="S1491" s="845"/>
      <c r="T1491" s="845"/>
      <c r="U1491" s="845"/>
      <c r="V1491" s="845"/>
      <c r="W1491" s="845"/>
      <c r="X1491" s="845"/>
      <c r="Y1491" s="845"/>
    </row>
    <row r="1492" spans="1:25" x14ac:dyDescent="0.2">
      <c r="A1492" s="1828"/>
      <c r="B1492" s="1828"/>
      <c r="C1492" s="1828"/>
      <c r="D1492" s="1828"/>
      <c r="E1492" s="844"/>
      <c r="R1492" s="845"/>
      <c r="S1492" s="845"/>
      <c r="T1492" s="845"/>
      <c r="U1492" s="845"/>
      <c r="V1492" s="845"/>
      <c r="W1492" s="845"/>
      <c r="X1492" s="845"/>
      <c r="Y1492" s="845"/>
    </row>
    <row r="1493" spans="1:25" x14ac:dyDescent="0.2">
      <c r="A1493" s="1828"/>
      <c r="B1493" s="1828"/>
      <c r="C1493" s="1828"/>
      <c r="D1493" s="1828"/>
      <c r="E1493" s="844"/>
      <c r="R1493" s="845"/>
      <c r="S1493" s="845"/>
      <c r="T1493" s="845"/>
      <c r="U1493" s="845"/>
      <c r="V1493" s="845"/>
      <c r="W1493" s="845"/>
      <c r="X1493" s="845"/>
      <c r="Y1493" s="845"/>
    </row>
    <row r="1494" spans="1:25" x14ac:dyDescent="0.2">
      <c r="A1494" s="1828"/>
      <c r="B1494" s="1828"/>
      <c r="C1494" s="1828"/>
      <c r="D1494" s="1828"/>
      <c r="E1494" s="844"/>
      <c r="R1494" s="845"/>
      <c r="S1494" s="845"/>
      <c r="T1494" s="845"/>
      <c r="U1494" s="845"/>
      <c r="V1494" s="845"/>
      <c r="W1494" s="845"/>
      <c r="X1494" s="845"/>
      <c r="Y1494" s="845"/>
    </row>
    <row r="1495" spans="1:25" x14ac:dyDescent="0.2">
      <c r="A1495" s="1828"/>
      <c r="B1495" s="1828"/>
      <c r="C1495" s="1828"/>
      <c r="D1495" s="1828"/>
      <c r="E1495" s="844"/>
      <c r="R1495" s="845"/>
      <c r="S1495" s="845"/>
      <c r="T1495" s="845"/>
      <c r="U1495" s="845"/>
      <c r="V1495" s="845"/>
      <c r="W1495" s="845"/>
      <c r="X1495" s="845"/>
      <c r="Y1495" s="845"/>
    </row>
    <row r="1496" spans="1:25" x14ac:dyDescent="0.2">
      <c r="A1496" s="1828"/>
      <c r="B1496" s="1828"/>
      <c r="C1496" s="1828"/>
      <c r="D1496" s="1828"/>
      <c r="E1496" s="844"/>
      <c r="R1496" s="845"/>
      <c r="S1496" s="845"/>
      <c r="T1496" s="845"/>
      <c r="U1496" s="845"/>
      <c r="V1496" s="845"/>
      <c r="W1496" s="845"/>
      <c r="X1496" s="845"/>
      <c r="Y1496" s="845"/>
    </row>
    <row r="1497" spans="1:25" x14ac:dyDescent="0.2">
      <c r="A1497" s="1828"/>
      <c r="B1497" s="1828"/>
      <c r="C1497" s="1828"/>
      <c r="D1497" s="1828"/>
      <c r="E1497" s="844"/>
      <c r="R1497" s="845"/>
      <c r="S1497" s="845"/>
      <c r="T1497" s="845"/>
      <c r="U1497" s="845"/>
      <c r="V1497" s="845"/>
      <c r="W1497" s="845"/>
      <c r="X1497" s="845"/>
      <c r="Y1497" s="845"/>
    </row>
    <row r="1498" spans="1:25" x14ac:dyDescent="0.2">
      <c r="A1498" s="1828"/>
      <c r="B1498" s="1828"/>
      <c r="C1498" s="1828"/>
      <c r="D1498" s="1828"/>
      <c r="E1498" s="844"/>
      <c r="R1498" s="845"/>
      <c r="S1498" s="845"/>
      <c r="T1498" s="845"/>
      <c r="U1498" s="845"/>
      <c r="V1498" s="845"/>
      <c r="W1498" s="845"/>
      <c r="X1498" s="845"/>
      <c r="Y1498" s="845"/>
    </row>
    <row r="1499" spans="1:25" x14ac:dyDescent="0.2">
      <c r="A1499" s="1828"/>
      <c r="B1499" s="1828"/>
      <c r="C1499" s="1828"/>
      <c r="D1499" s="1828"/>
      <c r="E1499" s="844"/>
      <c r="R1499" s="845"/>
      <c r="S1499" s="845"/>
      <c r="T1499" s="845"/>
      <c r="U1499" s="845"/>
      <c r="V1499" s="845"/>
      <c r="W1499" s="845"/>
      <c r="X1499" s="845"/>
      <c r="Y1499" s="845"/>
    </row>
    <row r="1500" spans="1:25" x14ac:dyDescent="0.2">
      <c r="A1500" s="1828"/>
      <c r="B1500" s="1828"/>
      <c r="C1500" s="1828"/>
      <c r="D1500" s="1828"/>
      <c r="E1500" s="844"/>
      <c r="R1500" s="845"/>
      <c r="S1500" s="845"/>
      <c r="T1500" s="845"/>
      <c r="U1500" s="845"/>
      <c r="V1500" s="845"/>
      <c r="W1500" s="845"/>
      <c r="X1500" s="845"/>
      <c r="Y1500" s="845"/>
    </row>
    <row r="1501" spans="1:25" x14ac:dyDescent="0.2">
      <c r="A1501" s="1828"/>
      <c r="B1501" s="1828"/>
      <c r="C1501" s="1828"/>
      <c r="D1501" s="1828"/>
      <c r="E1501" s="844"/>
      <c r="R1501" s="845"/>
      <c r="S1501" s="845"/>
      <c r="T1501" s="845"/>
      <c r="U1501" s="845"/>
      <c r="V1501" s="845"/>
      <c r="W1501" s="845"/>
      <c r="X1501" s="845"/>
      <c r="Y1501" s="845"/>
    </row>
    <row r="1502" spans="1:25" x14ac:dyDescent="0.2">
      <c r="A1502" s="1828"/>
      <c r="B1502" s="1828"/>
      <c r="C1502" s="1828"/>
      <c r="D1502" s="1828"/>
      <c r="E1502" s="844"/>
      <c r="R1502" s="845"/>
      <c r="S1502" s="845"/>
      <c r="T1502" s="845"/>
      <c r="U1502" s="845"/>
      <c r="V1502" s="845"/>
      <c r="W1502" s="845"/>
      <c r="X1502" s="845"/>
      <c r="Y1502" s="845"/>
    </row>
    <row r="1503" spans="1:25" x14ac:dyDescent="0.2">
      <c r="A1503" s="1828"/>
      <c r="B1503" s="1828"/>
      <c r="C1503" s="1828"/>
      <c r="D1503" s="1828"/>
      <c r="E1503" s="844"/>
      <c r="R1503" s="845"/>
      <c r="S1503" s="845"/>
      <c r="T1503" s="845"/>
      <c r="U1503" s="845"/>
      <c r="V1503" s="845"/>
      <c r="W1503" s="845"/>
      <c r="X1503" s="845"/>
      <c r="Y1503" s="845"/>
    </row>
    <row r="1504" spans="1:25" x14ac:dyDescent="0.2">
      <c r="A1504" s="1828"/>
      <c r="B1504" s="1828"/>
      <c r="C1504" s="1828"/>
      <c r="D1504" s="1828"/>
      <c r="E1504" s="844"/>
      <c r="R1504" s="845"/>
      <c r="S1504" s="845"/>
      <c r="T1504" s="845"/>
      <c r="U1504" s="845"/>
      <c r="V1504" s="845"/>
      <c r="W1504" s="845"/>
      <c r="X1504" s="845"/>
      <c r="Y1504" s="845"/>
    </row>
    <row r="1505" spans="1:25" x14ac:dyDescent="0.2">
      <c r="A1505" s="1828"/>
      <c r="B1505" s="1828"/>
      <c r="C1505" s="1828"/>
      <c r="D1505" s="1828"/>
      <c r="E1505" s="844"/>
      <c r="R1505" s="845"/>
      <c r="S1505" s="845"/>
      <c r="T1505" s="845"/>
      <c r="U1505" s="845"/>
      <c r="V1505" s="845"/>
      <c r="W1505" s="845"/>
      <c r="X1505" s="845"/>
      <c r="Y1505" s="845"/>
    </row>
    <row r="1506" spans="1:25" x14ac:dyDescent="0.2">
      <c r="A1506" s="1828"/>
      <c r="B1506" s="1828"/>
      <c r="C1506" s="1828"/>
      <c r="D1506" s="1828"/>
      <c r="E1506" s="844"/>
      <c r="R1506" s="845"/>
      <c r="S1506" s="845"/>
      <c r="T1506" s="845"/>
      <c r="U1506" s="845"/>
      <c r="V1506" s="845"/>
      <c r="W1506" s="845"/>
      <c r="X1506" s="845"/>
      <c r="Y1506" s="845"/>
    </row>
    <row r="1507" spans="1:25" x14ac:dyDescent="0.2">
      <c r="A1507" s="1828"/>
      <c r="B1507" s="1828"/>
      <c r="C1507" s="1828"/>
      <c r="D1507" s="1828"/>
      <c r="E1507" s="844"/>
      <c r="R1507" s="845"/>
      <c r="S1507" s="845"/>
      <c r="T1507" s="845"/>
      <c r="U1507" s="845"/>
      <c r="V1507" s="845"/>
      <c r="W1507" s="845"/>
      <c r="X1507" s="845"/>
      <c r="Y1507" s="845"/>
    </row>
    <row r="1508" spans="1:25" x14ac:dyDescent="0.2">
      <c r="A1508" s="1828"/>
      <c r="B1508" s="1828"/>
      <c r="C1508" s="1828"/>
      <c r="D1508" s="1828"/>
      <c r="E1508" s="844"/>
      <c r="R1508" s="845"/>
      <c r="S1508" s="845"/>
      <c r="T1508" s="845"/>
      <c r="U1508" s="845"/>
      <c r="V1508" s="845"/>
      <c r="W1508" s="845"/>
      <c r="X1508" s="845"/>
      <c r="Y1508" s="845"/>
    </row>
    <row r="1509" spans="1:25" x14ac:dyDescent="0.2">
      <c r="A1509" s="1828"/>
      <c r="B1509" s="1828"/>
      <c r="C1509" s="1828"/>
      <c r="D1509" s="1828"/>
      <c r="E1509" s="844"/>
      <c r="R1509" s="845"/>
      <c r="S1509" s="845"/>
      <c r="T1509" s="845"/>
      <c r="U1509" s="845"/>
      <c r="V1509" s="845"/>
      <c r="W1509" s="845"/>
      <c r="X1509" s="845"/>
      <c r="Y1509" s="845"/>
    </row>
    <row r="1510" spans="1:25" x14ac:dyDescent="0.2">
      <c r="A1510" s="1828"/>
      <c r="B1510" s="1828"/>
      <c r="C1510" s="1828"/>
      <c r="D1510" s="1828"/>
      <c r="E1510" s="844"/>
      <c r="R1510" s="845"/>
      <c r="S1510" s="845"/>
      <c r="T1510" s="845"/>
      <c r="U1510" s="845"/>
      <c r="V1510" s="845"/>
      <c r="W1510" s="845"/>
      <c r="X1510" s="845"/>
      <c r="Y1510" s="845"/>
    </row>
    <row r="1511" spans="1:25" x14ac:dyDescent="0.2">
      <c r="A1511" s="1828"/>
      <c r="B1511" s="1828"/>
      <c r="C1511" s="1828"/>
      <c r="D1511" s="1828"/>
      <c r="E1511" s="844"/>
      <c r="R1511" s="845"/>
      <c r="S1511" s="845"/>
      <c r="T1511" s="845"/>
      <c r="U1511" s="845"/>
      <c r="V1511" s="845"/>
      <c r="W1511" s="845"/>
      <c r="X1511" s="845"/>
      <c r="Y1511" s="845"/>
    </row>
    <row r="1512" spans="1:25" x14ac:dyDescent="0.2">
      <c r="A1512" s="1828"/>
      <c r="B1512" s="1828"/>
      <c r="C1512" s="1828"/>
      <c r="D1512" s="1828"/>
      <c r="E1512" s="844"/>
      <c r="R1512" s="845"/>
      <c r="S1512" s="845"/>
      <c r="T1512" s="845"/>
      <c r="U1512" s="845"/>
      <c r="V1512" s="845"/>
      <c r="W1512" s="845"/>
      <c r="X1512" s="845"/>
      <c r="Y1512" s="845"/>
    </row>
    <row r="1513" spans="1:25" x14ac:dyDescent="0.2">
      <c r="A1513" s="1828"/>
      <c r="B1513" s="1828"/>
      <c r="C1513" s="1828"/>
      <c r="D1513" s="1828"/>
      <c r="E1513" s="844"/>
      <c r="R1513" s="845"/>
      <c r="S1513" s="845"/>
      <c r="T1513" s="845"/>
      <c r="U1513" s="845"/>
      <c r="V1513" s="845"/>
      <c r="W1513" s="845"/>
      <c r="X1513" s="845"/>
      <c r="Y1513" s="845"/>
    </row>
    <row r="1514" spans="1:25" x14ac:dyDescent="0.2">
      <c r="A1514" s="1828"/>
      <c r="B1514" s="1828"/>
      <c r="C1514" s="1828"/>
      <c r="D1514" s="1828"/>
      <c r="E1514" s="844"/>
      <c r="R1514" s="845"/>
      <c r="S1514" s="845"/>
      <c r="T1514" s="845"/>
      <c r="U1514" s="845"/>
      <c r="V1514" s="845"/>
      <c r="W1514" s="845"/>
      <c r="X1514" s="845"/>
      <c r="Y1514" s="845"/>
    </row>
    <row r="1515" spans="1:25" x14ac:dyDescent="0.2">
      <c r="A1515" s="1828"/>
      <c r="B1515" s="1828"/>
      <c r="C1515" s="1828"/>
      <c r="D1515" s="1828"/>
      <c r="E1515" s="844"/>
      <c r="R1515" s="845"/>
      <c r="S1515" s="845"/>
      <c r="T1515" s="845"/>
      <c r="U1515" s="845"/>
      <c r="V1515" s="845"/>
      <c r="W1515" s="845"/>
      <c r="X1515" s="845"/>
      <c r="Y1515" s="845"/>
    </row>
    <row r="1516" spans="1:25" x14ac:dyDescent="0.2">
      <c r="A1516" s="1828"/>
      <c r="B1516" s="1828"/>
      <c r="C1516" s="1828"/>
      <c r="D1516" s="1828"/>
      <c r="E1516" s="844"/>
      <c r="R1516" s="845"/>
      <c r="S1516" s="845"/>
      <c r="T1516" s="845"/>
      <c r="U1516" s="845"/>
      <c r="V1516" s="845"/>
      <c r="W1516" s="845"/>
      <c r="X1516" s="845"/>
      <c r="Y1516" s="845"/>
    </row>
    <row r="1517" spans="1:25" x14ac:dyDescent="0.2">
      <c r="A1517" s="1828"/>
      <c r="B1517" s="1828"/>
      <c r="C1517" s="1828"/>
      <c r="D1517" s="1828"/>
      <c r="E1517" s="844"/>
      <c r="R1517" s="845"/>
      <c r="S1517" s="845"/>
      <c r="T1517" s="845"/>
      <c r="U1517" s="845"/>
      <c r="V1517" s="845"/>
      <c r="W1517" s="845"/>
      <c r="X1517" s="845"/>
      <c r="Y1517" s="845"/>
    </row>
    <row r="1518" spans="1:25" x14ac:dyDescent="0.2">
      <c r="A1518" s="1828"/>
      <c r="B1518" s="1828"/>
      <c r="C1518" s="1828"/>
      <c r="D1518" s="1828"/>
      <c r="E1518" s="844"/>
      <c r="R1518" s="845"/>
      <c r="S1518" s="845"/>
      <c r="T1518" s="845"/>
      <c r="U1518" s="845"/>
      <c r="V1518" s="845"/>
      <c r="W1518" s="845"/>
      <c r="X1518" s="845"/>
      <c r="Y1518" s="845"/>
    </row>
    <row r="1519" spans="1:25" x14ac:dyDescent="0.2">
      <c r="A1519" s="1828"/>
      <c r="B1519" s="1828"/>
      <c r="C1519" s="1828"/>
      <c r="D1519" s="1828"/>
      <c r="E1519" s="844"/>
      <c r="R1519" s="845"/>
      <c r="S1519" s="845"/>
      <c r="T1519" s="845"/>
      <c r="U1519" s="845"/>
      <c r="V1519" s="845"/>
      <c r="W1519" s="845"/>
      <c r="X1519" s="845"/>
      <c r="Y1519" s="845"/>
    </row>
    <row r="1520" spans="1:25" x14ac:dyDescent="0.2">
      <c r="A1520" s="1828"/>
      <c r="B1520" s="1828"/>
      <c r="C1520" s="1828"/>
      <c r="D1520" s="1828"/>
      <c r="E1520" s="844"/>
      <c r="R1520" s="845"/>
      <c r="S1520" s="845"/>
      <c r="T1520" s="845"/>
      <c r="U1520" s="845"/>
      <c r="V1520" s="845"/>
      <c r="W1520" s="845"/>
      <c r="X1520" s="845"/>
      <c r="Y1520" s="845"/>
    </row>
    <row r="1521" spans="1:25" x14ac:dyDescent="0.2">
      <c r="A1521" s="1828"/>
      <c r="B1521" s="1828"/>
      <c r="C1521" s="1828"/>
      <c r="D1521" s="1828"/>
      <c r="E1521" s="844"/>
      <c r="R1521" s="845"/>
      <c r="S1521" s="845"/>
      <c r="T1521" s="845"/>
      <c r="U1521" s="845"/>
      <c r="V1521" s="845"/>
      <c r="W1521" s="845"/>
      <c r="X1521" s="845"/>
      <c r="Y1521" s="845"/>
    </row>
    <row r="1522" spans="1:25" x14ac:dyDescent="0.2">
      <c r="A1522" s="1828"/>
      <c r="B1522" s="1828"/>
      <c r="C1522" s="1828"/>
      <c r="D1522" s="1828"/>
      <c r="E1522" s="844"/>
      <c r="R1522" s="845"/>
      <c r="S1522" s="845"/>
      <c r="T1522" s="845"/>
      <c r="U1522" s="845"/>
      <c r="V1522" s="845"/>
      <c r="W1522" s="845"/>
      <c r="X1522" s="845"/>
      <c r="Y1522" s="845"/>
    </row>
    <row r="1523" spans="1:25" x14ac:dyDescent="0.2">
      <c r="A1523" s="1828"/>
      <c r="B1523" s="1828"/>
      <c r="C1523" s="1828"/>
      <c r="D1523" s="1828"/>
      <c r="E1523" s="844"/>
      <c r="R1523" s="845"/>
      <c r="S1523" s="845"/>
      <c r="T1523" s="845"/>
      <c r="U1523" s="845"/>
      <c r="V1523" s="845"/>
      <c r="W1523" s="845"/>
      <c r="X1523" s="845"/>
      <c r="Y1523" s="845"/>
    </row>
    <row r="1524" spans="1:25" x14ac:dyDescent="0.2">
      <c r="A1524" s="1828"/>
      <c r="B1524" s="1828"/>
      <c r="C1524" s="1828"/>
      <c r="D1524" s="1828"/>
      <c r="E1524" s="844"/>
      <c r="R1524" s="845"/>
      <c r="S1524" s="845"/>
      <c r="T1524" s="845"/>
      <c r="U1524" s="845"/>
      <c r="V1524" s="845"/>
      <c r="W1524" s="845"/>
      <c r="X1524" s="845"/>
      <c r="Y1524" s="845"/>
    </row>
    <row r="1525" spans="1:25" x14ac:dyDescent="0.2">
      <c r="A1525" s="1828"/>
      <c r="B1525" s="1828"/>
      <c r="C1525" s="1828"/>
      <c r="D1525" s="1828"/>
      <c r="E1525" s="844"/>
      <c r="R1525" s="845"/>
      <c r="S1525" s="845"/>
      <c r="T1525" s="845"/>
      <c r="U1525" s="845"/>
      <c r="V1525" s="845"/>
      <c r="W1525" s="845"/>
      <c r="X1525" s="845"/>
      <c r="Y1525" s="845"/>
    </row>
    <row r="1526" spans="1:25" x14ac:dyDescent="0.2">
      <c r="A1526" s="1828"/>
      <c r="B1526" s="1828"/>
      <c r="C1526" s="1828"/>
      <c r="D1526" s="1828"/>
      <c r="E1526" s="844"/>
      <c r="R1526" s="845"/>
      <c r="S1526" s="845"/>
      <c r="T1526" s="845"/>
      <c r="U1526" s="845"/>
      <c r="V1526" s="845"/>
      <c r="W1526" s="845"/>
      <c r="X1526" s="845"/>
      <c r="Y1526" s="845"/>
    </row>
    <row r="1527" spans="1:25" x14ac:dyDescent="0.2">
      <c r="A1527" s="1828"/>
      <c r="B1527" s="1828"/>
      <c r="C1527" s="1828"/>
      <c r="D1527" s="1828"/>
      <c r="E1527" s="844"/>
      <c r="R1527" s="845"/>
      <c r="S1527" s="845"/>
      <c r="T1527" s="845"/>
      <c r="U1527" s="845"/>
      <c r="V1527" s="845"/>
      <c r="W1527" s="845"/>
      <c r="X1527" s="845"/>
      <c r="Y1527" s="845"/>
    </row>
    <row r="1528" spans="1:25" x14ac:dyDescent="0.2">
      <c r="A1528" s="1828"/>
      <c r="B1528" s="1828"/>
      <c r="C1528" s="1828"/>
      <c r="D1528" s="1828"/>
      <c r="E1528" s="844"/>
      <c r="R1528" s="845"/>
      <c r="S1528" s="845"/>
      <c r="T1528" s="845"/>
      <c r="U1528" s="845"/>
      <c r="V1528" s="845"/>
      <c r="W1528" s="845"/>
      <c r="X1528" s="845"/>
      <c r="Y1528" s="845"/>
    </row>
    <row r="1529" spans="1:25" x14ac:dyDescent="0.2">
      <c r="A1529" s="1828"/>
      <c r="B1529" s="1828"/>
      <c r="C1529" s="1828"/>
      <c r="D1529" s="1828"/>
      <c r="E1529" s="844"/>
      <c r="R1529" s="845"/>
      <c r="S1529" s="845"/>
      <c r="T1529" s="845"/>
      <c r="U1529" s="845"/>
      <c r="V1529" s="845"/>
      <c r="W1529" s="845"/>
      <c r="X1529" s="845"/>
      <c r="Y1529" s="845"/>
    </row>
    <row r="1530" spans="1:25" x14ac:dyDescent="0.2">
      <c r="A1530" s="1828"/>
      <c r="B1530" s="1828"/>
      <c r="C1530" s="1828"/>
      <c r="D1530" s="1828"/>
      <c r="E1530" s="844"/>
      <c r="R1530" s="845"/>
      <c r="S1530" s="845"/>
      <c r="T1530" s="845"/>
      <c r="U1530" s="845"/>
      <c r="V1530" s="845"/>
      <c r="W1530" s="845"/>
      <c r="X1530" s="845"/>
      <c r="Y1530" s="845"/>
    </row>
    <row r="1531" spans="1:25" x14ac:dyDescent="0.2">
      <c r="A1531" s="1828"/>
      <c r="B1531" s="1828"/>
      <c r="C1531" s="1828"/>
      <c r="D1531" s="1828"/>
      <c r="E1531" s="844"/>
      <c r="R1531" s="845"/>
      <c r="S1531" s="845"/>
      <c r="T1531" s="845"/>
      <c r="U1531" s="845"/>
      <c r="V1531" s="845"/>
      <c r="W1531" s="845"/>
      <c r="X1531" s="845"/>
      <c r="Y1531" s="845"/>
    </row>
    <row r="1532" spans="1:25" x14ac:dyDescent="0.2">
      <c r="A1532" s="1828"/>
      <c r="B1532" s="1828"/>
      <c r="C1532" s="1828"/>
      <c r="D1532" s="1828"/>
      <c r="E1532" s="844"/>
      <c r="R1532" s="845"/>
      <c r="S1532" s="845"/>
      <c r="T1532" s="845"/>
      <c r="U1532" s="845"/>
      <c r="V1532" s="845"/>
      <c r="W1532" s="845"/>
      <c r="X1532" s="845"/>
      <c r="Y1532" s="845"/>
    </row>
    <row r="1533" spans="1:25" x14ac:dyDescent="0.2">
      <c r="A1533" s="1828"/>
      <c r="B1533" s="1828"/>
      <c r="C1533" s="1828"/>
      <c r="D1533" s="1828"/>
      <c r="E1533" s="844"/>
      <c r="R1533" s="845"/>
      <c r="S1533" s="845"/>
      <c r="T1533" s="845"/>
      <c r="U1533" s="845"/>
      <c r="V1533" s="845"/>
      <c r="W1533" s="845"/>
      <c r="X1533" s="845"/>
      <c r="Y1533" s="845"/>
    </row>
    <row r="1534" spans="1:25" x14ac:dyDescent="0.2">
      <c r="A1534" s="1828"/>
      <c r="B1534" s="1828"/>
      <c r="C1534" s="1828"/>
      <c r="D1534" s="1828"/>
      <c r="E1534" s="844"/>
      <c r="R1534" s="845"/>
      <c r="S1534" s="845"/>
      <c r="T1534" s="845"/>
      <c r="U1534" s="845"/>
      <c r="V1534" s="845"/>
      <c r="W1534" s="845"/>
      <c r="X1534" s="845"/>
      <c r="Y1534" s="845"/>
    </row>
    <row r="1535" spans="1:25" x14ac:dyDescent="0.2">
      <c r="A1535" s="1828"/>
      <c r="B1535" s="1828"/>
      <c r="C1535" s="1828"/>
      <c r="D1535" s="1828"/>
      <c r="E1535" s="844"/>
      <c r="R1535" s="845"/>
      <c r="S1535" s="845"/>
      <c r="T1535" s="845"/>
      <c r="U1535" s="845"/>
      <c r="V1535" s="845"/>
      <c r="W1535" s="845"/>
      <c r="X1535" s="845"/>
      <c r="Y1535" s="845"/>
    </row>
    <row r="1536" spans="1:25" x14ac:dyDescent="0.2">
      <c r="A1536" s="1828"/>
      <c r="B1536" s="1828"/>
      <c r="C1536" s="1828"/>
      <c r="D1536" s="1828"/>
      <c r="E1536" s="844"/>
      <c r="R1536" s="845"/>
      <c r="S1536" s="845"/>
      <c r="T1536" s="845"/>
      <c r="U1536" s="845"/>
      <c r="V1536" s="845"/>
      <c r="W1536" s="845"/>
      <c r="X1536" s="845"/>
      <c r="Y1536" s="845"/>
    </row>
    <row r="1537" spans="1:25" x14ac:dyDescent="0.2">
      <c r="A1537" s="1828"/>
      <c r="B1537" s="1828"/>
      <c r="C1537" s="1828"/>
      <c r="D1537" s="1828"/>
      <c r="E1537" s="844"/>
      <c r="R1537" s="845"/>
      <c r="S1537" s="845"/>
      <c r="T1537" s="845"/>
      <c r="U1537" s="845"/>
      <c r="V1537" s="845"/>
      <c r="W1537" s="845"/>
      <c r="X1537" s="845"/>
      <c r="Y1537" s="845"/>
    </row>
    <row r="1538" spans="1:25" x14ac:dyDescent="0.2">
      <c r="A1538" s="1828"/>
      <c r="B1538" s="1828"/>
      <c r="C1538" s="1828"/>
      <c r="D1538" s="1828"/>
      <c r="E1538" s="844"/>
      <c r="R1538" s="845"/>
      <c r="S1538" s="845"/>
      <c r="T1538" s="845"/>
      <c r="U1538" s="845"/>
      <c r="V1538" s="845"/>
      <c r="W1538" s="845"/>
      <c r="X1538" s="845"/>
      <c r="Y1538" s="845"/>
    </row>
    <row r="1539" spans="1:25" x14ac:dyDescent="0.2">
      <c r="A1539" s="1828"/>
      <c r="B1539" s="1828"/>
      <c r="C1539" s="1828"/>
      <c r="D1539" s="1828"/>
      <c r="E1539" s="844"/>
      <c r="R1539" s="845"/>
      <c r="S1539" s="845"/>
      <c r="T1539" s="845"/>
      <c r="U1539" s="845"/>
      <c r="V1539" s="845"/>
      <c r="W1539" s="845"/>
      <c r="X1539" s="845"/>
      <c r="Y1539" s="845"/>
    </row>
    <row r="1540" spans="1:25" x14ac:dyDescent="0.2">
      <c r="A1540" s="1828"/>
      <c r="B1540" s="1828"/>
      <c r="C1540" s="1828"/>
      <c r="D1540" s="1828"/>
      <c r="E1540" s="844"/>
      <c r="R1540" s="845"/>
      <c r="S1540" s="845"/>
      <c r="T1540" s="845"/>
      <c r="U1540" s="845"/>
      <c r="V1540" s="845"/>
      <c r="W1540" s="845"/>
      <c r="X1540" s="845"/>
      <c r="Y1540" s="845"/>
    </row>
    <row r="1541" spans="1:25" x14ac:dyDescent="0.2">
      <c r="A1541" s="1828"/>
      <c r="B1541" s="1828"/>
      <c r="C1541" s="1828"/>
      <c r="D1541" s="1828"/>
      <c r="E1541" s="844"/>
      <c r="R1541" s="845"/>
      <c r="S1541" s="845"/>
      <c r="T1541" s="845"/>
      <c r="U1541" s="845"/>
      <c r="V1541" s="845"/>
      <c r="W1541" s="845"/>
      <c r="X1541" s="845"/>
      <c r="Y1541" s="845"/>
    </row>
    <row r="1542" spans="1:25" x14ac:dyDescent="0.2">
      <c r="A1542" s="1828"/>
      <c r="B1542" s="1828"/>
      <c r="C1542" s="1828"/>
      <c r="D1542" s="1828"/>
      <c r="E1542" s="844"/>
      <c r="R1542" s="845"/>
      <c r="S1542" s="845"/>
      <c r="T1542" s="845"/>
      <c r="U1542" s="845"/>
      <c r="V1542" s="845"/>
      <c r="W1542" s="845"/>
      <c r="X1542" s="845"/>
      <c r="Y1542" s="845"/>
    </row>
    <row r="1543" spans="1:25" x14ac:dyDescent="0.2">
      <c r="A1543" s="1828"/>
      <c r="B1543" s="1828"/>
      <c r="C1543" s="1828"/>
      <c r="D1543" s="1828"/>
      <c r="E1543" s="844"/>
      <c r="R1543" s="845"/>
      <c r="S1543" s="845"/>
      <c r="T1543" s="845"/>
      <c r="U1543" s="845"/>
      <c r="V1543" s="845"/>
      <c r="W1543" s="845"/>
      <c r="X1543" s="845"/>
      <c r="Y1543" s="845"/>
    </row>
    <row r="1544" spans="1:25" x14ac:dyDescent="0.2">
      <c r="A1544" s="1828"/>
      <c r="B1544" s="1828"/>
      <c r="C1544" s="1828"/>
      <c r="D1544" s="1828"/>
      <c r="E1544" s="844"/>
      <c r="R1544" s="845"/>
      <c r="S1544" s="845"/>
      <c r="T1544" s="845"/>
      <c r="U1544" s="845"/>
      <c r="V1544" s="845"/>
      <c r="W1544" s="845"/>
      <c r="X1544" s="845"/>
      <c r="Y1544" s="845"/>
    </row>
    <row r="1545" spans="1:25" x14ac:dyDescent="0.2">
      <c r="A1545" s="1828"/>
      <c r="B1545" s="1828"/>
      <c r="C1545" s="1828"/>
      <c r="D1545" s="1828"/>
      <c r="E1545" s="844"/>
      <c r="R1545" s="845"/>
      <c r="S1545" s="845"/>
      <c r="T1545" s="845"/>
      <c r="U1545" s="845"/>
      <c r="V1545" s="845"/>
      <c r="W1545" s="845"/>
      <c r="X1545" s="845"/>
      <c r="Y1545" s="845"/>
    </row>
    <row r="1546" spans="1:25" x14ac:dyDescent="0.2">
      <c r="A1546" s="1828"/>
      <c r="B1546" s="1828"/>
      <c r="C1546" s="1828"/>
      <c r="D1546" s="1828"/>
      <c r="E1546" s="844"/>
      <c r="R1546" s="845"/>
      <c r="S1546" s="845"/>
      <c r="T1546" s="845"/>
      <c r="U1546" s="845"/>
      <c r="V1546" s="845"/>
      <c r="W1546" s="845"/>
      <c r="X1546" s="845"/>
      <c r="Y1546" s="845"/>
    </row>
    <row r="1547" spans="1:25" x14ac:dyDescent="0.2">
      <c r="A1547" s="1828"/>
      <c r="B1547" s="1828"/>
      <c r="C1547" s="1828"/>
      <c r="D1547" s="1828"/>
      <c r="E1547" s="844"/>
      <c r="R1547" s="845"/>
      <c r="S1547" s="845"/>
      <c r="T1547" s="845"/>
      <c r="U1547" s="845"/>
      <c r="V1547" s="845"/>
      <c r="W1547" s="845"/>
      <c r="X1547" s="845"/>
      <c r="Y1547" s="845"/>
    </row>
    <row r="1548" spans="1:25" x14ac:dyDescent="0.2">
      <c r="A1548" s="1828"/>
      <c r="B1548" s="1828"/>
      <c r="C1548" s="1828"/>
      <c r="D1548" s="1828"/>
      <c r="E1548" s="844"/>
      <c r="R1548" s="845"/>
      <c r="S1548" s="845"/>
      <c r="T1548" s="845"/>
      <c r="U1548" s="845"/>
      <c r="V1548" s="845"/>
      <c r="W1548" s="845"/>
      <c r="X1548" s="845"/>
      <c r="Y1548" s="845"/>
    </row>
    <row r="1549" spans="1:25" x14ac:dyDescent="0.2">
      <c r="A1549" s="1828"/>
      <c r="B1549" s="1828"/>
      <c r="C1549" s="1828"/>
      <c r="D1549" s="1828"/>
      <c r="E1549" s="844"/>
      <c r="R1549" s="845"/>
      <c r="S1549" s="845"/>
      <c r="T1549" s="845"/>
      <c r="U1549" s="845"/>
      <c r="V1549" s="845"/>
      <c r="W1549" s="845"/>
      <c r="X1549" s="845"/>
      <c r="Y1549" s="845"/>
    </row>
    <row r="1550" spans="1:25" x14ac:dyDescent="0.2">
      <c r="A1550" s="1828"/>
      <c r="B1550" s="1828"/>
      <c r="C1550" s="1828"/>
      <c r="D1550" s="1828"/>
    </row>
    <row r="1551" spans="1:25" x14ac:dyDescent="0.2">
      <c r="A1551" s="1828"/>
      <c r="B1551" s="1828"/>
      <c r="C1551" s="1828"/>
      <c r="D1551" s="1828"/>
    </row>
    <row r="1552" spans="1:25" x14ac:dyDescent="0.2">
      <c r="A1552" s="1828"/>
      <c r="B1552" s="1828"/>
      <c r="C1552" s="1828"/>
      <c r="D1552" s="1828"/>
    </row>
    <row r="1553" spans="1:4" x14ac:dyDescent="0.2">
      <c r="A1553" s="1828"/>
      <c r="B1553" s="1828"/>
      <c r="C1553" s="1828"/>
      <c r="D1553" s="1828"/>
    </row>
    <row r="1554" spans="1:4" x14ac:dyDescent="0.2">
      <c r="A1554" s="1828"/>
      <c r="B1554" s="1828"/>
      <c r="C1554" s="1828"/>
      <c r="D1554" s="1828"/>
    </row>
    <row r="1555" spans="1:4" x14ac:dyDescent="0.2">
      <c r="A1555" s="1828"/>
      <c r="B1555" s="1828"/>
      <c r="C1555" s="1828"/>
      <c r="D1555" s="1828"/>
    </row>
    <row r="1556" spans="1:4" x14ac:dyDescent="0.2">
      <c r="A1556" s="1828"/>
      <c r="B1556" s="1828"/>
      <c r="C1556" s="1828"/>
      <c r="D1556" s="1828"/>
    </row>
    <row r="1557" spans="1:4" x14ac:dyDescent="0.2">
      <c r="A1557" s="1828"/>
      <c r="B1557" s="1828"/>
      <c r="C1557" s="1828"/>
      <c r="D1557" s="1828"/>
    </row>
    <row r="1558" spans="1:4" x14ac:dyDescent="0.2">
      <c r="A1558" s="1828"/>
      <c r="B1558" s="1828"/>
      <c r="C1558" s="1828"/>
      <c r="D1558" s="1828"/>
    </row>
    <row r="1559" spans="1:4" x14ac:dyDescent="0.2">
      <c r="A1559" s="1828"/>
      <c r="B1559" s="1828"/>
      <c r="C1559" s="1828"/>
      <c r="D1559" s="1828"/>
    </row>
    <row r="1560" spans="1:4" x14ac:dyDescent="0.2">
      <c r="A1560" s="1828"/>
      <c r="B1560" s="1828"/>
      <c r="C1560" s="1828"/>
      <c r="D1560" s="1828"/>
    </row>
    <row r="1561" spans="1:4" x14ac:dyDescent="0.2">
      <c r="A1561" s="1828"/>
      <c r="B1561" s="1828"/>
      <c r="C1561" s="1828"/>
      <c r="D1561" s="1828"/>
    </row>
    <row r="1562" spans="1:4" x14ac:dyDescent="0.2">
      <c r="A1562" s="1828"/>
      <c r="B1562" s="1828"/>
      <c r="C1562" s="1828"/>
      <c r="D1562" s="1828"/>
    </row>
    <row r="1563" spans="1:4" x14ac:dyDescent="0.2">
      <c r="A1563" s="1828"/>
      <c r="B1563" s="1828"/>
      <c r="C1563" s="1828"/>
      <c r="D1563" s="1828"/>
    </row>
    <row r="1564" spans="1:4" x14ac:dyDescent="0.2">
      <c r="A1564" s="1828"/>
      <c r="B1564" s="1828"/>
      <c r="C1564" s="1828"/>
      <c r="D1564" s="1828"/>
    </row>
    <row r="1565" spans="1:4" x14ac:dyDescent="0.2">
      <c r="A1565" s="1828"/>
      <c r="B1565" s="1828"/>
      <c r="C1565" s="1828"/>
      <c r="D1565" s="1828"/>
    </row>
    <row r="1566" spans="1:4" x14ac:dyDescent="0.2">
      <c r="A1566" s="1828"/>
      <c r="B1566" s="1828"/>
      <c r="C1566" s="1828"/>
      <c r="D1566" s="1828"/>
    </row>
    <row r="1567" spans="1:4" x14ac:dyDescent="0.2">
      <c r="A1567" s="1828"/>
      <c r="B1567" s="1828"/>
      <c r="C1567" s="1828"/>
      <c r="D1567" s="1828"/>
    </row>
    <row r="1568" spans="1:4" x14ac:dyDescent="0.2">
      <c r="A1568" s="1828"/>
      <c r="B1568" s="1828"/>
      <c r="C1568" s="1828"/>
      <c r="D1568" s="1828"/>
    </row>
    <row r="1569" spans="1:4" x14ac:dyDescent="0.2">
      <c r="A1569" s="1828"/>
      <c r="B1569" s="1828"/>
      <c r="C1569" s="1828"/>
      <c r="D1569" s="1828"/>
    </row>
    <row r="1570" spans="1:4" x14ac:dyDescent="0.2">
      <c r="A1570" s="1828"/>
      <c r="B1570" s="1828"/>
      <c r="C1570" s="1828"/>
      <c r="D1570" s="1828"/>
    </row>
    <row r="1571" spans="1:4" x14ac:dyDescent="0.2">
      <c r="A1571" s="1828"/>
      <c r="B1571" s="1828"/>
      <c r="C1571" s="1828"/>
      <c r="D1571" s="1828"/>
    </row>
    <row r="1572" spans="1:4" x14ac:dyDescent="0.2">
      <c r="A1572" s="1828"/>
      <c r="B1572" s="1828"/>
      <c r="C1572" s="1828"/>
      <c r="D1572" s="1828"/>
    </row>
    <row r="1573" spans="1:4" x14ac:dyDescent="0.2">
      <c r="A1573" s="1828"/>
      <c r="B1573" s="1828"/>
      <c r="C1573" s="1828"/>
      <c r="D1573" s="1828"/>
    </row>
    <row r="1574" spans="1:4" x14ac:dyDescent="0.2">
      <c r="A1574" s="1828"/>
      <c r="B1574" s="1828"/>
      <c r="C1574" s="1828"/>
      <c r="D1574" s="1828"/>
    </row>
    <row r="1575" spans="1:4" x14ac:dyDescent="0.2">
      <c r="A1575" s="1828"/>
      <c r="B1575" s="1828"/>
      <c r="C1575" s="1828"/>
      <c r="D1575" s="1828"/>
    </row>
    <row r="1576" spans="1:4" x14ac:dyDescent="0.2">
      <c r="A1576" s="1828"/>
      <c r="B1576" s="1828"/>
      <c r="C1576" s="1828"/>
      <c r="D1576" s="1828"/>
    </row>
    <row r="1577" spans="1:4" x14ac:dyDescent="0.2">
      <c r="A1577" s="1828"/>
      <c r="B1577" s="1828"/>
      <c r="C1577" s="1828"/>
      <c r="D1577" s="1828"/>
    </row>
    <row r="1578" spans="1:4" x14ac:dyDescent="0.2">
      <c r="A1578" s="1828"/>
      <c r="B1578" s="1828"/>
      <c r="C1578" s="1828"/>
      <c r="D1578" s="1828"/>
    </row>
    <row r="1579" spans="1:4" x14ac:dyDescent="0.2">
      <c r="A1579" s="1828"/>
      <c r="B1579" s="1828"/>
      <c r="C1579" s="1828"/>
      <c r="D1579" s="1828"/>
    </row>
    <row r="1580" spans="1:4" x14ac:dyDescent="0.2">
      <c r="A1580" s="1828"/>
      <c r="B1580" s="1828"/>
      <c r="C1580" s="1828"/>
      <c r="D1580" s="1828"/>
    </row>
    <row r="1581" spans="1:4" x14ac:dyDescent="0.2">
      <c r="A1581" s="1828"/>
      <c r="B1581" s="1828"/>
      <c r="C1581" s="1828"/>
      <c r="D1581" s="1828"/>
    </row>
    <row r="1582" spans="1:4" x14ac:dyDescent="0.2">
      <c r="A1582" s="1828"/>
      <c r="B1582" s="1828"/>
      <c r="C1582" s="1828"/>
      <c r="D1582" s="1828"/>
    </row>
  </sheetData>
  <mergeCells count="31">
    <mergeCell ref="C31:D31"/>
    <mergeCell ref="C30:D30"/>
    <mergeCell ref="C8:D8"/>
    <mergeCell ref="A14:B14"/>
    <mergeCell ref="A30:B30"/>
    <mergeCell ref="C11:D11"/>
    <mergeCell ref="C13:D13"/>
    <mergeCell ref="C85:D85"/>
    <mergeCell ref="A49:B49"/>
    <mergeCell ref="C101:D101"/>
    <mergeCell ref="C40:D40"/>
    <mergeCell ref="C49:D49"/>
    <mergeCell ref="C58:D58"/>
    <mergeCell ref="A93:B93"/>
    <mergeCell ref="A40:B40"/>
    <mergeCell ref="A133:B133"/>
    <mergeCell ref="C133:D133"/>
    <mergeCell ref="A77:B77"/>
    <mergeCell ref="A58:B58"/>
    <mergeCell ref="C77:D77"/>
    <mergeCell ref="C93:D93"/>
    <mergeCell ref="C68:D68"/>
    <mergeCell ref="A125:B125"/>
    <mergeCell ref="C125:D125"/>
    <mergeCell ref="A117:B117"/>
    <mergeCell ref="C117:D117"/>
    <mergeCell ref="A109:B109"/>
    <mergeCell ref="C109:D109"/>
    <mergeCell ref="A101:B101"/>
    <mergeCell ref="C59:D59"/>
    <mergeCell ref="A85:B85"/>
  </mergeCells>
  <phoneticPr fontId="3" type="noConversion"/>
  <dataValidations count="2">
    <dataValidation type="whole" allowBlank="1" showInputMessage="1" showErrorMessage="1" sqref="B24:B25 B18:B19" xr:uid="{00000000-0002-0000-0500-000000000000}">
      <formula1>0</formula1>
      <formula2>9999</formula2>
    </dataValidation>
    <dataValidation type="list" allowBlank="1" showInputMessage="1" showErrorMessage="1" sqref="B5" xr:uid="{00000000-0002-0000-0500-000001000000}">
      <formula1>$P$4:$P$359</formula1>
    </dataValidation>
  </dataValidations>
  <hyperlinks>
    <hyperlink ref="C6" location="_ftn1" display="¹  Grade in terms of the Remuneration of Public Office Bearers Act." xr:uid="{00000000-0004-0000-0500-000000000000}"/>
  </hyperlinks>
  <pageMargins left="0.75" right="0.27" top="1" bottom="1" header="0.5" footer="0.5"/>
  <pageSetup scale="55" orientation="portrait"/>
  <headerFooter alignWithMargins="0"/>
  <rowBreaks count="1" manualBreakCount="1">
    <brk id="84" max="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6">
    <pageSetUpPr fitToPage="1"/>
  </sheetPr>
  <dimension ref="A1:I146"/>
  <sheetViews>
    <sheetView showGridLines="0" zoomScaleNormal="100" workbookViewId="0">
      <pane xSplit="2" ySplit="3" topLeftCell="C4" activePane="bottomRight" state="frozen"/>
      <selection pane="topRight"/>
      <selection pane="bottomLeft"/>
      <selection pane="bottomRight" activeCell="K42" sqref="K42"/>
    </sheetView>
  </sheetViews>
  <sheetFormatPr defaultRowHeight="12.75" x14ac:dyDescent="0.25"/>
  <cols>
    <col min="1" max="1" width="30.7109375" style="25" customWidth="1"/>
    <col min="2" max="2" width="3" style="102" customWidth="1"/>
    <col min="3" max="9" width="9.28515625" style="25" customWidth="1"/>
    <col min="10" max="10" width="9.42578125" style="25" customWidth="1"/>
    <col min="11" max="11" width="9.7109375" style="25" customWidth="1"/>
    <col min="12" max="14" width="9.42578125" style="25" customWidth="1"/>
    <col min="15" max="15" width="9.7109375" style="25" customWidth="1"/>
    <col min="16" max="18" width="9.42578125" style="25" customWidth="1"/>
    <col min="19" max="20" width="9.7109375" style="25" customWidth="1"/>
    <col min="21" max="16384" width="9.140625" style="25"/>
  </cols>
  <sheetData>
    <row r="1" spans="1:9" ht="13.5" customHeight="1" x14ac:dyDescent="0.25">
      <c r="A1" s="591" t="str">
        <f>muni&amp;" - "&amp;TableA35</f>
        <v>EC101 Dr Beyers Naude - Supporting Table SA35 Future financial implications of the capital budget</v>
      </c>
      <c r="B1" s="591"/>
      <c r="C1" s="591"/>
      <c r="D1" s="591"/>
      <c r="E1" s="591"/>
      <c r="F1" s="591"/>
      <c r="G1" s="591"/>
      <c r="H1" s="591"/>
      <c r="I1" s="591"/>
    </row>
    <row r="2" spans="1:9" ht="33.75" customHeight="1" x14ac:dyDescent="0.25">
      <c r="A2" s="614" t="str">
        <f>Vdesc</f>
        <v>Vote Description</v>
      </c>
      <c r="B2" s="220" t="str">
        <f>head27</f>
        <v>Ref</v>
      </c>
      <c r="C2" s="1965" t="str">
        <f>Head3</f>
        <v>2019/20 Medium Term Revenue &amp; Expenditure Framework</v>
      </c>
      <c r="D2" s="1905"/>
      <c r="E2" s="1905"/>
      <c r="F2" s="1940" t="s">
        <v>762</v>
      </c>
      <c r="G2" s="1972"/>
      <c r="H2" s="1972"/>
      <c r="I2" s="1973"/>
    </row>
    <row r="3" spans="1:9" ht="25.5" x14ac:dyDescent="0.25">
      <c r="A3" s="53" t="s">
        <v>573</v>
      </c>
      <c r="B3" s="619"/>
      <c r="C3" s="616" t="str">
        <f>Head9</f>
        <v>Budget Year 2019/20</v>
      </c>
      <c r="D3" s="203" t="str">
        <f>Head10</f>
        <v>Budget Year +1 2020/21</v>
      </c>
      <c r="E3" s="202" t="str">
        <f>Head11</f>
        <v>Budget Year +2 2021/22</v>
      </c>
      <c r="F3" s="632" t="str">
        <f>Head12</f>
        <v>Forecast 2022/23</v>
      </c>
      <c r="G3" s="633" t="str">
        <f>Head13</f>
        <v>Forecast 2023/24</v>
      </c>
      <c r="H3" s="633" t="str">
        <f>Head14</f>
        <v>Forecast 2024/25</v>
      </c>
      <c r="I3" s="634" t="str">
        <f>Head48</f>
        <v>Present value</v>
      </c>
    </row>
    <row r="4" spans="1:9" x14ac:dyDescent="0.25">
      <c r="A4" s="54" t="s">
        <v>1342</v>
      </c>
      <c r="B4" s="136">
        <v>1</v>
      </c>
      <c r="C4" s="149"/>
      <c r="D4" s="149"/>
      <c r="E4" s="150"/>
      <c r="F4" s="151"/>
      <c r="G4" s="149"/>
      <c r="H4" s="149"/>
      <c r="I4" s="152"/>
    </row>
    <row r="5" spans="1:9" ht="11.25" customHeight="1" x14ac:dyDescent="0.25">
      <c r="A5" s="63" t="str">
        <f>'A5-Capex'!A6</f>
        <v>Vote 1 - COUNCIL</v>
      </c>
      <c r="B5" s="55"/>
      <c r="C5" s="65">
        <f>'A5-Capex'!J6+'A5-Capex'!J24</f>
        <v>0</v>
      </c>
      <c r="D5" s="65">
        <f>'A5-Capex'!K6+'A5-Capex'!K24</f>
        <v>0</v>
      </c>
      <c r="E5" s="64">
        <f>'A5-Capex'!L6+'A5-Capex'!L24</f>
        <v>0</v>
      </c>
      <c r="F5" s="1323"/>
      <c r="G5" s="920"/>
      <c r="H5" s="920"/>
      <c r="I5" s="1322"/>
    </row>
    <row r="6" spans="1:9" ht="11.25" customHeight="1" x14ac:dyDescent="0.25">
      <c r="A6" s="63" t="str">
        <f>'A5-Capex'!A7</f>
        <v>Vote 2 - OFFICE OF THE MUNICIPAL MANAGER</v>
      </c>
      <c r="B6" s="55"/>
      <c r="C6" s="65">
        <f>'A5-Capex'!J7+'A5-Capex'!J25</f>
        <v>0</v>
      </c>
      <c r="D6" s="65">
        <f>'A5-Capex'!K7+'A5-Capex'!K25</f>
        <v>0</v>
      </c>
      <c r="E6" s="64">
        <f>'A5-Capex'!L7+'A5-Capex'!L25</f>
        <v>0</v>
      </c>
      <c r="F6" s="1323"/>
      <c r="G6" s="920"/>
      <c r="H6" s="920"/>
      <c r="I6" s="1322"/>
    </row>
    <row r="7" spans="1:9" ht="11.25" customHeight="1" x14ac:dyDescent="0.25">
      <c r="A7" s="63" t="str">
        <f>'A5-Capex'!A8</f>
        <v>Vote 3 - FINANCIAL SERVICES</v>
      </c>
      <c r="B7" s="55"/>
      <c r="C7" s="65">
        <f>'A5-Capex'!J8+'A5-Capex'!J26</f>
        <v>0</v>
      </c>
      <c r="D7" s="65">
        <f>'A5-Capex'!K8+'A5-Capex'!K26</f>
        <v>0</v>
      </c>
      <c r="E7" s="64">
        <f>'A5-Capex'!L8+'A5-Capex'!L26</f>
        <v>0</v>
      </c>
      <c r="F7" s="1323"/>
      <c r="G7" s="920"/>
      <c r="H7" s="920"/>
      <c r="I7" s="1322"/>
    </row>
    <row r="8" spans="1:9" ht="11.25" customHeight="1" x14ac:dyDescent="0.25">
      <c r="A8" s="63" t="str">
        <f>'A5-Capex'!A9</f>
        <v>Vote 4 - CORPORATE SERVICES</v>
      </c>
      <c r="B8" s="55"/>
      <c r="C8" s="65">
        <f>'A5-Capex'!J9+'A5-Capex'!J27</f>
        <v>0</v>
      </c>
      <c r="D8" s="65">
        <f>'A5-Capex'!K9+'A5-Capex'!K27</f>
        <v>0</v>
      </c>
      <c r="E8" s="64">
        <f>'A5-Capex'!L9+'A5-Capex'!L27</f>
        <v>0</v>
      </c>
      <c r="F8" s="1323"/>
      <c r="G8" s="920"/>
      <c r="H8" s="920"/>
      <c r="I8" s="1322"/>
    </row>
    <row r="9" spans="1:9" ht="11.25" customHeight="1" x14ac:dyDescent="0.25">
      <c r="A9" s="63" t="str">
        <f>'A5-Capex'!A10</f>
        <v>Vote 5 - INFRASTRUCTURE SERVICES</v>
      </c>
      <c r="B9" s="55"/>
      <c r="C9" s="65">
        <f>'A5-Capex'!J10+'A5-Capex'!J28</f>
        <v>29550973</v>
      </c>
      <c r="D9" s="65">
        <f>'A5-Capex'!K10+'A5-Capex'!K28</f>
        <v>33550141</v>
      </c>
      <c r="E9" s="64">
        <f>'A5-Capex'!L10+'A5-Capex'!L28</f>
        <v>0</v>
      </c>
      <c r="F9" s="1323"/>
      <c r="G9" s="920"/>
      <c r="H9" s="920"/>
      <c r="I9" s="1322"/>
    </row>
    <row r="10" spans="1:9" ht="11.25" customHeight="1" x14ac:dyDescent="0.25">
      <c r="A10" s="63" t="str">
        <f>'A5-Capex'!A11</f>
        <v>Vote 6 - COMMUNITY SERVICES</v>
      </c>
      <c r="B10" s="55"/>
      <c r="C10" s="65">
        <f>'A5-Capex'!J11+'A5-Capex'!J29</f>
        <v>2896465.1</v>
      </c>
      <c r="D10" s="65">
        <f>'A5-Capex'!K11+'A5-Capex'!K29</f>
        <v>16422359</v>
      </c>
      <c r="E10" s="64">
        <f>'A5-Capex'!L11+'A5-Capex'!L29</f>
        <v>0</v>
      </c>
      <c r="F10" s="1323"/>
      <c r="G10" s="920"/>
      <c r="H10" s="920"/>
      <c r="I10" s="1322"/>
    </row>
    <row r="11" spans="1:9" ht="11.25" customHeight="1" x14ac:dyDescent="0.25">
      <c r="A11" s="63" t="str">
        <f>'A5-Capex'!A12</f>
        <v>Vote 7 - [NAME OF VOTE 7]</v>
      </c>
      <c r="B11" s="55"/>
      <c r="C11" s="65">
        <f>'A5-Capex'!J12+'A5-Capex'!J30</f>
        <v>0</v>
      </c>
      <c r="D11" s="65">
        <f>'A5-Capex'!K12+'A5-Capex'!K30</f>
        <v>0</v>
      </c>
      <c r="E11" s="64">
        <f>'A5-Capex'!L12+'A5-Capex'!L30</f>
        <v>0</v>
      </c>
      <c r="F11" s="1323"/>
      <c r="G11" s="920"/>
      <c r="H11" s="920"/>
      <c r="I11" s="1322"/>
    </row>
    <row r="12" spans="1:9" ht="11.25" customHeight="1" x14ac:dyDescent="0.25">
      <c r="A12" s="63" t="str">
        <f>'A5-Capex'!A13</f>
        <v>Vote 8 - [NAME OF VOTE 8]</v>
      </c>
      <c r="B12" s="55"/>
      <c r="C12" s="65">
        <f>'A5-Capex'!J13+'A5-Capex'!J31</f>
        <v>0</v>
      </c>
      <c r="D12" s="65">
        <f>'A5-Capex'!K13+'A5-Capex'!K31</f>
        <v>0</v>
      </c>
      <c r="E12" s="64">
        <f>'A5-Capex'!L13+'A5-Capex'!L31</f>
        <v>0</v>
      </c>
      <c r="F12" s="1323"/>
      <c r="G12" s="920"/>
      <c r="H12" s="920"/>
      <c r="I12" s="1322"/>
    </row>
    <row r="13" spans="1:9" ht="11.25" customHeight="1" x14ac:dyDescent="0.25">
      <c r="A13" s="63" t="str">
        <f>'A5-Capex'!A14</f>
        <v>Vote 9 - [NAME OF VOTE 9]</v>
      </c>
      <c r="B13" s="55"/>
      <c r="C13" s="65">
        <f>'A5-Capex'!J14+'A5-Capex'!J32</f>
        <v>0</v>
      </c>
      <c r="D13" s="65">
        <f>'A5-Capex'!K14+'A5-Capex'!K32</f>
        <v>0</v>
      </c>
      <c r="E13" s="64">
        <f>'A5-Capex'!L14+'A5-Capex'!L32</f>
        <v>0</v>
      </c>
      <c r="F13" s="1323"/>
      <c r="G13" s="920"/>
      <c r="H13" s="920"/>
      <c r="I13" s="1322"/>
    </row>
    <row r="14" spans="1:9" ht="11.25" customHeight="1" x14ac:dyDescent="0.25">
      <c r="A14" s="63" t="str">
        <f>'A5-Capex'!A15</f>
        <v>Vote 10 - [NAME OF VOTE 10]</v>
      </c>
      <c r="B14" s="55"/>
      <c r="C14" s="65">
        <f>'A5-Capex'!J15+'A5-Capex'!J33</f>
        <v>0</v>
      </c>
      <c r="D14" s="65">
        <f>'A5-Capex'!K15+'A5-Capex'!K33</f>
        <v>0</v>
      </c>
      <c r="E14" s="64">
        <f>'A5-Capex'!L15+'A5-Capex'!L33</f>
        <v>0</v>
      </c>
      <c r="F14" s="1323"/>
      <c r="G14" s="920"/>
      <c r="H14" s="920"/>
      <c r="I14" s="1322"/>
    </row>
    <row r="15" spans="1:9" ht="11.25" customHeight="1" x14ac:dyDescent="0.25">
      <c r="A15" s="63" t="str">
        <f>'A5-Capex'!A16</f>
        <v>Vote 11 - [NAME OF VOTE 11]</v>
      </c>
      <c r="B15" s="55"/>
      <c r="C15" s="65">
        <f>'A5-Capex'!J16+'A5-Capex'!J34</f>
        <v>0</v>
      </c>
      <c r="D15" s="65">
        <f>'A5-Capex'!K16+'A5-Capex'!K34</f>
        <v>0</v>
      </c>
      <c r="E15" s="64">
        <f>'A5-Capex'!L16+'A5-Capex'!L34</f>
        <v>0</v>
      </c>
      <c r="F15" s="1323"/>
      <c r="G15" s="920"/>
      <c r="H15" s="920"/>
      <c r="I15" s="1322"/>
    </row>
    <row r="16" spans="1:9" ht="11.25" customHeight="1" x14ac:dyDescent="0.25">
      <c r="A16" s="63" t="str">
        <f>'A5-Capex'!A17</f>
        <v>Vote 12 - [NAME OF VOTE 12]</v>
      </c>
      <c r="B16" s="55"/>
      <c r="C16" s="65">
        <f>'A5-Capex'!J17+'A5-Capex'!J35</f>
        <v>0</v>
      </c>
      <c r="D16" s="65">
        <f>'A5-Capex'!K17+'A5-Capex'!K35</f>
        <v>0</v>
      </c>
      <c r="E16" s="64">
        <f>'A5-Capex'!L17+'A5-Capex'!L35</f>
        <v>0</v>
      </c>
      <c r="F16" s="1323"/>
      <c r="G16" s="920"/>
      <c r="H16" s="920"/>
      <c r="I16" s="1322"/>
    </row>
    <row r="17" spans="1:9" ht="11.25" customHeight="1" x14ac:dyDescent="0.25">
      <c r="A17" s="63" t="str">
        <f>'A5-Capex'!A18</f>
        <v>Vote 13 - [NAME OF VOTE 13]</v>
      </c>
      <c r="B17" s="55"/>
      <c r="C17" s="65">
        <f>'A5-Capex'!J18+'A5-Capex'!J36</f>
        <v>0</v>
      </c>
      <c r="D17" s="65">
        <f>'A5-Capex'!K18+'A5-Capex'!K36</f>
        <v>0</v>
      </c>
      <c r="E17" s="64">
        <f>'A5-Capex'!L18+'A5-Capex'!L36</f>
        <v>0</v>
      </c>
      <c r="F17" s="1323"/>
      <c r="G17" s="920"/>
      <c r="H17" s="920"/>
      <c r="I17" s="1322"/>
    </row>
    <row r="18" spans="1:9" ht="11.25" customHeight="1" x14ac:dyDescent="0.25">
      <c r="A18" s="63" t="str">
        <f>'A5-Capex'!A19</f>
        <v>Vote 14 - [NAME OF VOTE 14]</v>
      </c>
      <c r="B18" s="55"/>
      <c r="C18" s="65">
        <f>'A5-Capex'!J19+'A5-Capex'!J37</f>
        <v>0</v>
      </c>
      <c r="D18" s="65">
        <f>'A5-Capex'!K19+'A5-Capex'!K37</f>
        <v>0</v>
      </c>
      <c r="E18" s="64">
        <f>'A5-Capex'!L19+'A5-Capex'!L37</f>
        <v>0</v>
      </c>
      <c r="F18" s="1323"/>
      <c r="G18" s="920"/>
      <c r="H18" s="920"/>
      <c r="I18" s="1322"/>
    </row>
    <row r="19" spans="1:9" ht="11.25" customHeight="1" x14ac:dyDescent="0.25">
      <c r="A19" s="63" t="str">
        <f>'A5-Capex'!A20</f>
        <v>Vote 15 - [NAME OF VOTE 15]</v>
      </c>
      <c r="B19" s="55"/>
      <c r="C19" s="65">
        <f>'A5-Capex'!J20+'A5-Capex'!J38</f>
        <v>0</v>
      </c>
      <c r="D19" s="65">
        <f>'A5-Capex'!K20+'A5-Capex'!K38</f>
        <v>0</v>
      </c>
      <c r="E19" s="64">
        <f>'A5-Capex'!L20+'A5-Capex'!L38</f>
        <v>0</v>
      </c>
      <c r="F19" s="1323"/>
      <c r="G19" s="920"/>
      <c r="H19" s="920"/>
      <c r="I19" s="1322"/>
    </row>
    <row r="20" spans="1:9" ht="11.25" customHeight="1" x14ac:dyDescent="0.25">
      <c r="A20" s="1368" t="s">
        <v>1321</v>
      </c>
      <c r="B20" s="55"/>
      <c r="C20" s="920"/>
      <c r="D20" s="920"/>
      <c r="E20" s="921"/>
      <c r="F20" s="1323"/>
      <c r="G20" s="920"/>
      <c r="H20" s="920"/>
      <c r="I20" s="1322"/>
    </row>
    <row r="21" spans="1:9" ht="11.25" customHeight="1" x14ac:dyDescent="0.25">
      <c r="A21" s="743" t="s">
        <v>32</v>
      </c>
      <c r="B21" s="55"/>
      <c r="C21" s="71">
        <f>SUM(C5:C20)</f>
        <v>32447438.100000001</v>
      </c>
      <c r="D21" s="71">
        <f t="shared" ref="D21:I21" si="0">SUM(D5:D20)</f>
        <v>49972500</v>
      </c>
      <c r="E21" s="721">
        <f t="shared" si="0"/>
        <v>0</v>
      </c>
      <c r="F21" s="720">
        <f t="shared" si="0"/>
        <v>0</v>
      </c>
      <c r="G21" s="71">
        <f t="shared" si="0"/>
        <v>0</v>
      </c>
      <c r="H21" s="71">
        <f t="shared" si="0"/>
        <v>0</v>
      </c>
      <c r="I21" s="719">
        <f t="shared" si="0"/>
        <v>0</v>
      </c>
    </row>
    <row r="22" spans="1:9" ht="4.5" customHeight="1" x14ac:dyDescent="0.25">
      <c r="A22" s="74"/>
      <c r="B22" s="55"/>
      <c r="C22" s="592"/>
      <c r="D22" s="592"/>
      <c r="E22" s="593"/>
      <c r="F22" s="594"/>
      <c r="G22" s="592"/>
      <c r="H22" s="592"/>
      <c r="I22" s="595"/>
    </row>
    <row r="23" spans="1:9" ht="11.25" customHeight="1" x14ac:dyDescent="0.25">
      <c r="A23" s="54" t="s">
        <v>763</v>
      </c>
      <c r="B23" s="55">
        <v>2</v>
      </c>
      <c r="C23" s="65"/>
      <c r="D23" s="65"/>
      <c r="E23" s="64"/>
      <c r="F23" s="67"/>
      <c r="G23" s="65"/>
      <c r="H23" s="65"/>
      <c r="I23" s="66"/>
    </row>
    <row r="24" spans="1:9" ht="11.25" customHeight="1" x14ac:dyDescent="0.25">
      <c r="A24" s="63" t="str">
        <f>A5</f>
        <v>Vote 1 - COUNCIL</v>
      </c>
      <c r="B24" s="55"/>
      <c r="C24" s="920"/>
      <c r="D24" s="920"/>
      <c r="E24" s="921"/>
      <c r="F24" s="1323"/>
      <c r="G24" s="920"/>
      <c r="H24" s="920"/>
      <c r="I24" s="1322"/>
    </row>
    <row r="25" spans="1:9" ht="11.25" customHeight="1" x14ac:dyDescent="0.25">
      <c r="A25" s="63" t="str">
        <f t="shared" ref="A25:A38" si="1">A6</f>
        <v>Vote 2 - OFFICE OF THE MUNICIPAL MANAGER</v>
      </c>
      <c r="B25" s="55"/>
      <c r="C25" s="920"/>
      <c r="D25" s="920"/>
      <c r="E25" s="921"/>
      <c r="F25" s="1323"/>
      <c r="G25" s="920"/>
      <c r="H25" s="920"/>
      <c r="I25" s="1322"/>
    </row>
    <row r="26" spans="1:9" ht="11.25" customHeight="1" x14ac:dyDescent="0.25">
      <c r="A26" s="63" t="str">
        <f t="shared" si="1"/>
        <v>Vote 3 - FINANCIAL SERVICES</v>
      </c>
      <c r="B26" s="55"/>
      <c r="C26" s="920"/>
      <c r="D26" s="920"/>
      <c r="E26" s="921"/>
      <c r="F26" s="1323"/>
      <c r="G26" s="920"/>
      <c r="H26" s="920"/>
      <c r="I26" s="1322"/>
    </row>
    <row r="27" spans="1:9" ht="11.25" customHeight="1" x14ac:dyDescent="0.25">
      <c r="A27" s="63" t="str">
        <f t="shared" si="1"/>
        <v>Vote 4 - CORPORATE SERVICES</v>
      </c>
      <c r="B27" s="55"/>
      <c r="C27" s="920"/>
      <c r="D27" s="920"/>
      <c r="E27" s="921"/>
      <c r="F27" s="1323"/>
      <c r="G27" s="920"/>
      <c r="H27" s="920"/>
      <c r="I27" s="1322"/>
    </row>
    <row r="28" spans="1:9" ht="11.25" customHeight="1" x14ac:dyDescent="0.25">
      <c r="A28" s="63" t="str">
        <f t="shared" si="1"/>
        <v>Vote 5 - INFRASTRUCTURE SERVICES</v>
      </c>
      <c r="B28" s="55"/>
      <c r="C28" s="920"/>
      <c r="D28" s="920"/>
      <c r="E28" s="921"/>
      <c r="F28" s="1323"/>
      <c r="G28" s="920"/>
      <c r="H28" s="920"/>
      <c r="I28" s="1322"/>
    </row>
    <row r="29" spans="1:9" ht="11.25" customHeight="1" x14ac:dyDescent="0.25">
      <c r="A29" s="63" t="str">
        <f t="shared" si="1"/>
        <v>Vote 6 - COMMUNITY SERVICES</v>
      </c>
      <c r="B29" s="55"/>
      <c r="C29" s="920"/>
      <c r="D29" s="920"/>
      <c r="E29" s="921"/>
      <c r="F29" s="1323"/>
      <c r="G29" s="920"/>
      <c r="H29" s="920"/>
      <c r="I29" s="1322"/>
    </row>
    <row r="30" spans="1:9" ht="11.25" customHeight="1" x14ac:dyDescent="0.25">
      <c r="A30" s="63" t="str">
        <f t="shared" si="1"/>
        <v>Vote 7 - [NAME OF VOTE 7]</v>
      </c>
      <c r="B30" s="55"/>
      <c r="C30" s="920"/>
      <c r="D30" s="920"/>
      <c r="E30" s="921"/>
      <c r="F30" s="1323"/>
      <c r="G30" s="920"/>
      <c r="H30" s="920"/>
      <c r="I30" s="1322"/>
    </row>
    <row r="31" spans="1:9" ht="11.25" customHeight="1" x14ac:dyDescent="0.25">
      <c r="A31" s="63" t="str">
        <f t="shared" si="1"/>
        <v>Vote 8 - [NAME OF VOTE 8]</v>
      </c>
      <c r="B31" s="55"/>
      <c r="C31" s="920"/>
      <c r="D31" s="920"/>
      <c r="E31" s="921"/>
      <c r="F31" s="1323"/>
      <c r="G31" s="920"/>
      <c r="H31" s="920"/>
      <c r="I31" s="1322"/>
    </row>
    <row r="32" spans="1:9" ht="11.25" customHeight="1" x14ac:dyDescent="0.25">
      <c r="A32" s="63" t="str">
        <f t="shared" si="1"/>
        <v>Vote 9 - [NAME OF VOTE 9]</v>
      </c>
      <c r="B32" s="55"/>
      <c r="C32" s="920"/>
      <c r="D32" s="920"/>
      <c r="E32" s="921"/>
      <c r="F32" s="1323"/>
      <c r="G32" s="920"/>
      <c r="H32" s="920"/>
      <c r="I32" s="1322"/>
    </row>
    <row r="33" spans="1:9" ht="11.25" customHeight="1" x14ac:dyDescent="0.25">
      <c r="A33" s="63" t="str">
        <f t="shared" si="1"/>
        <v>Vote 10 - [NAME OF VOTE 10]</v>
      </c>
      <c r="B33" s="55"/>
      <c r="C33" s="920"/>
      <c r="D33" s="920"/>
      <c r="E33" s="921"/>
      <c r="F33" s="1323"/>
      <c r="G33" s="920"/>
      <c r="H33" s="920"/>
      <c r="I33" s="1322"/>
    </row>
    <row r="34" spans="1:9" ht="11.25" customHeight="1" x14ac:dyDescent="0.25">
      <c r="A34" s="63" t="str">
        <f t="shared" si="1"/>
        <v>Vote 11 - [NAME OF VOTE 11]</v>
      </c>
      <c r="B34" s="55"/>
      <c r="C34" s="920"/>
      <c r="D34" s="920"/>
      <c r="E34" s="921"/>
      <c r="F34" s="1323"/>
      <c r="G34" s="920"/>
      <c r="H34" s="920"/>
      <c r="I34" s="1322"/>
    </row>
    <row r="35" spans="1:9" ht="11.25" customHeight="1" x14ac:dyDescent="0.25">
      <c r="A35" s="63" t="str">
        <f t="shared" si="1"/>
        <v>Vote 12 - [NAME OF VOTE 12]</v>
      </c>
      <c r="B35" s="55"/>
      <c r="C35" s="920"/>
      <c r="D35" s="920"/>
      <c r="E35" s="921"/>
      <c r="F35" s="1323"/>
      <c r="G35" s="920"/>
      <c r="H35" s="920"/>
      <c r="I35" s="1322"/>
    </row>
    <row r="36" spans="1:9" ht="11.25" customHeight="1" x14ac:dyDescent="0.25">
      <c r="A36" s="63" t="str">
        <f t="shared" si="1"/>
        <v>Vote 13 - [NAME OF VOTE 13]</v>
      </c>
      <c r="B36" s="55"/>
      <c r="C36" s="920"/>
      <c r="D36" s="920"/>
      <c r="E36" s="921"/>
      <c r="F36" s="1323"/>
      <c r="G36" s="920"/>
      <c r="H36" s="920"/>
      <c r="I36" s="1322"/>
    </row>
    <row r="37" spans="1:9" ht="11.25" customHeight="1" x14ac:dyDescent="0.25">
      <c r="A37" s="63" t="str">
        <f t="shared" si="1"/>
        <v>Vote 14 - [NAME OF VOTE 14]</v>
      </c>
      <c r="B37" s="55"/>
      <c r="C37" s="920"/>
      <c r="D37" s="920"/>
      <c r="E37" s="921"/>
      <c r="F37" s="1323"/>
      <c r="G37" s="920"/>
      <c r="H37" s="920"/>
      <c r="I37" s="1322"/>
    </row>
    <row r="38" spans="1:9" ht="11.25" customHeight="1" x14ac:dyDescent="0.25">
      <c r="A38" s="63" t="str">
        <f t="shared" si="1"/>
        <v>Vote 15 - [NAME OF VOTE 15]</v>
      </c>
      <c r="B38" s="55"/>
      <c r="C38" s="920"/>
      <c r="D38" s="920"/>
      <c r="E38" s="921"/>
      <c r="F38" s="1323"/>
      <c r="G38" s="920"/>
      <c r="H38" s="920"/>
      <c r="I38" s="1322"/>
    </row>
    <row r="39" spans="1:9" ht="11.25" customHeight="1" x14ac:dyDescent="0.25">
      <c r="A39" s="1368" t="s">
        <v>1321</v>
      </c>
      <c r="B39" s="55"/>
      <c r="C39" s="920"/>
      <c r="D39" s="920"/>
      <c r="E39" s="921"/>
      <c r="F39" s="1323"/>
      <c r="G39" s="920"/>
      <c r="H39" s="920"/>
      <c r="I39" s="1322"/>
    </row>
    <row r="40" spans="1:9" x14ac:dyDescent="0.25">
      <c r="A40" s="118" t="s">
        <v>14</v>
      </c>
      <c r="B40" s="55"/>
      <c r="C40" s="846">
        <f>SUM(C24:C39)</f>
        <v>0</v>
      </c>
      <c r="D40" s="846">
        <f t="shared" ref="D40:I40" si="2">SUM(D24:D39)</f>
        <v>0</v>
      </c>
      <c r="E40" s="847">
        <f t="shared" si="2"/>
        <v>0</v>
      </c>
      <c r="F40" s="848">
        <f t="shared" si="2"/>
        <v>0</v>
      </c>
      <c r="G40" s="846">
        <f t="shared" si="2"/>
        <v>0</v>
      </c>
      <c r="H40" s="846">
        <f t="shared" si="2"/>
        <v>0</v>
      </c>
      <c r="I40" s="849">
        <f t="shared" si="2"/>
        <v>0</v>
      </c>
    </row>
    <row r="41" spans="1:9" ht="4.5" customHeight="1" x14ac:dyDescent="0.25">
      <c r="A41" s="74"/>
      <c r="B41" s="55"/>
      <c r="C41" s="65"/>
      <c r="D41" s="65"/>
      <c r="E41" s="64"/>
      <c r="F41" s="67"/>
      <c r="G41" s="65"/>
      <c r="H41" s="65"/>
      <c r="I41" s="66"/>
    </row>
    <row r="42" spans="1:9" ht="11.25" customHeight="1" x14ac:dyDescent="0.25">
      <c r="A42" s="54" t="s">
        <v>764</v>
      </c>
      <c r="B42" s="55">
        <v>3</v>
      </c>
      <c r="C42" s="65"/>
      <c r="D42" s="65"/>
      <c r="E42" s="64"/>
      <c r="F42" s="67"/>
      <c r="G42" s="65"/>
      <c r="H42" s="65"/>
      <c r="I42" s="66"/>
    </row>
    <row r="43" spans="1:9" ht="11.25" customHeight="1" x14ac:dyDescent="0.25">
      <c r="A43" s="63" t="str">
        <f>'A4-FinPerf RE'!A5</f>
        <v>Property rates</v>
      </c>
      <c r="B43" s="55"/>
      <c r="C43" s="920"/>
      <c r="D43" s="920"/>
      <c r="E43" s="921"/>
      <c r="F43" s="1323"/>
      <c r="G43" s="920"/>
      <c r="H43" s="920"/>
      <c r="I43" s="1322"/>
    </row>
    <row r="44" spans="1:9" ht="11.25" customHeight="1" x14ac:dyDescent="0.25">
      <c r="A44" s="63" t="str">
        <f>'A4-FinPerf RE'!A6</f>
        <v>Service charges - electricity revenue</v>
      </c>
      <c r="B44" s="55"/>
      <c r="C44" s="920"/>
      <c r="D44" s="920"/>
      <c r="E44" s="921"/>
      <c r="F44" s="1323"/>
      <c r="G44" s="920"/>
      <c r="H44" s="920"/>
      <c r="I44" s="1322"/>
    </row>
    <row r="45" spans="1:9" ht="11.25" customHeight="1" x14ac:dyDescent="0.25">
      <c r="A45" s="63" t="str">
        <f>'A4-FinPerf RE'!A7</f>
        <v>Service charges - water revenue</v>
      </c>
      <c r="B45" s="55"/>
      <c r="C45" s="920"/>
      <c r="D45" s="920"/>
      <c r="E45" s="921"/>
      <c r="F45" s="1323"/>
      <c r="G45" s="920"/>
      <c r="H45" s="920"/>
      <c r="I45" s="1322"/>
    </row>
    <row r="46" spans="1:9" ht="11.25" customHeight="1" x14ac:dyDescent="0.25">
      <c r="A46" s="63" t="str">
        <f>'A4-FinPerf RE'!A8</f>
        <v>Service charges - sanitation revenue</v>
      </c>
      <c r="B46" s="55"/>
      <c r="C46" s="920"/>
      <c r="D46" s="920"/>
      <c r="E46" s="921"/>
      <c r="F46" s="1323"/>
      <c r="G46" s="920"/>
      <c r="H46" s="920"/>
      <c r="I46" s="1322"/>
    </row>
    <row r="47" spans="1:9" ht="11.25" customHeight="1" x14ac:dyDescent="0.25">
      <c r="A47" s="63" t="str">
        <f>'A4-FinPerf RE'!A9</f>
        <v>Service charges - refuse revenue</v>
      </c>
      <c r="B47" s="55"/>
      <c r="C47" s="920"/>
      <c r="D47" s="920"/>
      <c r="E47" s="921"/>
      <c r="F47" s="1323"/>
      <c r="G47" s="920"/>
      <c r="H47" s="920"/>
      <c r="I47" s="1322"/>
    </row>
    <row r="48" spans="1:9" ht="1.9" customHeight="1" x14ac:dyDescent="0.25">
      <c r="A48" s="63"/>
      <c r="B48" s="55"/>
      <c r="C48" s="65"/>
      <c r="D48" s="65"/>
      <c r="E48" s="64"/>
      <c r="F48" s="67"/>
      <c r="G48" s="65"/>
      <c r="H48" s="65"/>
      <c r="I48" s="66"/>
    </row>
    <row r="49" spans="1:9" ht="11.25" customHeight="1" x14ac:dyDescent="0.25">
      <c r="A49" s="63" t="str">
        <f>'A4-FinPerf RE'!A11</f>
        <v>Rental of facilities and equipment</v>
      </c>
      <c r="B49" s="55"/>
      <c r="C49" s="920"/>
      <c r="D49" s="920"/>
      <c r="E49" s="921"/>
      <c r="F49" s="1323"/>
      <c r="G49" s="920"/>
      <c r="H49" s="920"/>
      <c r="I49" s="1322"/>
    </row>
    <row r="50" spans="1:9" ht="11.25" customHeight="1" x14ac:dyDescent="0.25">
      <c r="A50" s="1368" t="s">
        <v>252</v>
      </c>
      <c r="B50" s="55"/>
      <c r="C50" s="920"/>
      <c r="D50" s="920"/>
      <c r="E50" s="921"/>
      <c r="F50" s="1323"/>
      <c r="G50" s="920"/>
      <c r="H50" s="920"/>
      <c r="I50" s="1322"/>
    </row>
    <row r="51" spans="1:9" ht="11.25" customHeight="1" x14ac:dyDescent="0.25">
      <c r="A51" s="1368" t="s">
        <v>1321</v>
      </c>
      <c r="B51" s="55"/>
      <c r="C51" s="920"/>
      <c r="D51" s="920"/>
      <c r="E51" s="921"/>
      <c r="F51" s="1323"/>
      <c r="G51" s="920"/>
      <c r="H51" s="920"/>
      <c r="I51" s="1322"/>
    </row>
    <row r="52" spans="1:9" x14ac:dyDescent="0.25">
      <c r="A52" s="118" t="s">
        <v>105</v>
      </c>
      <c r="B52" s="55"/>
      <c r="C52" s="846">
        <f>SUM(C43:C47)+SUM(C49:C51)</f>
        <v>0</v>
      </c>
      <c r="D52" s="846">
        <f t="shared" ref="D52:I52" si="3">SUM(D43:D47)+SUM(D49:D51)</f>
        <v>0</v>
      </c>
      <c r="E52" s="847">
        <f t="shared" si="3"/>
        <v>0</v>
      </c>
      <c r="F52" s="848">
        <f t="shared" si="3"/>
        <v>0</v>
      </c>
      <c r="G52" s="846">
        <f t="shared" si="3"/>
        <v>0</v>
      </c>
      <c r="H52" s="846">
        <f t="shared" si="3"/>
        <v>0</v>
      </c>
      <c r="I52" s="849">
        <f t="shared" si="3"/>
        <v>0</v>
      </c>
    </row>
    <row r="53" spans="1:9" x14ac:dyDescent="0.25">
      <c r="A53" s="92" t="s">
        <v>765</v>
      </c>
      <c r="B53" s="93"/>
      <c r="C53" s="95">
        <f t="shared" ref="C53:I53" si="4">C21+C40-C52</f>
        <v>32447438.100000001</v>
      </c>
      <c r="D53" s="95">
        <f t="shared" si="4"/>
        <v>49972500</v>
      </c>
      <c r="E53" s="94">
        <f t="shared" si="4"/>
        <v>0</v>
      </c>
      <c r="F53" s="97">
        <f t="shared" si="4"/>
        <v>0</v>
      </c>
      <c r="G53" s="95">
        <f t="shared" si="4"/>
        <v>0</v>
      </c>
      <c r="H53" s="95">
        <f t="shared" si="4"/>
        <v>0</v>
      </c>
      <c r="I53" s="96">
        <f t="shared" si="4"/>
        <v>0</v>
      </c>
    </row>
    <row r="54" spans="1:9" s="464" customFormat="1" ht="11.25" customHeight="1" x14ac:dyDescent="0.25">
      <c r="A54" s="101" t="str">
        <f>head27a</f>
        <v>References</v>
      </c>
      <c r="B54" s="646"/>
      <c r="C54" s="646"/>
      <c r="D54" s="646"/>
      <c r="E54" s="646"/>
      <c r="F54" s="646"/>
      <c r="G54" s="646"/>
      <c r="H54" s="646"/>
      <c r="I54" s="646"/>
    </row>
    <row r="55" spans="1:9" s="464" customFormat="1" ht="11.25" customHeight="1" x14ac:dyDescent="0.25">
      <c r="A55" s="132" t="s">
        <v>19</v>
      </c>
      <c r="B55" s="646"/>
      <c r="C55" s="646"/>
      <c r="D55" s="646"/>
      <c r="E55" s="646"/>
      <c r="F55" s="646"/>
      <c r="G55" s="646"/>
      <c r="H55" s="646"/>
      <c r="I55" s="646"/>
    </row>
    <row r="56" spans="1:9" s="464" customFormat="1" ht="11.25" customHeight="1" x14ac:dyDescent="0.25">
      <c r="A56" s="132" t="s">
        <v>20</v>
      </c>
      <c r="B56" s="646"/>
      <c r="C56" s="646"/>
      <c r="D56" s="646"/>
      <c r="E56" s="646"/>
      <c r="F56" s="646"/>
      <c r="G56" s="646"/>
      <c r="H56" s="646"/>
      <c r="I56" s="646"/>
    </row>
    <row r="57" spans="1:9" s="464" customFormat="1" ht="11.25" customHeight="1" x14ac:dyDescent="0.25">
      <c r="A57" s="827" t="s">
        <v>1320</v>
      </c>
      <c r="B57" s="672"/>
      <c r="C57" s="672"/>
      <c r="D57" s="672"/>
      <c r="E57" s="672"/>
      <c r="F57" s="672"/>
      <c r="G57" s="672"/>
      <c r="H57" s="672"/>
      <c r="I57" s="672"/>
    </row>
    <row r="58" spans="1:9" ht="11.25" customHeight="1" x14ac:dyDescent="0.25">
      <c r="B58" s="25"/>
    </row>
    <row r="59" spans="1:9" x14ac:dyDescent="0.25">
      <c r="A59" s="108" t="s">
        <v>1354</v>
      </c>
      <c r="B59" s="25"/>
      <c r="C59" s="64">
        <f>C21-('A5-Capex'!J21+'A5-Capex'!J39)</f>
        <v>0</v>
      </c>
      <c r="D59" s="64">
        <f>D21-('A5-Capex'!K21+'A5-Capex'!K39)</f>
        <v>0</v>
      </c>
      <c r="E59" s="64">
        <f>E21-('A5-Capex'!L21+'A5-Capex'!L39)</f>
        <v>0</v>
      </c>
    </row>
    <row r="60" spans="1:9" ht="11.25" customHeight="1" x14ac:dyDescent="0.25">
      <c r="B60" s="25"/>
    </row>
    <row r="61" spans="1:9" ht="11.25" customHeight="1" x14ac:dyDescent="0.25">
      <c r="B61" s="25"/>
    </row>
    <row r="62" spans="1:9" ht="11.25" customHeight="1" x14ac:dyDescent="0.25">
      <c r="B62" s="25"/>
    </row>
    <row r="63" spans="1:9" ht="11.25" customHeight="1" x14ac:dyDescent="0.25">
      <c r="B63" s="25"/>
    </row>
    <row r="64" spans="1:9"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x14ac:dyDescent="0.25">
      <c r="B77" s="25"/>
    </row>
    <row r="78" spans="2:2" ht="11.25" customHeight="1" x14ac:dyDescent="0.25">
      <c r="B78" s="25"/>
    </row>
    <row r="79" spans="2:2" ht="11.25" customHeight="1" x14ac:dyDescent="0.25">
      <c r="B79" s="25"/>
    </row>
    <row r="80" spans="2:2" ht="11.25" customHeight="1" x14ac:dyDescent="0.25">
      <c r="B80" s="25"/>
    </row>
    <row r="81" spans="2:9" ht="11.25" customHeight="1" x14ac:dyDescent="0.25">
      <c r="B81" s="25"/>
    </row>
    <row r="82" spans="2:9" ht="11.25" customHeight="1" x14ac:dyDescent="0.25">
      <c r="B82" s="25"/>
    </row>
    <row r="83" spans="2:9" ht="11.25" customHeight="1" x14ac:dyDescent="0.25">
      <c r="B83" s="25"/>
    </row>
    <row r="84" spans="2:9" ht="6" customHeight="1" x14ac:dyDescent="0.25">
      <c r="B84" s="25"/>
    </row>
    <row r="85" spans="2:9" ht="11.25" customHeight="1" x14ac:dyDescent="0.25">
      <c r="B85" s="25"/>
    </row>
    <row r="86" spans="2:9" ht="11.25" customHeight="1" x14ac:dyDescent="0.25">
      <c r="B86" s="25"/>
    </row>
    <row r="87" spans="2:9" ht="11.25" customHeight="1" x14ac:dyDescent="0.25">
      <c r="B87" s="25"/>
    </row>
    <row r="88" spans="2:9" ht="11.25" customHeight="1" x14ac:dyDescent="0.25">
      <c r="B88" s="25"/>
    </row>
    <row r="89" spans="2:9" ht="11.25" customHeight="1" x14ac:dyDescent="0.25">
      <c r="B89" s="25"/>
    </row>
    <row r="90" spans="2:9" ht="11.25" customHeight="1" x14ac:dyDescent="0.25">
      <c r="B90" s="25"/>
    </row>
    <row r="91" spans="2:9" ht="11.25" customHeight="1" x14ac:dyDescent="0.25">
      <c r="B91" s="25"/>
    </row>
    <row r="92" spans="2:9" ht="11.25" customHeight="1" x14ac:dyDescent="0.25">
      <c r="B92" s="25"/>
    </row>
    <row r="93" spans="2:9" ht="11.25" customHeight="1" x14ac:dyDescent="0.25">
      <c r="B93" s="25"/>
    </row>
    <row r="94" spans="2:9" ht="11.25" customHeight="1" x14ac:dyDescent="0.25">
      <c r="B94" s="25"/>
    </row>
    <row r="95" spans="2:9" ht="11.25" customHeight="1" x14ac:dyDescent="0.25">
      <c r="B95" s="25"/>
      <c r="I95" s="169"/>
    </row>
    <row r="96" spans="2:9" ht="11.25" customHeight="1" x14ac:dyDescent="0.25">
      <c r="B96" s="25"/>
    </row>
    <row r="97" spans="2:2" ht="11.25" customHeight="1" x14ac:dyDescent="0.25">
      <c r="B97" s="25"/>
    </row>
    <row r="98" spans="2:2" ht="11.25" customHeight="1" x14ac:dyDescent="0.25">
      <c r="B98" s="25"/>
    </row>
    <row r="99" spans="2:2" x14ac:dyDescent="0.25">
      <c r="B99" s="25"/>
    </row>
    <row r="100" spans="2:2" x14ac:dyDescent="0.25">
      <c r="B100" s="25"/>
    </row>
    <row r="101" spans="2:2" ht="11.25" customHeight="1" x14ac:dyDescent="0.25">
      <c r="B101" s="25"/>
    </row>
    <row r="102" spans="2:2" x14ac:dyDescent="0.25">
      <c r="B102" s="25"/>
    </row>
    <row r="103" spans="2:2" x14ac:dyDescent="0.25">
      <c r="B103" s="25"/>
    </row>
    <row r="104" spans="2:2" x14ac:dyDescent="0.25">
      <c r="B104" s="25"/>
    </row>
    <row r="105" spans="2:2" x14ac:dyDescent="0.25">
      <c r="B105" s="25"/>
    </row>
    <row r="106" spans="2:2" ht="11.25" customHeight="1" x14ac:dyDescent="0.25">
      <c r="B106" s="25"/>
    </row>
    <row r="107" spans="2:2" ht="11.25" customHeight="1" x14ac:dyDescent="0.25">
      <c r="B107" s="25"/>
    </row>
    <row r="108" spans="2:2" ht="11.25" customHeight="1" x14ac:dyDescent="0.25">
      <c r="B108" s="25"/>
    </row>
    <row r="109" spans="2:2" ht="11.25" customHeight="1" x14ac:dyDescent="0.25">
      <c r="B109" s="25"/>
    </row>
    <row r="110" spans="2:2" ht="11.25" customHeight="1" x14ac:dyDescent="0.25">
      <c r="B110" s="25"/>
    </row>
    <row r="111" spans="2:2" ht="11.25" customHeight="1" x14ac:dyDescent="0.25">
      <c r="B111" s="25"/>
    </row>
    <row r="112" spans="2:2" ht="11.25" customHeight="1" x14ac:dyDescent="0.25">
      <c r="B112" s="25"/>
    </row>
    <row r="113" spans="2:2" ht="11.25" customHeight="1" x14ac:dyDescent="0.25">
      <c r="B113" s="25"/>
    </row>
    <row r="114" spans="2:2" ht="11.25" customHeight="1" x14ac:dyDescent="0.25">
      <c r="B114" s="25"/>
    </row>
    <row r="115" spans="2:2" ht="11.25" customHeight="1" x14ac:dyDescent="0.25">
      <c r="B115" s="25"/>
    </row>
    <row r="116" spans="2:2" ht="11.25" customHeight="1" x14ac:dyDescent="0.25">
      <c r="B116" s="25"/>
    </row>
    <row r="117" spans="2:2" ht="11.25" customHeight="1" x14ac:dyDescent="0.25">
      <c r="B117" s="25"/>
    </row>
    <row r="118" spans="2:2" ht="11.25" customHeight="1" x14ac:dyDescent="0.25">
      <c r="B118" s="25"/>
    </row>
    <row r="119" spans="2:2" ht="11.25" customHeight="1" x14ac:dyDescent="0.25">
      <c r="B119" s="25"/>
    </row>
    <row r="120" spans="2:2" ht="11.25" customHeight="1" x14ac:dyDescent="0.25">
      <c r="B120" s="25"/>
    </row>
    <row r="121" spans="2:2" ht="11.25" customHeight="1" x14ac:dyDescent="0.25">
      <c r="B121" s="25"/>
    </row>
    <row r="122" spans="2:2" ht="11.25" customHeight="1" x14ac:dyDescent="0.25">
      <c r="B122" s="25"/>
    </row>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mergeCells count="2">
    <mergeCell ref="F2:I2"/>
    <mergeCell ref="C2:E2"/>
  </mergeCells>
  <phoneticPr fontId="3" type="noConversion"/>
  <printOptions horizontalCentered="1"/>
  <pageMargins left="0" right="0" top="0.78740157480314965" bottom="0.59055118110236227" header="0.51181102362204722" footer="0.39370078740157483"/>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7">
    <pageSetUpPr fitToPage="1"/>
  </sheetPr>
  <dimension ref="A1:Q109"/>
  <sheetViews>
    <sheetView showGridLines="0" zoomScaleNormal="100" workbookViewId="0">
      <pane xSplit="2" ySplit="3" topLeftCell="C4" activePane="bottomRight" state="frozen"/>
      <selection pane="topRight"/>
      <selection pane="bottomLeft"/>
      <selection pane="bottomRight" activeCell="F7" sqref="F7"/>
    </sheetView>
  </sheetViews>
  <sheetFormatPr defaultRowHeight="12.75" x14ac:dyDescent="0.25"/>
  <cols>
    <col min="1" max="2" width="23.42578125" style="25" customWidth="1"/>
    <col min="3" max="3" width="11.7109375" style="25" customWidth="1"/>
    <col min="4" max="4" width="8.28515625" style="25" customWidth="1"/>
    <col min="5" max="5" width="24.7109375" style="25" customWidth="1"/>
    <col min="6" max="7" width="20.42578125" style="25" customWidth="1"/>
    <col min="8" max="11" width="23.42578125" style="25" customWidth="1"/>
    <col min="12" max="12" width="17.7109375" style="25" customWidth="1"/>
    <col min="13" max="17" width="9.28515625" style="25" customWidth="1"/>
    <col min="18" max="18" width="9.7109375" style="25" customWidth="1"/>
    <col min="19" max="19" width="9.42578125" style="25" customWidth="1"/>
    <col min="20" max="20" width="9.7109375" style="25" customWidth="1"/>
    <col min="21" max="23" width="9.42578125" style="25" customWidth="1"/>
    <col min="24" max="24" width="9.7109375" style="25" customWidth="1"/>
    <col min="25" max="27" width="9.42578125" style="25" customWidth="1"/>
    <col min="28" max="29" width="9.7109375" style="25" customWidth="1"/>
    <col min="30" max="16384" width="9.140625" style="25"/>
  </cols>
  <sheetData>
    <row r="1" spans="1:17" ht="13.5" customHeight="1" x14ac:dyDescent="0.25">
      <c r="A1" s="23" t="str">
        <f>muni&amp;" - "&amp;TableA36</f>
        <v>EC101 Dr Beyers Naude - Supporting Table SA36 Detailed capital budget</v>
      </c>
      <c r="B1" s="23"/>
      <c r="C1" s="23"/>
      <c r="D1" s="23"/>
      <c r="E1" s="23"/>
      <c r="F1" s="23"/>
      <c r="G1" s="23"/>
      <c r="H1" s="23"/>
      <c r="I1" s="23"/>
      <c r="J1" s="23"/>
      <c r="K1" s="23"/>
      <c r="L1" s="23"/>
      <c r="M1" s="23"/>
      <c r="N1" s="23"/>
      <c r="O1" s="23"/>
      <c r="P1" s="23"/>
      <c r="Q1" s="23"/>
    </row>
    <row r="2" spans="1:17" ht="22.15" customHeight="1" x14ac:dyDescent="0.25">
      <c r="A2" s="1849" t="s">
        <v>573</v>
      </c>
      <c r="B2" s="399"/>
      <c r="C2" s="399"/>
      <c r="D2" s="399"/>
      <c r="E2" s="1204"/>
      <c r="F2" s="1204"/>
      <c r="G2" s="1204"/>
      <c r="H2" s="1204"/>
      <c r="I2" s="1204"/>
      <c r="J2" s="1204"/>
      <c r="K2" s="1204"/>
      <c r="L2" s="1855"/>
      <c r="M2" s="1974"/>
      <c r="N2" s="1938"/>
      <c r="O2" s="1904" t="str">
        <f>Head3</f>
        <v>2019/20 Medium Term Revenue &amp; Expenditure Framework</v>
      </c>
      <c r="P2" s="1905"/>
      <c r="Q2" s="1906"/>
    </row>
    <row r="3" spans="1:17" s="1853" customFormat="1" ht="50.25" customHeight="1" x14ac:dyDescent="0.2">
      <c r="A3" s="1099" t="s">
        <v>2515</v>
      </c>
      <c r="B3" s="203" t="s">
        <v>2516</v>
      </c>
      <c r="C3" s="203" t="s">
        <v>2517</v>
      </c>
      <c r="D3" s="203" t="s">
        <v>2518</v>
      </c>
      <c r="E3" s="203" t="s">
        <v>2520</v>
      </c>
      <c r="F3" s="203" t="s">
        <v>2521</v>
      </c>
      <c r="G3" s="203" t="s">
        <v>2522</v>
      </c>
      <c r="H3" s="203" t="s">
        <v>1756</v>
      </c>
      <c r="I3" s="203" t="s">
        <v>2526</v>
      </c>
      <c r="J3" s="203" t="s">
        <v>2523</v>
      </c>
      <c r="K3" s="203" t="s">
        <v>2524</v>
      </c>
      <c r="L3" s="616" t="s">
        <v>2525</v>
      </c>
      <c r="M3" s="1298" t="str">
        <f>Head5&amp;"    "&amp;Head1</f>
        <v>Audited Outcome    2017/18</v>
      </c>
      <c r="N3" s="586" t="str">
        <f>Head2 &amp; "        "&amp;Head8</f>
        <v>Current Year 2018/19        Full Year Forecast</v>
      </c>
      <c r="O3" s="141" t="str">
        <f>Head9</f>
        <v>Budget Year 2019/20</v>
      </c>
      <c r="P3" s="203" t="str">
        <f>Head10</f>
        <v>Budget Year +1 2020/21</v>
      </c>
      <c r="Q3" s="204" t="str">
        <f>Head11</f>
        <v>Budget Year +2 2021/22</v>
      </c>
    </row>
    <row r="4" spans="1:17" x14ac:dyDescent="0.25">
      <c r="A4" s="596" t="s">
        <v>1322</v>
      </c>
      <c r="B4" s="57"/>
      <c r="C4" s="597"/>
      <c r="D4" s="597"/>
      <c r="E4" s="597"/>
      <c r="F4" s="597"/>
      <c r="G4" s="597"/>
      <c r="H4" s="598"/>
      <c r="I4" s="599"/>
      <c r="J4" s="599"/>
      <c r="K4" s="1850"/>
      <c r="L4" s="1126"/>
      <c r="M4" s="149"/>
      <c r="N4" s="150"/>
      <c r="O4" s="151"/>
      <c r="P4" s="149"/>
      <c r="Q4" s="152"/>
    </row>
    <row r="5" spans="1:17" s="464" customFormat="1" x14ac:dyDescent="0.25">
      <c r="A5" s="188" t="s">
        <v>2519</v>
      </c>
      <c r="B5" s="663"/>
      <c r="C5" s="673"/>
      <c r="D5" s="673"/>
      <c r="E5" s="673"/>
      <c r="F5" s="673"/>
      <c r="G5" s="673"/>
      <c r="H5" s="191"/>
      <c r="I5" s="107"/>
      <c r="J5" s="107"/>
      <c r="K5" s="1851"/>
      <c r="L5" s="1127"/>
      <c r="M5" s="674"/>
      <c r="N5" s="675"/>
      <c r="O5" s="676"/>
      <c r="P5" s="674"/>
      <c r="Q5" s="677"/>
    </row>
    <row r="6" spans="1:17" ht="4.9000000000000004" customHeight="1" x14ac:dyDescent="0.25">
      <c r="A6" s="525"/>
      <c r="B6" s="369"/>
      <c r="C6" s="600"/>
      <c r="D6" s="600"/>
      <c r="E6" s="600"/>
      <c r="F6" s="600"/>
      <c r="G6" s="600"/>
      <c r="H6" s="191"/>
      <c r="I6" s="107"/>
      <c r="J6" s="107"/>
      <c r="K6" s="1851"/>
      <c r="L6" s="1127"/>
      <c r="M6" s="76"/>
      <c r="N6" s="75"/>
      <c r="O6" s="78"/>
      <c r="P6" s="76"/>
      <c r="Q6" s="77"/>
    </row>
    <row r="7" spans="1:17" ht="12.75" customHeight="1" x14ac:dyDescent="0.25">
      <c r="A7" s="1677"/>
      <c r="B7" s="1556"/>
      <c r="C7" s="1644"/>
      <c r="D7" s="1644"/>
      <c r="E7" s="1678"/>
      <c r="F7" s="1678"/>
      <c r="G7" s="1556"/>
      <c r="H7" s="1678"/>
      <c r="I7" s="1679"/>
      <c r="J7" s="1556"/>
      <c r="K7" s="1666"/>
      <c r="L7" s="1680"/>
      <c r="M7" s="1316"/>
      <c r="N7" s="1327"/>
      <c r="O7" s="1326"/>
      <c r="P7" s="1316"/>
      <c r="Q7" s="1325"/>
    </row>
    <row r="8" spans="1:17" ht="12.75" customHeight="1" x14ac:dyDescent="0.25">
      <c r="A8" s="1369"/>
      <c r="B8" s="1666"/>
      <c r="C8" s="1643"/>
      <c r="D8" s="1644"/>
      <c r="E8" s="1678"/>
      <c r="F8" s="1678"/>
      <c r="G8" s="1556"/>
      <c r="H8" s="1678"/>
      <c r="I8" s="1679"/>
      <c r="J8" s="1556"/>
      <c r="K8" s="1666"/>
      <c r="L8" s="1680"/>
      <c r="M8" s="1316"/>
      <c r="N8" s="1327"/>
      <c r="O8" s="1326"/>
      <c r="P8" s="1316"/>
      <c r="Q8" s="1325"/>
    </row>
    <row r="9" spans="1:17" ht="12.75" customHeight="1" x14ac:dyDescent="0.25">
      <c r="A9" s="1369"/>
      <c r="B9" s="1666"/>
      <c r="C9" s="1643"/>
      <c r="D9" s="1644"/>
      <c r="E9" s="1678"/>
      <c r="F9" s="1678"/>
      <c r="G9" s="1556"/>
      <c r="H9" s="1678"/>
      <c r="I9" s="1679"/>
      <c r="J9" s="1556"/>
      <c r="K9" s="1666"/>
      <c r="L9" s="1680"/>
      <c r="M9" s="1316"/>
      <c r="N9" s="1327"/>
      <c r="O9" s="1326"/>
      <c r="P9" s="1316"/>
      <c r="Q9" s="1325"/>
    </row>
    <row r="10" spans="1:17" ht="12.75" customHeight="1" x14ac:dyDescent="0.25">
      <c r="A10" s="1665"/>
      <c r="B10" s="1666"/>
      <c r="C10" s="1643"/>
      <c r="D10" s="1644"/>
      <c r="E10" s="1678"/>
      <c r="F10" s="1678"/>
      <c r="G10" s="1556"/>
      <c r="H10" s="1678"/>
      <c r="I10" s="1679"/>
      <c r="J10" s="1556"/>
      <c r="K10" s="1666"/>
      <c r="L10" s="1680"/>
      <c r="M10" s="1316"/>
      <c r="N10" s="1327"/>
      <c r="O10" s="1326"/>
      <c r="P10" s="1316"/>
      <c r="Q10" s="1325"/>
    </row>
    <row r="11" spans="1:17" ht="12.75" customHeight="1" x14ac:dyDescent="0.25">
      <c r="A11" s="1681"/>
      <c r="B11" s="1666"/>
      <c r="C11" s="1643"/>
      <c r="D11" s="1644"/>
      <c r="E11" s="1678"/>
      <c r="F11" s="1678"/>
      <c r="G11" s="1556"/>
      <c r="H11" s="1678"/>
      <c r="I11" s="1679"/>
      <c r="J11" s="1556"/>
      <c r="K11" s="1666"/>
      <c r="L11" s="1680"/>
      <c r="M11" s="1316"/>
      <c r="N11" s="1327"/>
      <c r="O11" s="1326"/>
      <c r="P11" s="1316"/>
      <c r="Q11" s="1325"/>
    </row>
    <row r="12" spans="1:17" ht="12.75" customHeight="1" x14ac:dyDescent="0.25">
      <c r="A12" s="1369"/>
      <c r="B12" s="1666"/>
      <c r="C12" s="1643"/>
      <c r="D12" s="1644"/>
      <c r="E12" s="1678"/>
      <c r="F12" s="1678"/>
      <c r="G12" s="1556"/>
      <c r="H12" s="1678"/>
      <c r="I12" s="1679"/>
      <c r="J12" s="1556"/>
      <c r="K12" s="1666"/>
      <c r="L12" s="1680"/>
      <c r="M12" s="1316"/>
      <c r="N12" s="1327"/>
      <c r="O12" s="1326"/>
      <c r="P12" s="1316"/>
      <c r="Q12" s="1325"/>
    </row>
    <row r="13" spans="1:17" ht="12.75" customHeight="1" x14ac:dyDescent="0.25">
      <c r="A13" s="1369"/>
      <c r="B13" s="1666"/>
      <c r="C13" s="1643"/>
      <c r="D13" s="1644"/>
      <c r="E13" s="1678"/>
      <c r="F13" s="1678"/>
      <c r="G13" s="1556"/>
      <c r="H13" s="1678"/>
      <c r="I13" s="1679"/>
      <c r="J13" s="1556"/>
      <c r="K13" s="1666"/>
      <c r="L13" s="1680"/>
      <c r="M13" s="1316"/>
      <c r="N13" s="1327"/>
      <c r="O13" s="1326"/>
      <c r="P13" s="1316"/>
      <c r="Q13" s="1325"/>
    </row>
    <row r="14" spans="1:17" ht="12.75" customHeight="1" x14ac:dyDescent="0.25">
      <c r="A14" s="1369"/>
      <c r="B14" s="1666"/>
      <c r="C14" s="1643"/>
      <c r="D14" s="1644"/>
      <c r="E14" s="1678"/>
      <c r="F14" s="1678"/>
      <c r="G14" s="1556"/>
      <c r="H14" s="1678"/>
      <c r="I14" s="1679"/>
      <c r="J14" s="1556"/>
      <c r="K14" s="1666"/>
      <c r="L14" s="1680"/>
      <c r="M14" s="1316"/>
      <c r="N14" s="1327"/>
      <c r="O14" s="1326"/>
      <c r="P14" s="1316"/>
      <c r="Q14" s="1325"/>
    </row>
    <row r="15" spans="1:17" ht="12.75" customHeight="1" x14ac:dyDescent="0.25">
      <c r="A15" s="1665"/>
      <c r="B15" s="1666"/>
      <c r="C15" s="1643"/>
      <c r="D15" s="1644"/>
      <c r="E15" s="1678"/>
      <c r="F15" s="1678"/>
      <c r="G15" s="1556"/>
      <c r="H15" s="1678"/>
      <c r="I15" s="1679"/>
      <c r="J15" s="1556"/>
      <c r="K15" s="1666"/>
      <c r="L15" s="1680"/>
      <c r="M15" s="1316"/>
      <c r="N15" s="1327"/>
      <c r="O15" s="1326"/>
      <c r="P15" s="1316"/>
      <c r="Q15" s="1325"/>
    </row>
    <row r="16" spans="1:17" ht="12.75" customHeight="1" x14ac:dyDescent="0.25">
      <c r="A16" s="1681"/>
      <c r="B16" s="1666"/>
      <c r="C16" s="1643"/>
      <c r="D16" s="1644"/>
      <c r="E16" s="1678"/>
      <c r="F16" s="1678"/>
      <c r="G16" s="1556"/>
      <c r="H16" s="1678"/>
      <c r="I16" s="1679"/>
      <c r="J16" s="1556"/>
      <c r="K16" s="1666"/>
      <c r="L16" s="1680"/>
      <c r="M16" s="1316"/>
      <c r="N16" s="1327"/>
      <c r="O16" s="1326"/>
      <c r="P16" s="1316"/>
      <c r="Q16" s="1325"/>
    </row>
    <row r="17" spans="1:17" ht="12.75" customHeight="1" x14ac:dyDescent="0.25">
      <c r="A17" s="1369"/>
      <c r="B17" s="1666"/>
      <c r="C17" s="1643"/>
      <c r="D17" s="1644"/>
      <c r="E17" s="1678"/>
      <c r="F17" s="1678"/>
      <c r="G17" s="1556"/>
      <c r="H17" s="1678"/>
      <c r="I17" s="1679"/>
      <c r="J17" s="1556"/>
      <c r="K17" s="1666"/>
      <c r="L17" s="1680"/>
      <c r="M17" s="1316"/>
      <c r="N17" s="1327"/>
      <c r="O17" s="1326"/>
      <c r="P17" s="1316"/>
      <c r="Q17" s="1325"/>
    </row>
    <row r="18" spans="1:17" ht="12.75" customHeight="1" x14ac:dyDescent="0.25">
      <c r="A18" s="1665"/>
      <c r="B18" s="1666"/>
      <c r="C18" s="1643"/>
      <c r="D18" s="1644"/>
      <c r="E18" s="1678"/>
      <c r="F18" s="1678"/>
      <c r="G18" s="1556"/>
      <c r="H18" s="1678"/>
      <c r="I18" s="1679"/>
      <c r="J18" s="1556"/>
      <c r="K18" s="1666"/>
      <c r="L18" s="1680"/>
      <c r="M18" s="1316"/>
      <c r="N18" s="1327"/>
      <c r="O18" s="1326"/>
      <c r="P18" s="1316"/>
      <c r="Q18" s="1325"/>
    </row>
    <row r="19" spans="1:17" ht="12.75" customHeight="1" x14ac:dyDescent="0.25">
      <c r="A19" s="1681"/>
      <c r="B19" s="1666"/>
      <c r="C19" s="1643"/>
      <c r="D19" s="1644"/>
      <c r="E19" s="1678"/>
      <c r="F19" s="1678"/>
      <c r="G19" s="1556"/>
      <c r="H19" s="1678"/>
      <c r="I19" s="1679"/>
      <c r="J19" s="1556"/>
      <c r="K19" s="1666"/>
      <c r="L19" s="1680"/>
      <c r="M19" s="1316"/>
      <c r="N19" s="1327"/>
      <c r="O19" s="1326"/>
      <c r="P19" s="1316"/>
      <c r="Q19" s="1325"/>
    </row>
    <row r="20" spans="1:17" ht="12.75" customHeight="1" x14ac:dyDescent="0.25">
      <c r="A20" s="1369"/>
      <c r="B20" s="1666"/>
      <c r="C20" s="1643"/>
      <c r="D20" s="1644"/>
      <c r="E20" s="1678"/>
      <c r="F20" s="1678"/>
      <c r="G20" s="1556"/>
      <c r="H20" s="1678"/>
      <c r="I20" s="1679"/>
      <c r="J20" s="1556"/>
      <c r="K20" s="1666"/>
      <c r="L20" s="1680"/>
      <c r="M20" s="1316"/>
      <c r="N20" s="1327"/>
      <c r="O20" s="1326"/>
      <c r="P20" s="1316"/>
      <c r="Q20" s="1325"/>
    </row>
    <row r="21" spans="1:17" ht="12.75" customHeight="1" x14ac:dyDescent="0.25">
      <c r="A21" s="1665"/>
      <c r="B21" s="1666"/>
      <c r="C21" s="1643"/>
      <c r="D21" s="1644"/>
      <c r="E21" s="1678"/>
      <c r="F21" s="1678"/>
      <c r="G21" s="1556"/>
      <c r="H21" s="1678"/>
      <c r="I21" s="1679"/>
      <c r="J21" s="1556"/>
      <c r="K21" s="1666"/>
      <c r="L21" s="1680"/>
      <c r="M21" s="1316"/>
      <c r="N21" s="1327"/>
      <c r="O21" s="1326"/>
      <c r="P21" s="1316"/>
      <c r="Q21" s="1325"/>
    </row>
    <row r="22" spans="1:17" ht="12.75" customHeight="1" x14ac:dyDescent="0.25">
      <c r="A22" s="1665"/>
      <c r="B22" s="1666"/>
      <c r="C22" s="924"/>
      <c r="D22" s="1644"/>
      <c r="E22" s="1678"/>
      <c r="F22" s="1678"/>
      <c r="G22" s="1556"/>
      <c r="H22" s="1678"/>
      <c r="I22" s="1679"/>
      <c r="J22" s="1556"/>
      <c r="K22" s="1666"/>
      <c r="L22" s="1680"/>
      <c r="M22" s="1316"/>
      <c r="N22" s="1327"/>
      <c r="O22" s="1326"/>
      <c r="P22" s="1316"/>
      <c r="Q22" s="1325"/>
    </row>
    <row r="23" spans="1:17" x14ac:dyDescent="0.25">
      <c r="A23" s="175" t="s">
        <v>1766</v>
      </c>
      <c r="B23" s="1067"/>
      <c r="C23" s="1068"/>
      <c r="D23" s="1068"/>
      <c r="E23" s="1068"/>
      <c r="F23" s="1068"/>
      <c r="G23" s="1068"/>
      <c r="H23" s="1069"/>
      <c r="I23" s="1070"/>
      <c r="J23" s="1070"/>
      <c r="K23" s="1075"/>
      <c r="L23" s="1852"/>
      <c r="M23" s="122">
        <f>SUM(M7:M22)</f>
        <v>0</v>
      </c>
      <c r="N23" s="121">
        <f>SUM(N7:N22)</f>
        <v>0</v>
      </c>
      <c r="O23" s="125">
        <f>SUM(O7:O22)</f>
        <v>0</v>
      </c>
      <c r="P23" s="122">
        <f>SUM(P7:P22)</f>
        <v>0</v>
      </c>
      <c r="Q23" s="507">
        <f>SUM(Q7:Q22)</f>
        <v>0</v>
      </c>
    </row>
    <row r="24" spans="1:17" x14ac:dyDescent="0.25">
      <c r="A24" s="525"/>
      <c r="B24" s="369"/>
      <c r="C24" s="600"/>
      <c r="D24" s="600"/>
      <c r="E24" s="600"/>
      <c r="F24" s="600"/>
      <c r="G24" s="600"/>
      <c r="H24" s="191"/>
      <c r="I24" s="107"/>
      <c r="J24" s="1854"/>
      <c r="K24" s="1851"/>
      <c r="L24" s="1127"/>
      <c r="M24" s="76"/>
      <c r="N24" s="75"/>
      <c r="O24" s="78"/>
      <c r="P24" s="76"/>
      <c r="Q24" s="77"/>
    </row>
    <row r="25" spans="1:17" x14ac:dyDescent="0.25">
      <c r="A25" s="118" t="s">
        <v>16</v>
      </c>
      <c r="B25" s="369"/>
      <c r="C25" s="600"/>
      <c r="D25" s="600"/>
      <c r="E25" s="600"/>
      <c r="F25" s="600"/>
      <c r="G25" s="600"/>
      <c r="H25" s="191"/>
      <c r="I25" s="107"/>
      <c r="J25" s="191"/>
      <c r="K25" s="1851"/>
      <c r="L25" s="1127"/>
      <c r="M25" s="76"/>
      <c r="N25" s="75"/>
      <c r="O25" s="78"/>
      <c r="P25" s="76"/>
      <c r="Q25" s="77"/>
    </row>
    <row r="26" spans="1:17" ht="11.25" customHeight="1" x14ac:dyDescent="0.25">
      <c r="A26" s="188" t="s">
        <v>1323</v>
      </c>
      <c r="B26" s="369"/>
      <c r="C26" s="600"/>
      <c r="D26" s="600"/>
      <c r="E26" s="600"/>
      <c r="F26" s="600"/>
      <c r="G26" s="600"/>
      <c r="H26" s="191"/>
      <c r="I26" s="107"/>
      <c r="J26" s="191"/>
      <c r="K26" s="1851"/>
      <c r="L26" s="1127"/>
      <c r="M26" s="153"/>
      <c r="N26" s="154"/>
      <c r="O26" s="155"/>
      <c r="P26" s="153"/>
      <c r="Q26" s="156"/>
    </row>
    <row r="27" spans="1:17" ht="4.9000000000000004" customHeight="1" x14ac:dyDescent="0.25">
      <c r="A27" s="525"/>
      <c r="B27" s="369"/>
      <c r="C27" s="600"/>
      <c r="D27" s="600"/>
      <c r="E27" s="600"/>
      <c r="F27" s="600"/>
      <c r="G27" s="600"/>
      <c r="H27" s="191"/>
      <c r="I27" s="107"/>
      <c r="J27" s="191"/>
      <c r="K27" s="1851"/>
      <c r="L27" s="1127"/>
      <c r="M27" s="76"/>
      <c r="N27" s="75"/>
      <c r="O27" s="78"/>
      <c r="P27" s="76"/>
      <c r="Q27" s="77"/>
    </row>
    <row r="28" spans="1:17" ht="11.25" customHeight="1" x14ac:dyDescent="0.25">
      <c r="A28" s="1681" t="s">
        <v>1324</v>
      </c>
      <c r="B28" s="1556"/>
      <c r="C28" s="1644"/>
      <c r="D28" s="1644"/>
      <c r="E28" s="1678"/>
      <c r="F28" s="1678"/>
      <c r="G28" s="1556"/>
      <c r="H28" s="1678"/>
      <c r="I28" s="1679"/>
      <c r="J28" s="1556"/>
      <c r="K28" s="1666"/>
      <c r="L28" s="1680"/>
      <c r="M28" s="1316"/>
      <c r="N28" s="1327"/>
      <c r="O28" s="1326"/>
      <c r="P28" s="1316"/>
      <c r="Q28" s="1325"/>
    </row>
    <row r="29" spans="1:17" ht="11.25" customHeight="1" x14ac:dyDescent="0.25">
      <c r="A29" s="1369" t="s">
        <v>1325</v>
      </c>
      <c r="B29" s="1666"/>
      <c r="C29" s="1643"/>
      <c r="D29" s="1644"/>
      <c r="E29" s="1678"/>
      <c r="F29" s="1678"/>
      <c r="G29" s="1556"/>
      <c r="H29" s="1678"/>
      <c r="I29" s="1679"/>
      <c r="J29" s="1556"/>
      <c r="K29" s="1666"/>
      <c r="L29" s="1680"/>
      <c r="M29" s="1316"/>
      <c r="N29" s="1327"/>
      <c r="O29" s="1326"/>
      <c r="P29" s="1316"/>
      <c r="Q29" s="1325"/>
    </row>
    <row r="30" spans="1:17" ht="4.9000000000000004" customHeight="1" x14ac:dyDescent="0.25">
      <c r="A30" s="1665"/>
      <c r="B30" s="1666"/>
      <c r="C30" s="1643"/>
      <c r="D30" s="1644"/>
      <c r="E30" s="1678"/>
      <c r="F30" s="1678"/>
      <c r="G30" s="1556"/>
      <c r="H30" s="1678"/>
      <c r="I30" s="1679"/>
      <c r="J30" s="1556"/>
      <c r="K30" s="1666"/>
      <c r="L30" s="1680"/>
      <c r="M30" s="1316"/>
      <c r="N30" s="1327"/>
      <c r="O30" s="1326"/>
      <c r="P30" s="1316"/>
      <c r="Q30" s="1325"/>
    </row>
    <row r="31" spans="1:17" ht="11.25" customHeight="1" x14ac:dyDescent="0.25">
      <c r="A31" s="1681" t="s">
        <v>1326</v>
      </c>
      <c r="B31" s="1666"/>
      <c r="C31" s="1643"/>
      <c r="D31" s="1644"/>
      <c r="E31" s="1678"/>
      <c r="F31" s="1678"/>
      <c r="G31" s="1556"/>
      <c r="H31" s="1678"/>
      <c r="I31" s="1679"/>
      <c r="J31" s="1556"/>
      <c r="K31" s="1666"/>
      <c r="L31" s="1680"/>
      <c r="M31" s="1316"/>
      <c r="N31" s="1327"/>
      <c r="O31" s="1326"/>
      <c r="P31" s="1316"/>
      <c r="Q31" s="1325"/>
    </row>
    <row r="32" spans="1:17" ht="11.25" customHeight="1" x14ac:dyDescent="0.25">
      <c r="A32" s="1369" t="s">
        <v>1327</v>
      </c>
      <c r="B32" s="1666"/>
      <c r="C32" s="1643"/>
      <c r="D32" s="1644"/>
      <c r="E32" s="1678"/>
      <c r="F32" s="1678"/>
      <c r="G32" s="1556"/>
      <c r="H32" s="1678"/>
      <c r="I32" s="1679"/>
      <c r="J32" s="1556"/>
      <c r="K32" s="1666"/>
      <c r="L32" s="1680"/>
      <c r="M32" s="1316"/>
      <c r="N32" s="1327"/>
      <c r="O32" s="1326"/>
      <c r="P32" s="1316"/>
      <c r="Q32" s="1325"/>
    </row>
    <row r="33" spans="1:17" ht="11.25" customHeight="1" x14ac:dyDescent="0.25">
      <c r="A33" s="1369"/>
      <c r="B33" s="1666"/>
      <c r="C33" s="1643"/>
      <c r="D33" s="1644"/>
      <c r="E33" s="1678"/>
      <c r="F33" s="1678"/>
      <c r="G33" s="1556"/>
      <c r="H33" s="1678"/>
      <c r="I33" s="1679"/>
      <c r="J33" s="1556"/>
      <c r="K33" s="1666"/>
      <c r="L33" s="1680"/>
      <c r="M33" s="1316"/>
      <c r="N33" s="1327"/>
      <c r="O33" s="1326"/>
      <c r="P33" s="1316"/>
      <c r="Q33" s="1325"/>
    </row>
    <row r="34" spans="1:17" ht="11.25" customHeight="1" x14ac:dyDescent="0.25">
      <c r="A34" s="1369"/>
      <c r="B34" s="1666"/>
      <c r="C34" s="924"/>
      <c r="D34" s="1644"/>
      <c r="E34" s="1678"/>
      <c r="F34" s="1678"/>
      <c r="G34" s="1556"/>
      <c r="H34" s="1678"/>
      <c r="I34" s="1679"/>
      <c r="J34" s="1556"/>
      <c r="K34" s="1666"/>
      <c r="L34" s="1680"/>
      <c r="M34" s="1316"/>
      <c r="N34" s="1327"/>
      <c r="O34" s="1326"/>
      <c r="P34" s="1316"/>
      <c r="Q34" s="1325"/>
    </row>
    <row r="35" spans="1:17" ht="11.25" customHeight="1" x14ac:dyDescent="0.25">
      <c r="A35" s="1665"/>
      <c r="B35" s="1666"/>
      <c r="C35" s="924"/>
      <c r="D35" s="1644"/>
      <c r="E35" s="1678"/>
      <c r="F35" s="1678"/>
      <c r="G35" s="1556"/>
      <c r="H35" s="1678"/>
      <c r="I35" s="1679"/>
      <c r="J35" s="1556"/>
      <c r="K35" s="1666"/>
      <c r="L35" s="1680"/>
      <c r="M35" s="1316"/>
      <c r="N35" s="1327"/>
      <c r="O35" s="1326"/>
      <c r="P35" s="1316"/>
      <c r="Q35" s="1325"/>
    </row>
    <row r="36" spans="1:17" x14ac:dyDescent="0.25">
      <c r="A36" s="1069" t="s">
        <v>1765</v>
      </c>
      <c r="B36" s="1074"/>
      <c r="C36" s="1075"/>
      <c r="D36" s="1075"/>
      <c r="E36" s="1075"/>
      <c r="F36" s="1075"/>
      <c r="G36" s="1075"/>
      <c r="H36" s="1075"/>
      <c r="I36" s="1075"/>
      <c r="J36" s="1075"/>
      <c r="K36" s="1075"/>
      <c r="L36" s="1071"/>
      <c r="M36" s="122">
        <f>SUM(M28:M35)</f>
        <v>0</v>
      </c>
      <c r="N36" s="507">
        <f>SUM(N28:N35)</f>
        <v>0</v>
      </c>
      <c r="O36" s="125">
        <f>SUM(O28:O35)</f>
        <v>0</v>
      </c>
      <c r="P36" s="122">
        <f>SUM(P28:P35)</f>
        <v>0</v>
      </c>
      <c r="Q36" s="507">
        <f>SUM(Q28:Q35)</f>
        <v>0</v>
      </c>
    </row>
    <row r="37" spans="1:17" x14ac:dyDescent="0.25">
      <c r="A37" s="1069" t="s">
        <v>805</v>
      </c>
      <c r="B37" s="1074"/>
      <c r="C37" s="1075"/>
      <c r="D37" s="1075"/>
      <c r="E37" s="1075"/>
      <c r="F37" s="1075"/>
      <c r="G37" s="1075"/>
      <c r="H37" s="1075"/>
      <c r="I37" s="1075"/>
      <c r="J37" s="1075"/>
      <c r="K37" s="1075"/>
      <c r="L37" s="1071"/>
      <c r="M37" s="95">
        <f>SUM(M7:M22)+SUM(M28:M35)</f>
        <v>0</v>
      </c>
      <c r="N37" s="474">
        <f>SUM(N7:N22)+SUM(N28:N35)</f>
        <v>0</v>
      </c>
      <c r="O37" s="98">
        <f>SUM(O7:O22)+SUM(O28:O35)</f>
        <v>0</v>
      </c>
      <c r="P37" s="95">
        <f>SUM(P7:P22)+SUM(P28:P35)</f>
        <v>0</v>
      </c>
      <c r="Q37" s="474">
        <f>SUM(Q7:Q22)+SUM(Q28:Q35)</f>
        <v>0</v>
      </c>
    </row>
    <row r="38" spans="1:17" s="464" customFormat="1" ht="11.25" customHeight="1" x14ac:dyDescent="0.25">
      <c r="A38" s="101" t="str">
        <f>head27a</f>
        <v>References</v>
      </c>
    </row>
    <row r="39" spans="1:17" s="464" customFormat="1" ht="11.25" customHeight="1" x14ac:dyDescent="0.25">
      <c r="A39" s="132" t="s">
        <v>2527</v>
      </c>
    </row>
    <row r="40" spans="1:17" s="464" customFormat="1" ht="11.25" customHeight="1" x14ac:dyDescent="0.25">
      <c r="A40" s="25" t="s">
        <v>2528</v>
      </c>
    </row>
    <row r="41" spans="1:17" ht="11.25" customHeight="1" x14ac:dyDescent="0.25">
      <c r="A41" s="25" t="s">
        <v>2553</v>
      </c>
    </row>
    <row r="42" spans="1:17" ht="11.25" customHeight="1" x14ac:dyDescent="0.25">
      <c r="A42" s="25" t="s">
        <v>2529</v>
      </c>
    </row>
    <row r="43" spans="1:17" x14ac:dyDescent="0.25">
      <c r="A43" s="25" t="s">
        <v>2530</v>
      </c>
      <c r="L43" s="25" t="s">
        <v>1354</v>
      </c>
      <c r="M43" s="75">
        <f>SUM(SA34a!E167+SA34b!E167+SA34e!E167)-'SA36'!M37</f>
        <v>53459027</v>
      </c>
      <c r="N43" s="75">
        <f>SUM(SA34a!H167+SA34b!H167+SA34e!H167)-'SA36'!N37</f>
        <v>60681889</v>
      </c>
      <c r="O43" s="75">
        <f>SUM(SA34a!I167+SA34b!I167+SA34e!I167)-'SA36'!O37</f>
        <v>32447438.100000001</v>
      </c>
      <c r="P43" s="75">
        <f>SUM(SA34a!J167+SA34b!J167+SA34e!J167)-'SA36'!P37</f>
        <v>49972500</v>
      </c>
      <c r="Q43" s="75">
        <f>SUM(SA34a!K167+SA34b!K167+SA34e!K167)-'SA36'!Q37</f>
        <v>0</v>
      </c>
    </row>
    <row r="44" spans="1:17" ht="11.25" customHeight="1" x14ac:dyDescent="0.25">
      <c r="A44" s="25" t="s">
        <v>2555</v>
      </c>
    </row>
    <row r="45" spans="1:17" ht="11.25" customHeight="1" x14ac:dyDescent="0.25"/>
    <row r="46" spans="1:17" ht="11.25" customHeight="1" x14ac:dyDescent="0.25"/>
    <row r="47" spans="1:17" ht="11.25" customHeight="1" x14ac:dyDescent="0.25"/>
    <row r="48" spans="1:17"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9" ht="11.25" customHeight="1" x14ac:dyDescent="0.25"/>
    <row r="70" ht="2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sheetData>
  <mergeCells count="2">
    <mergeCell ref="M2:N2"/>
    <mergeCell ref="O2:Q2"/>
  </mergeCells>
  <phoneticPr fontId="3" type="noConversion"/>
  <dataValidations xWindow="526" yWindow="412" count="5">
    <dataValidation type="list" allowBlank="1" showInputMessage="1" showErrorMessage="1" promptTitle="Select Asset Class" prompt="Select asset class from list" sqref="H28:H35 H7:H22" xr:uid="{00000000-0002-0000-3D00-000000000000}">
      <formula1>asset_class1</formula1>
    </dataValidation>
    <dataValidation type="list" allowBlank="1" showInputMessage="1" showErrorMessage="1" promptTitle="Select Asset Sub-Class" prompt="Select asset sub class from list" sqref="I28:I35 I7:I22" xr:uid="{00000000-0002-0000-3D00-000001000000}">
      <formula1>asset_subclass1</formula1>
    </dataValidation>
    <dataValidation type="list" allowBlank="1" showInputMessage="1" showErrorMessage="1" sqref="D28:D35 D7:D22" xr:uid="{00000000-0002-0000-3D00-000002000000}">
      <formula1>"New,Renewal,Upgrading"</formula1>
    </dataValidation>
    <dataValidation type="list" allowBlank="1" showInputMessage="1" showErrorMessage="1" promptTitle="Select IUDF" prompt="Select IUDF from list" sqref="F7:F22 F28:F35" xr:uid="{00000000-0002-0000-3D00-000003000000}">
      <formula1>IUDF</formula1>
    </dataValidation>
    <dataValidation type="list" allowBlank="1" showInputMessage="1" showErrorMessage="1" promptTitle="Select MTSF Service Outcome" prompt="Select MTSF from list" sqref="E28:E35 E7:E22" xr:uid="{00000000-0002-0000-3D00-000004000000}">
      <formula1>MTSF</formula1>
    </dataValidation>
  </dataValidations>
  <printOptions horizontalCentered="1"/>
  <pageMargins left="0" right="0" top="0.78740157480314965" bottom="0.59055118110236227" header="0.51181102362204722" footer="0.39370078740157483"/>
  <pageSetup paperSize="9" scale="66" orientation="landscape"/>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8">
    <pageSetUpPr fitToPage="1"/>
  </sheetPr>
  <dimension ref="A1:R78"/>
  <sheetViews>
    <sheetView showGridLines="0" zoomScaleNormal="100" workbookViewId="0">
      <pane xSplit="2" ySplit="3" topLeftCell="I4" activePane="bottomRight" state="frozen"/>
      <selection pane="topRight"/>
      <selection pane="bottomLeft"/>
      <selection pane="bottomRight" activeCell="J7" sqref="J7"/>
    </sheetView>
  </sheetViews>
  <sheetFormatPr defaultRowHeight="12.75" x14ac:dyDescent="0.25"/>
  <cols>
    <col min="1" max="2" width="26.42578125" style="25" customWidth="1"/>
    <col min="3" max="7" width="10.7109375" style="25" customWidth="1"/>
    <col min="8" max="10" width="26.42578125" style="25" customWidth="1"/>
    <col min="11" max="12" width="17.7109375" style="25" customWidth="1"/>
    <col min="13" max="18" width="9.28515625" style="25" customWidth="1"/>
    <col min="19" max="19" width="7.42578125" style="25" bestFit="1" customWidth="1"/>
    <col min="20" max="20" width="9.7109375" style="25" customWidth="1"/>
    <col min="21" max="21" width="9.42578125" style="25" customWidth="1"/>
    <col min="22" max="22" width="9.7109375" style="25" customWidth="1"/>
    <col min="23" max="25" width="9.42578125" style="25" customWidth="1"/>
    <col min="26" max="26" width="9.7109375" style="25" customWidth="1"/>
    <col min="27" max="29" width="9.42578125" style="25" customWidth="1"/>
    <col min="30" max="31" width="9.7109375" style="25" customWidth="1"/>
    <col min="32" max="16384" width="9.140625" style="25"/>
  </cols>
  <sheetData>
    <row r="1" spans="1:18" ht="13.5" customHeight="1" x14ac:dyDescent="0.25">
      <c r="A1" s="23" t="str">
        <f>muni&amp;" - "&amp;TableA37</f>
        <v>EC101 Dr Beyers Naude - Supporting Table SA37 Projects delayed from previous financial year/s</v>
      </c>
      <c r="B1" s="23"/>
      <c r="C1" s="23"/>
      <c r="D1" s="23"/>
      <c r="E1" s="23"/>
      <c r="F1" s="23"/>
      <c r="G1" s="23"/>
      <c r="H1" s="23"/>
      <c r="I1" s="23"/>
      <c r="J1" s="23"/>
      <c r="K1" s="23"/>
      <c r="L1" s="23"/>
      <c r="M1" s="23"/>
      <c r="N1" s="23"/>
      <c r="O1" s="23"/>
      <c r="P1" s="23"/>
      <c r="Q1" s="23"/>
      <c r="R1" s="23"/>
    </row>
    <row r="2" spans="1:18" ht="23.25" customHeight="1" x14ac:dyDescent="0.25">
      <c r="A2" s="1849" t="s">
        <v>573</v>
      </c>
      <c r="D2" s="399"/>
      <c r="E2" s="399"/>
      <c r="F2" s="399"/>
      <c r="G2" s="399"/>
      <c r="H2" s="399"/>
      <c r="I2" s="1837"/>
      <c r="J2" s="399"/>
      <c r="K2" s="399"/>
      <c r="L2" s="584"/>
      <c r="M2" s="1972" t="str">
        <f>Head47</f>
        <v>Previous target year to complete</v>
      </c>
      <c r="N2" s="1965" t="str">
        <f>Head2</f>
        <v>Current Year 2018/19</v>
      </c>
      <c r="O2" s="1905"/>
      <c r="P2" s="1904" t="str">
        <f>Head3</f>
        <v>2019/20 Medium Term Revenue &amp; Expenditure Framework</v>
      </c>
      <c r="Q2" s="1905"/>
      <c r="R2" s="1906"/>
    </row>
    <row r="3" spans="1:18" ht="25.5" x14ac:dyDescent="0.25">
      <c r="A3" s="1099" t="s">
        <v>2515</v>
      </c>
      <c r="B3" s="28" t="s">
        <v>1204</v>
      </c>
      <c r="C3" s="28" t="s">
        <v>1205</v>
      </c>
      <c r="D3" s="203" t="s">
        <v>2518</v>
      </c>
      <c r="E3" s="203" t="s">
        <v>2520</v>
      </c>
      <c r="F3" s="203" t="s">
        <v>2521</v>
      </c>
      <c r="G3" s="203" t="s">
        <v>2522</v>
      </c>
      <c r="H3" s="203" t="s">
        <v>1756</v>
      </c>
      <c r="I3" s="616" t="s">
        <v>2526</v>
      </c>
      <c r="J3" s="203" t="s">
        <v>2523</v>
      </c>
      <c r="K3" s="203" t="s">
        <v>2524</v>
      </c>
      <c r="L3" s="1836" t="s">
        <v>2525</v>
      </c>
      <c r="M3" s="1975"/>
      <c r="N3" s="419" t="str">
        <f>Head6</f>
        <v>Original Budget</v>
      </c>
      <c r="O3" s="602" t="str">
        <f>Head8</f>
        <v>Full Year Forecast</v>
      </c>
      <c r="P3" s="27" t="str">
        <f>Head9</f>
        <v>Budget Year 2019/20</v>
      </c>
      <c r="Q3" s="28" t="str">
        <f>Head10</f>
        <v>Budget Year +1 2020/21</v>
      </c>
      <c r="R3" s="29" t="str">
        <f>Head11</f>
        <v>Budget Year +2 2021/22</v>
      </c>
    </row>
    <row r="4" spans="1:18" ht="11.25" customHeight="1" x14ac:dyDescent="0.25">
      <c r="A4" s="596" t="s">
        <v>1322</v>
      </c>
      <c r="B4" s="1072"/>
      <c r="C4" s="597"/>
      <c r="D4" s="597"/>
      <c r="E4" s="597"/>
      <c r="F4" s="597"/>
      <c r="G4" s="597"/>
      <c r="H4" s="598"/>
      <c r="I4" s="599"/>
      <c r="J4" s="598"/>
      <c r="K4" s="598"/>
      <c r="L4" s="1126"/>
      <c r="M4" s="603"/>
      <c r="N4" s="149"/>
      <c r="O4" s="604"/>
      <c r="P4" s="151"/>
      <c r="Q4" s="149"/>
      <c r="R4" s="152"/>
    </row>
    <row r="5" spans="1:18" ht="11.25" customHeight="1" x14ac:dyDescent="0.25">
      <c r="A5" s="188" t="s">
        <v>2519</v>
      </c>
      <c r="B5" s="1073"/>
      <c r="C5" s="600"/>
      <c r="D5" s="600"/>
      <c r="E5" s="600"/>
      <c r="F5" s="600"/>
      <c r="G5" s="600"/>
      <c r="H5" s="191"/>
      <c r="I5" s="107"/>
      <c r="J5" s="191"/>
      <c r="K5" s="191"/>
      <c r="L5" s="1127"/>
      <c r="M5" s="605"/>
      <c r="N5" s="153"/>
      <c r="O5" s="606"/>
      <c r="P5" s="155"/>
      <c r="Q5" s="153"/>
      <c r="R5" s="156"/>
    </row>
    <row r="6" spans="1:18" ht="5.65" customHeight="1" x14ac:dyDescent="0.25">
      <c r="A6" s="188"/>
      <c r="B6" s="1073"/>
      <c r="C6" s="600"/>
      <c r="D6" s="600"/>
      <c r="E6" s="600"/>
      <c r="F6" s="600"/>
      <c r="G6" s="600"/>
      <c r="H6" s="191"/>
      <c r="I6" s="107"/>
      <c r="J6" s="191"/>
      <c r="K6" s="191"/>
      <c r="L6" s="1127"/>
      <c r="M6" s="605"/>
      <c r="N6" s="153"/>
      <c r="O6" s="606"/>
      <c r="P6" s="155"/>
      <c r="Q6" s="153"/>
      <c r="R6" s="156"/>
    </row>
    <row r="7" spans="1:18" ht="11.25" customHeight="1" x14ac:dyDescent="0.25">
      <c r="A7" s="1681"/>
      <c r="B7" s="1556"/>
      <c r="C7" s="1644"/>
      <c r="D7" s="1644"/>
      <c r="E7" s="1678"/>
      <c r="F7" s="1678"/>
      <c r="G7" s="1644"/>
      <c r="H7" s="1678"/>
      <c r="I7" s="1679"/>
      <c r="J7" s="1678"/>
      <c r="K7" s="1678"/>
      <c r="L7" s="1680"/>
      <c r="M7" s="1682"/>
      <c r="N7" s="1673"/>
      <c r="O7" s="1683"/>
      <c r="P7" s="1675"/>
      <c r="Q7" s="1673"/>
      <c r="R7" s="1676"/>
    </row>
    <row r="8" spans="1:18" ht="11.25" customHeight="1" x14ac:dyDescent="0.25">
      <c r="A8" s="1369"/>
      <c r="B8" s="1666"/>
      <c r="C8" s="1643"/>
      <c r="D8" s="1644"/>
      <c r="E8" s="1678"/>
      <c r="F8" s="1678"/>
      <c r="G8" s="1643"/>
      <c r="H8" s="1678"/>
      <c r="I8" s="1679"/>
      <c r="J8" s="1678"/>
      <c r="K8" s="1678"/>
      <c r="L8" s="1680"/>
      <c r="M8" s="1580"/>
      <c r="N8" s="1316"/>
      <c r="O8" s="1317"/>
      <c r="P8" s="1326"/>
      <c r="Q8" s="1316"/>
      <c r="R8" s="1325"/>
    </row>
    <row r="9" spans="1:18" ht="11.25" customHeight="1" x14ac:dyDescent="0.25">
      <c r="A9" s="1369"/>
      <c r="B9" s="1666"/>
      <c r="C9" s="1643"/>
      <c r="D9" s="1644"/>
      <c r="E9" s="1678"/>
      <c r="F9" s="1678"/>
      <c r="G9" s="1643"/>
      <c r="H9" s="1678"/>
      <c r="I9" s="1679"/>
      <c r="J9" s="1856"/>
      <c r="K9" s="1856"/>
      <c r="L9" s="1684"/>
      <c r="M9" s="1580"/>
      <c r="N9" s="1316"/>
      <c r="O9" s="1317"/>
      <c r="P9" s="1326"/>
      <c r="Q9" s="1316"/>
      <c r="R9" s="1325"/>
    </row>
    <row r="10" spans="1:18" ht="11.25" customHeight="1" x14ac:dyDescent="0.25">
      <c r="A10" s="1681"/>
      <c r="B10" s="1666"/>
      <c r="C10" s="1643"/>
      <c r="D10" s="1644"/>
      <c r="E10" s="1678"/>
      <c r="F10" s="1678"/>
      <c r="G10" s="1643"/>
      <c r="H10" s="1678"/>
      <c r="I10" s="1679"/>
      <c r="J10" s="1678"/>
      <c r="K10" s="1678"/>
      <c r="L10" s="1680"/>
      <c r="M10" s="1580"/>
      <c r="N10" s="1316"/>
      <c r="O10" s="1317"/>
      <c r="P10" s="1326"/>
      <c r="Q10" s="1316"/>
      <c r="R10" s="1325"/>
    </row>
    <row r="11" spans="1:18" ht="11.25" customHeight="1" x14ac:dyDescent="0.25">
      <c r="A11" s="1369"/>
      <c r="B11" s="1666"/>
      <c r="C11" s="1643"/>
      <c r="D11" s="1644"/>
      <c r="E11" s="1678"/>
      <c r="F11" s="1678"/>
      <c r="G11" s="1643"/>
      <c r="H11" s="1678"/>
      <c r="I11" s="1679"/>
      <c r="J11" s="1678"/>
      <c r="K11" s="1678"/>
      <c r="L11" s="1680"/>
      <c r="M11" s="1580"/>
      <c r="N11" s="1316"/>
      <c r="O11" s="1685"/>
      <c r="P11" s="1326"/>
      <c r="Q11" s="1316"/>
      <c r="R11" s="1325"/>
    </row>
    <row r="12" spans="1:18" ht="11.25" customHeight="1" x14ac:dyDescent="0.25">
      <c r="A12" s="1369"/>
      <c r="B12" s="1666"/>
      <c r="C12" s="1643"/>
      <c r="D12" s="1644"/>
      <c r="E12" s="1678"/>
      <c r="F12" s="1678"/>
      <c r="G12" s="1643"/>
      <c r="H12" s="1678"/>
      <c r="I12" s="1679"/>
      <c r="J12" s="1678"/>
      <c r="K12" s="1678"/>
      <c r="L12" s="1680"/>
      <c r="M12" s="1580"/>
      <c r="N12" s="1316"/>
      <c r="O12" s="1317"/>
      <c r="P12" s="1326"/>
      <c r="Q12" s="1316"/>
      <c r="R12" s="1325"/>
    </row>
    <row r="13" spans="1:18" ht="11.25" customHeight="1" x14ac:dyDescent="0.25">
      <c r="A13" s="1686"/>
      <c r="B13" s="1860"/>
      <c r="C13" s="1687"/>
      <c r="D13" s="1859"/>
      <c r="E13" s="1857"/>
      <c r="F13" s="1857"/>
      <c r="G13" s="1687"/>
      <c r="H13" s="1857"/>
      <c r="I13" s="1857"/>
      <c r="J13" s="1857"/>
      <c r="K13" s="1857"/>
      <c r="L13" s="1688"/>
      <c r="M13" s="1689"/>
      <c r="N13" s="1346"/>
      <c r="O13" s="1690"/>
      <c r="P13" s="1633"/>
      <c r="Q13" s="1346"/>
      <c r="R13" s="1349"/>
    </row>
    <row r="14" spans="1:18" ht="11.25" customHeight="1" x14ac:dyDescent="0.25">
      <c r="A14" s="118" t="s">
        <v>16</v>
      </c>
      <c r="B14" s="916"/>
      <c r="C14" s="520"/>
      <c r="D14" s="520"/>
      <c r="E14" s="520"/>
      <c r="F14" s="520"/>
      <c r="G14" s="520"/>
      <c r="H14" s="601"/>
      <c r="J14" s="601"/>
      <c r="K14" s="601"/>
      <c r="L14" s="909"/>
      <c r="M14" s="389"/>
      <c r="N14" s="76"/>
      <c r="O14" s="332"/>
      <c r="P14" s="78"/>
      <c r="Q14" s="76"/>
      <c r="R14" s="77"/>
    </row>
    <row r="15" spans="1:18" ht="11.25" customHeight="1" x14ac:dyDescent="0.25">
      <c r="A15" s="188" t="s">
        <v>1323</v>
      </c>
      <c r="B15" s="916"/>
      <c r="C15" s="520"/>
      <c r="D15" s="520"/>
      <c r="E15" s="520"/>
      <c r="F15" s="520"/>
      <c r="G15" s="520"/>
      <c r="H15" s="601"/>
      <c r="J15" s="601"/>
      <c r="K15" s="601"/>
      <c r="L15" s="909"/>
      <c r="M15" s="389"/>
      <c r="N15" s="76"/>
      <c r="O15" s="332"/>
      <c r="P15" s="78"/>
      <c r="Q15" s="76"/>
      <c r="R15" s="77"/>
    </row>
    <row r="16" spans="1:18" ht="6" customHeight="1" x14ac:dyDescent="0.25">
      <c r="A16" s="189"/>
      <c r="B16" s="916"/>
      <c r="C16" s="520"/>
      <c r="D16" s="520"/>
      <c r="E16" s="520"/>
      <c r="F16" s="520"/>
      <c r="G16" s="520"/>
      <c r="H16" s="601"/>
      <c r="J16" s="601"/>
      <c r="K16" s="601"/>
      <c r="L16" s="909"/>
      <c r="M16" s="389"/>
      <c r="N16" s="76"/>
      <c r="O16" s="332"/>
      <c r="P16" s="78"/>
      <c r="Q16" s="76"/>
      <c r="R16" s="77"/>
    </row>
    <row r="17" spans="1:18" ht="11.25" customHeight="1" x14ac:dyDescent="0.25">
      <c r="A17" s="1691" t="s">
        <v>1328</v>
      </c>
      <c r="B17" s="1666"/>
      <c r="C17" s="1643"/>
      <c r="D17" s="1644"/>
      <c r="E17" s="1678"/>
      <c r="F17" s="1678"/>
      <c r="G17" s="1643"/>
      <c r="H17" s="1678"/>
      <c r="I17" s="1679"/>
      <c r="J17" s="1678"/>
      <c r="K17" s="1678"/>
      <c r="L17" s="1680"/>
      <c r="M17" s="1580"/>
      <c r="N17" s="1316"/>
      <c r="O17" s="1317"/>
      <c r="P17" s="1326"/>
      <c r="Q17" s="1316"/>
      <c r="R17" s="1325"/>
    </row>
    <row r="18" spans="1:18" ht="11.25" customHeight="1" x14ac:dyDescent="0.25">
      <c r="A18" s="1368" t="s">
        <v>1204</v>
      </c>
      <c r="B18" s="1666"/>
      <c r="C18" s="1643"/>
      <c r="D18" s="1644"/>
      <c r="E18" s="1678"/>
      <c r="F18" s="1678"/>
      <c r="G18" s="1643"/>
      <c r="H18" s="1678"/>
      <c r="I18" s="1679"/>
      <c r="J18" s="1678"/>
      <c r="K18" s="1678"/>
      <c r="L18" s="1680"/>
      <c r="M18" s="1580"/>
      <c r="N18" s="1316"/>
      <c r="O18" s="1317"/>
      <c r="P18" s="1326"/>
      <c r="Q18" s="1316"/>
      <c r="R18" s="1325"/>
    </row>
    <row r="19" spans="1:18" ht="11.25" customHeight="1" x14ac:dyDescent="0.25">
      <c r="A19" s="1642"/>
      <c r="B19" s="1666"/>
      <c r="C19" s="1643"/>
      <c r="D19" s="1644"/>
      <c r="E19" s="1678"/>
      <c r="F19" s="1678"/>
      <c r="G19" s="1643"/>
      <c r="H19" s="1678"/>
      <c r="I19" s="1679"/>
      <c r="J19" s="1678"/>
      <c r="K19" s="1678"/>
      <c r="L19" s="1680"/>
      <c r="M19" s="1580"/>
      <c r="N19" s="1316"/>
      <c r="O19" s="1317"/>
      <c r="P19" s="1326"/>
      <c r="Q19" s="1316"/>
      <c r="R19" s="1325"/>
    </row>
    <row r="20" spans="1:18" ht="11.25" customHeight="1" x14ac:dyDescent="0.25">
      <c r="A20" s="1369"/>
      <c r="B20" s="1666"/>
      <c r="C20" s="1643"/>
      <c r="D20" s="1644"/>
      <c r="E20" s="1678"/>
      <c r="F20" s="1678"/>
      <c r="G20" s="1643"/>
      <c r="H20" s="1678"/>
      <c r="I20" s="1679"/>
      <c r="J20" s="1678"/>
      <c r="K20" s="1678"/>
      <c r="L20" s="1680"/>
      <c r="M20" s="1580"/>
      <c r="N20" s="1316"/>
      <c r="O20" s="1317"/>
      <c r="P20" s="1326"/>
      <c r="Q20" s="1316"/>
      <c r="R20" s="1325"/>
    </row>
    <row r="21" spans="1:18" ht="11.25" customHeight="1" x14ac:dyDescent="0.25">
      <c r="A21" s="1369"/>
      <c r="B21" s="1666"/>
      <c r="C21" s="1643"/>
      <c r="D21" s="1644"/>
      <c r="E21" s="1678"/>
      <c r="F21" s="1678"/>
      <c r="G21" s="1643"/>
      <c r="H21" s="1678"/>
      <c r="I21" s="1679"/>
      <c r="J21" s="1678"/>
      <c r="K21" s="1678"/>
      <c r="L21" s="1680"/>
      <c r="M21" s="1580"/>
      <c r="N21" s="1316"/>
      <c r="O21" s="1317"/>
      <c r="P21" s="1326"/>
      <c r="Q21" s="1316"/>
      <c r="R21" s="1325"/>
    </row>
    <row r="22" spans="1:18" ht="11.25" customHeight="1" x14ac:dyDescent="0.25">
      <c r="A22" s="1858"/>
      <c r="B22" s="1860"/>
      <c r="C22" s="1687"/>
      <c r="D22" s="1859"/>
      <c r="E22" s="1857"/>
      <c r="F22" s="1857"/>
      <c r="G22" s="1687"/>
      <c r="H22" s="1857"/>
      <c r="I22" s="1857"/>
      <c r="J22" s="1857"/>
      <c r="K22" s="1857"/>
      <c r="L22" s="1688"/>
      <c r="M22" s="1689"/>
      <c r="N22" s="1346"/>
      <c r="O22" s="1690"/>
      <c r="P22" s="1633"/>
      <c r="Q22" s="1346"/>
      <c r="R22" s="1349"/>
    </row>
    <row r="23" spans="1:18" ht="11.25" customHeight="1" x14ac:dyDescent="0.25">
      <c r="A23" s="101" t="str">
        <f>head27a</f>
        <v>References</v>
      </c>
    </row>
    <row r="24" spans="1:18" ht="11.25" customHeight="1" x14ac:dyDescent="0.25">
      <c r="A24" s="132" t="s">
        <v>2554</v>
      </c>
    </row>
    <row r="25" spans="1:18" ht="11.25" customHeight="1" x14ac:dyDescent="0.25">
      <c r="A25" s="25" t="s">
        <v>2553</v>
      </c>
    </row>
    <row r="26" spans="1:18" ht="11.25" customHeight="1" x14ac:dyDescent="0.25">
      <c r="A26" s="25" t="s">
        <v>2529</v>
      </c>
    </row>
    <row r="27" spans="1:18" ht="11.25" customHeight="1" x14ac:dyDescent="0.25">
      <c r="A27" s="25" t="s">
        <v>2555</v>
      </c>
    </row>
    <row r="28" spans="1:18" ht="11.25" customHeight="1" x14ac:dyDescent="0.25"/>
    <row r="29" spans="1:18" ht="11.25" customHeight="1" x14ac:dyDescent="0.25"/>
    <row r="30" spans="1:18" ht="11.25" customHeight="1" x14ac:dyDescent="0.25"/>
    <row r="31" spans="1:18" ht="11.25" customHeight="1" x14ac:dyDescent="0.25"/>
    <row r="32" spans="1:18" ht="11.25" customHeight="1" x14ac:dyDescent="0.25"/>
    <row r="33" ht="11.25" customHeight="1" x14ac:dyDescent="0.25"/>
    <row r="34" ht="11.25" customHeight="1" x14ac:dyDescent="0.25"/>
    <row r="35" ht="11.25" customHeight="1" x14ac:dyDescent="0.25"/>
    <row r="38" ht="11.25" customHeight="1" x14ac:dyDescent="0.25"/>
    <row r="39" ht="2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sheetData>
  <mergeCells count="3">
    <mergeCell ref="M2:M3"/>
    <mergeCell ref="N2:O2"/>
    <mergeCell ref="P2:R2"/>
  </mergeCells>
  <phoneticPr fontId="3" type="noConversion"/>
  <dataValidations count="5">
    <dataValidation type="list" allowBlank="1" showInputMessage="1" showErrorMessage="1" promptTitle="Select Asset Class" prompt="Select asset class from list" sqref="H7:H13 H17:H22" xr:uid="{00000000-0002-0000-3E00-000000000000}">
      <formula1>asset_class1</formula1>
    </dataValidation>
    <dataValidation type="list" allowBlank="1" showInputMessage="1" showErrorMessage="1" promptTitle="Select Asset Sub-Class" prompt="Select asset sub class from list" sqref="I7:I13 I17:I22" xr:uid="{00000000-0002-0000-3E00-000001000000}">
      <formula1>asset_subclass1</formula1>
    </dataValidation>
    <dataValidation type="list" allowBlank="1" showInputMessage="1" showErrorMessage="1" promptTitle="Select MTSF Service Outcome" prompt="Select MTSF from list" sqref="E7:E13 E17:E22" xr:uid="{00000000-0002-0000-3E00-000002000000}">
      <formula1>MTSF</formula1>
    </dataValidation>
    <dataValidation type="list" allowBlank="1" showInputMessage="1" showErrorMessage="1" promptTitle="Select IUDF" prompt="Select IUDF from list" sqref="F7:F13 F17:F22" xr:uid="{00000000-0002-0000-3E00-000003000000}">
      <formula1>IUDF</formula1>
    </dataValidation>
    <dataValidation type="list" allowBlank="1" showInputMessage="1" showErrorMessage="1" sqref="D7:D13 D17:D22" xr:uid="{00000000-0002-0000-3E00-000004000000}">
      <formula1>"New,Renewal,Upgrading"</formula1>
    </dataValidation>
  </dataValidations>
  <printOptions horizontalCentered="1"/>
  <pageMargins left="0" right="0" top="0.78740157480314965" bottom="0.59055118110236227" header="0.51181102362204722" footer="0.39370078740157483"/>
  <pageSetup paperSize="9" scale="77" orientation="landscape"/>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8">
    <pageSetUpPr fitToPage="1"/>
  </sheetPr>
  <dimension ref="A1:Q110"/>
  <sheetViews>
    <sheetView showGridLines="0" zoomScaleNormal="100" workbookViewId="0">
      <pane xSplit="2" ySplit="6" topLeftCell="C7" activePane="bottomRight" state="frozen"/>
      <selection pane="topRight" activeCell="C1" sqref="C1"/>
      <selection pane="bottomLeft" activeCell="A7" sqref="A7"/>
      <selection pane="bottomRight" activeCell="J28" sqref="J28"/>
    </sheetView>
  </sheetViews>
  <sheetFormatPr defaultRowHeight="12.75" x14ac:dyDescent="0.25"/>
  <cols>
    <col min="1" max="1" width="23.42578125" style="25" customWidth="1"/>
    <col min="2" max="2" width="45.28515625" style="25" customWidth="1"/>
    <col min="3" max="3" width="11.7109375" style="25" customWidth="1"/>
    <col min="4" max="4" width="16.42578125" style="25" customWidth="1"/>
    <col min="5" max="5" width="20.42578125" style="25" customWidth="1"/>
    <col min="6" max="7" width="23.42578125" style="25" customWidth="1"/>
    <col min="8" max="8" width="17.7109375" style="25" customWidth="1"/>
    <col min="9" max="14" width="9.28515625" style="25" customWidth="1"/>
    <col min="15" max="15" width="12.140625" style="25" customWidth="1"/>
    <col min="16" max="16" width="9.7109375" style="25" customWidth="1"/>
    <col min="17" max="17" width="9.42578125" style="25" customWidth="1"/>
    <col min="18" max="18" width="9.7109375" style="25" customWidth="1"/>
    <col min="19" max="21" width="9.42578125" style="25" customWidth="1"/>
    <col min="22" max="22" width="9.7109375" style="25" customWidth="1"/>
    <col min="23" max="25" width="9.42578125" style="25" customWidth="1"/>
    <col min="26" max="27" width="9.7109375" style="25" customWidth="1"/>
    <col min="28" max="16384" width="9.140625" style="25"/>
  </cols>
  <sheetData>
    <row r="1" spans="1:17" ht="13.5" customHeight="1" x14ac:dyDescent="0.25">
      <c r="A1" s="23" t="str">
        <f>muni&amp;" - "&amp;TableA38</f>
        <v>EC101 Dr Beyers Naude - Supporting Table SA38 Consolidated detailed operational projects</v>
      </c>
      <c r="B1" s="23"/>
      <c r="C1" s="23"/>
      <c r="D1" s="23"/>
      <c r="E1" s="23"/>
      <c r="F1" s="23"/>
      <c r="G1" s="23"/>
      <c r="H1" s="23"/>
      <c r="I1" s="23"/>
      <c r="J1" s="23"/>
      <c r="K1" s="23"/>
      <c r="L1" s="23"/>
      <c r="M1" s="23"/>
      <c r="N1" s="23"/>
      <c r="O1" s="23"/>
    </row>
    <row r="2" spans="1:17" ht="22.15" customHeight="1" x14ac:dyDescent="0.25">
      <c r="A2" s="1849" t="s">
        <v>573</v>
      </c>
      <c r="B2" s="399"/>
      <c r="C2" s="399"/>
      <c r="D2" s="399"/>
      <c r="E2" s="1204"/>
      <c r="F2" s="1204"/>
      <c r="G2" s="1204"/>
      <c r="H2" s="1204"/>
      <c r="I2" s="1204"/>
      <c r="J2" s="1204"/>
      <c r="K2" s="1204"/>
      <c r="L2" s="1204"/>
      <c r="M2" s="1956" t="s">
        <v>1206</v>
      </c>
      <c r="N2" s="1954"/>
      <c r="O2" s="1904" t="str">
        <f>Head3</f>
        <v>2019/20 Medium Term Revenue &amp; Expenditure Framework</v>
      </c>
      <c r="P2" s="1905"/>
      <c r="Q2" s="1906"/>
    </row>
    <row r="3" spans="1:17" s="1853" customFormat="1" ht="50.25" customHeight="1" x14ac:dyDescent="0.2">
      <c r="A3" s="1099" t="s">
        <v>2515</v>
      </c>
      <c r="B3" s="203" t="s">
        <v>2516</v>
      </c>
      <c r="C3" s="203" t="s">
        <v>2517</v>
      </c>
      <c r="D3" s="203" t="s">
        <v>2518</v>
      </c>
      <c r="E3" s="203" t="s">
        <v>2520</v>
      </c>
      <c r="F3" s="203" t="s">
        <v>2521</v>
      </c>
      <c r="G3" s="203" t="s">
        <v>2522</v>
      </c>
      <c r="H3" s="203" t="s">
        <v>1756</v>
      </c>
      <c r="I3" s="203" t="s">
        <v>2526</v>
      </c>
      <c r="J3" s="203" t="s">
        <v>2523</v>
      </c>
      <c r="K3" s="203" t="s">
        <v>2524</v>
      </c>
      <c r="L3" s="203" t="s">
        <v>2525</v>
      </c>
      <c r="M3" s="585" t="str">
        <f>Head5&amp;"    "&amp;Head1</f>
        <v>Audited Outcome    2017/18</v>
      </c>
      <c r="N3" s="586" t="str">
        <f>Head2 &amp; "        "&amp;Head8</f>
        <v>Current Year 2018/19        Full Year Forecast</v>
      </c>
      <c r="O3" s="141" t="str">
        <f>Head9</f>
        <v>Budget Year 2019/20</v>
      </c>
      <c r="P3" s="203" t="str">
        <f>Head10</f>
        <v>Budget Year +1 2020/21</v>
      </c>
      <c r="Q3" s="204" t="str">
        <f>Head11</f>
        <v>Budget Year +2 2021/22</v>
      </c>
    </row>
    <row r="4" spans="1:17" x14ac:dyDescent="0.25">
      <c r="A4" s="596" t="s">
        <v>1322</v>
      </c>
      <c r="B4" s="57"/>
      <c r="C4" s="597"/>
      <c r="D4" s="597"/>
      <c r="E4" s="597"/>
      <c r="F4" s="597"/>
      <c r="G4" s="597"/>
      <c r="H4" s="598"/>
      <c r="I4" s="599"/>
      <c r="J4" s="599"/>
      <c r="K4" s="1850"/>
      <c r="L4" s="1126"/>
      <c r="M4" s="149"/>
      <c r="N4" s="150"/>
      <c r="O4" s="151"/>
      <c r="P4" s="149"/>
      <c r="Q4" s="152"/>
    </row>
    <row r="5" spans="1:17" s="464" customFormat="1" x14ac:dyDescent="0.25">
      <c r="A5" s="188" t="s">
        <v>2550</v>
      </c>
      <c r="B5" s="663"/>
      <c r="C5" s="673"/>
      <c r="D5" s="673"/>
      <c r="E5" s="673"/>
      <c r="F5" s="673"/>
      <c r="G5" s="673"/>
      <c r="H5" s="191"/>
      <c r="I5" s="107"/>
      <c r="J5" s="107"/>
      <c r="K5" s="1851"/>
      <c r="L5" s="1127"/>
      <c r="M5" s="674"/>
      <c r="N5" s="675"/>
      <c r="O5" s="676"/>
      <c r="P5" s="674"/>
      <c r="Q5" s="677"/>
    </row>
    <row r="6" spans="1:17" ht="4.9000000000000004" customHeight="1" x14ac:dyDescent="0.25">
      <c r="A6" s="525"/>
      <c r="B6" s="369"/>
      <c r="C6" s="600"/>
      <c r="D6" s="600"/>
      <c r="E6" s="600"/>
      <c r="F6" s="600"/>
      <c r="G6" s="600"/>
      <c r="H6" s="191"/>
      <c r="I6" s="107"/>
      <c r="J6" s="107"/>
      <c r="K6" s="1851"/>
      <c r="L6" s="1127"/>
      <c r="M6" s="76"/>
      <c r="N6" s="75"/>
      <c r="O6" s="78"/>
      <c r="P6" s="76"/>
      <c r="Q6" s="77"/>
    </row>
    <row r="7" spans="1:17" ht="12.75" customHeight="1" x14ac:dyDescent="0.25">
      <c r="A7" s="1677"/>
      <c r="B7" s="1556"/>
      <c r="C7" s="1644"/>
      <c r="D7" s="1644"/>
      <c r="E7" s="1678"/>
      <c r="F7" s="1678"/>
      <c r="G7" s="1556"/>
      <c r="H7" s="1678"/>
      <c r="I7" s="1679"/>
      <c r="J7" s="1556"/>
      <c r="K7" s="1666"/>
      <c r="L7" s="1680"/>
      <c r="M7" s="1316"/>
      <c r="N7" s="1327"/>
      <c r="O7" s="1326"/>
      <c r="P7" s="1316"/>
      <c r="Q7" s="1325"/>
    </row>
    <row r="8" spans="1:17" ht="12.75" customHeight="1" x14ac:dyDescent="0.25">
      <c r="A8" s="1369"/>
      <c r="B8" s="1666"/>
      <c r="C8" s="1643"/>
      <c r="D8" s="1644"/>
      <c r="E8" s="1678"/>
      <c r="F8" s="1678"/>
      <c r="G8" s="1556"/>
      <c r="H8" s="1678"/>
      <c r="I8" s="1679"/>
      <c r="J8" s="1556"/>
      <c r="K8" s="1666"/>
      <c r="L8" s="1680"/>
      <c r="M8" s="1316"/>
      <c r="N8" s="1327"/>
      <c r="O8" s="1326"/>
      <c r="P8" s="1316"/>
      <c r="Q8" s="1325"/>
    </row>
    <row r="9" spans="1:17" ht="12.75" customHeight="1" x14ac:dyDescent="0.25">
      <c r="A9" s="1369"/>
      <c r="B9" s="1666"/>
      <c r="C9" s="1643"/>
      <c r="D9" s="1644"/>
      <c r="E9" s="1678"/>
      <c r="F9" s="1678"/>
      <c r="G9" s="1556"/>
      <c r="H9" s="1678"/>
      <c r="I9" s="1679"/>
      <c r="J9" s="1556"/>
      <c r="K9" s="1666"/>
      <c r="L9" s="1680"/>
      <c r="M9" s="1316"/>
      <c r="N9" s="1327"/>
      <c r="O9" s="1326"/>
      <c r="P9" s="1316"/>
      <c r="Q9" s="1325"/>
    </row>
    <row r="10" spans="1:17" ht="12.75" customHeight="1" x14ac:dyDescent="0.25">
      <c r="A10" s="1665"/>
      <c r="B10" s="1666"/>
      <c r="C10" s="1643"/>
      <c r="D10" s="1644"/>
      <c r="E10" s="1678"/>
      <c r="F10" s="1678"/>
      <c r="G10" s="1556"/>
      <c r="H10" s="1678"/>
      <c r="I10" s="1679"/>
      <c r="J10" s="1556"/>
      <c r="K10" s="1666"/>
      <c r="L10" s="1680"/>
      <c r="M10" s="1316"/>
      <c r="N10" s="1327"/>
      <c r="O10" s="1326"/>
      <c r="P10" s="1316"/>
      <c r="Q10" s="1325"/>
    </row>
    <row r="11" spans="1:17" ht="12.75" customHeight="1" x14ac:dyDescent="0.25">
      <c r="A11" s="1681"/>
      <c r="B11" s="1666"/>
      <c r="C11" s="1643"/>
      <c r="D11" s="1644"/>
      <c r="E11" s="1678"/>
      <c r="F11" s="1678"/>
      <c r="G11" s="1556"/>
      <c r="H11" s="1678"/>
      <c r="I11" s="1679"/>
      <c r="J11" s="1556"/>
      <c r="K11" s="1666"/>
      <c r="L11" s="1680"/>
      <c r="M11" s="1316"/>
      <c r="N11" s="1327"/>
      <c r="O11" s="1326"/>
      <c r="P11" s="1316"/>
      <c r="Q11" s="1325"/>
    </row>
    <row r="12" spans="1:17" ht="12.75" customHeight="1" x14ac:dyDescent="0.25">
      <c r="A12" s="1369"/>
      <c r="B12" s="1666"/>
      <c r="C12" s="1643"/>
      <c r="D12" s="1644"/>
      <c r="E12" s="1678"/>
      <c r="F12" s="1678"/>
      <c r="G12" s="1556"/>
      <c r="H12" s="1678"/>
      <c r="I12" s="1679"/>
      <c r="J12" s="1556"/>
      <c r="K12" s="1666"/>
      <c r="L12" s="1680"/>
      <c r="M12" s="1316"/>
      <c r="N12" s="1327"/>
      <c r="O12" s="1326"/>
      <c r="P12" s="1316"/>
      <c r="Q12" s="1325"/>
    </row>
    <row r="13" spans="1:17" ht="12.75" customHeight="1" x14ac:dyDescent="0.25">
      <c r="A13" s="1369"/>
      <c r="B13" s="1666"/>
      <c r="C13" s="1643"/>
      <c r="D13" s="1644"/>
      <c r="E13" s="1678"/>
      <c r="F13" s="1678"/>
      <c r="G13" s="1556"/>
      <c r="H13" s="1678"/>
      <c r="I13" s="1679"/>
      <c r="J13" s="1556"/>
      <c r="K13" s="1666"/>
      <c r="L13" s="1680"/>
      <c r="M13" s="1316"/>
      <c r="N13" s="1327"/>
      <c r="O13" s="1326"/>
      <c r="P13" s="1316"/>
      <c r="Q13" s="1325"/>
    </row>
    <row r="14" spans="1:17" ht="12.75" customHeight="1" x14ac:dyDescent="0.25">
      <c r="A14" s="1369"/>
      <c r="B14" s="1666"/>
      <c r="C14" s="1643"/>
      <c r="D14" s="1644"/>
      <c r="E14" s="1678"/>
      <c r="F14" s="1678"/>
      <c r="G14" s="1556"/>
      <c r="H14" s="1678"/>
      <c r="I14" s="1679"/>
      <c r="J14" s="1556"/>
      <c r="K14" s="1666"/>
      <c r="L14" s="1680"/>
      <c r="M14" s="1316"/>
      <c r="N14" s="1327"/>
      <c r="O14" s="1326"/>
      <c r="P14" s="1316"/>
      <c r="Q14" s="1325"/>
    </row>
    <row r="15" spans="1:17" ht="12.75" customHeight="1" x14ac:dyDescent="0.25">
      <c r="A15" s="1665"/>
      <c r="B15" s="1666"/>
      <c r="C15" s="1643"/>
      <c r="D15" s="1644"/>
      <c r="E15" s="1678"/>
      <c r="F15" s="1678"/>
      <c r="G15" s="1556"/>
      <c r="H15" s="1678"/>
      <c r="I15" s="1679"/>
      <c r="J15" s="1556"/>
      <c r="K15" s="1666"/>
      <c r="L15" s="1680"/>
      <c r="M15" s="1316"/>
      <c r="N15" s="1327"/>
      <c r="O15" s="1326"/>
      <c r="P15" s="1316"/>
      <c r="Q15" s="1325"/>
    </row>
    <row r="16" spans="1:17" ht="12.75" customHeight="1" x14ac:dyDescent="0.25">
      <c r="A16" s="1681"/>
      <c r="B16" s="1666"/>
      <c r="C16" s="1643"/>
      <c r="D16" s="1644"/>
      <c r="E16" s="1678"/>
      <c r="F16" s="1678"/>
      <c r="G16" s="1556"/>
      <c r="H16" s="1678"/>
      <c r="I16" s="1679"/>
      <c r="J16" s="1556"/>
      <c r="K16" s="1666"/>
      <c r="L16" s="1680"/>
      <c r="M16" s="1316"/>
      <c r="N16" s="1327"/>
      <c r="O16" s="1326"/>
      <c r="P16" s="1316"/>
      <c r="Q16" s="1325"/>
    </row>
    <row r="17" spans="1:17" ht="12.75" customHeight="1" x14ac:dyDescent="0.25">
      <c r="A17" s="1369"/>
      <c r="B17" s="1666"/>
      <c r="C17" s="1643"/>
      <c r="D17" s="1644"/>
      <c r="E17" s="1678"/>
      <c r="F17" s="1678"/>
      <c r="G17" s="1556"/>
      <c r="H17" s="1678"/>
      <c r="I17" s="1679"/>
      <c r="J17" s="1556"/>
      <c r="K17" s="1666"/>
      <c r="L17" s="1680"/>
      <c r="M17" s="1316"/>
      <c r="N17" s="1327"/>
      <c r="O17" s="1326"/>
      <c r="P17" s="1316"/>
      <c r="Q17" s="1325"/>
    </row>
    <row r="18" spans="1:17" ht="12.75" customHeight="1" x14ac:dyDescent="0.25">
      <c r="A18" s="1665"/>
      <c r="B18" s="1666"/>
      <c r="C18" s="1643"/>
      <c r="D18" s="1644"/>
      <c r="E18" s="1678"/>
      <c r="F18" s="1678"/>
      <c r="G18" s="1556"/>
      <c r="H18" s="1678"/>
      <c r="I18" s="1679"/>
      <c r="J18" s="1556"/>
      <c r="K18" s="1666"/>
      <c r="L18" s="1680"/>
      <c r="M18" s="1316"/>
      <c r="N18" s="1327"/>
      <c r="O18" s="1326"/>
      <c r="P18" s="1316"/>
      <c r="Q18" s="1325"/>
    </row>
    <row r="19" spans="1:17" ht="12.75" customHeight="1" x14ac:dyDescent="0.25">
      <c r="A19" s="1681"/>
      <c r="B19" s="1666"/>
      <c r="C19" s="1643"/>
      <c r="D19" s="1644"/>
      <c r="E19" s="1678"/>
      <c r="F19" s="1678"/>
      <c r="G19" s="1556"/>
      <c r="H19" s="1678"/>
      <c r="I19" s="1679"/>
      <c r="J19" s="1556"/>
      <c r="K19" s="1666"/>
      <c r="L19" s="1680"/>
      <c r="M19" s="1316"/>
      <c r="N19" s="1327"/>
      <c r="O19" s="1326"/>
      <c r="P19" s="1316"/>
      <c r="Q19" s="1325"/>
    </row>
    <row r="20" spans="1:17" ht="12.75" customHeight="1" x14ac:dyDescent="0.25">
      <c r="A20" s="1369"/>
      <c r="B20" s="1666"/>
      <c r="C20" s="1643"/>
      <c r="D20" s="1644"/>
      <c r="E20" s="1678"/>
      <c r="F20" s="1678"/>
      <c r="G20" s="1556"/>
      <c r="H20" s="1678"/>
      <c r="I20" s="1679"/>
      <c r="J20" s="1556"/>
      <c r="K20" s="1666"/>
      <c r="L20" s="1680"/>
      <c r="M20" s="1316"/>
      <c r="N20" s="1327"/>
      <c r="O20" s="1326"/>
      <c r="P20" s="1316"/>
      <c r="Q20" s="1325"/>
    </row>
    <row r="21" spans="1:17" ht="12.75" customHeight="1" x14ac:dyDescent="0.25">
      <c r="A21" s="1665"/>
      <c r="B21" s="1666"/>
      <c r="C21" s="1643"/>
      <c r="D21" s="1644"/>
      <c r="E21" s="1678"/>
      <c r="F21" s="1678"/>
      <c r="G21" s="1556"/>
      <c r="H21" s="1678"/>
      <c r="I21" s="1679"/>
      <c r="J21" s="1556"/>
      <c r="K21" s="1666"/>
      <c r="L21" s="1680"/>
      <c r="M21" s="1316"/>
      <c r="N21" s="1327"/>
      <c r="O21" s="1326"/>
      <c r="P21" s="1316"/>
      <c r="Q21" s="1325"/>
    </row>
    <row r="22" spans="1:17" ht="12.75" customHeight="1" x14ac:dyDescent="0.25">
      <c r="A22" s="1665"/>
      <c r="B22" s="1666"/>
      <c r="C22" s="924"/>
      <c r="D22" s="1644"/>
      <c r="E22" s="1678"/>
      <c r="F22" s="1678"/>
      <c r="G22" s="1556"/>
      <c r="H22" s="1678"/>
      <c r="I22" s="1679"/>
      <c r="J22" s="1556"/>
      <c r="K22" s="1666"/>
      <c r="L22" s="1680"/>
      <c r="M22" s="1316"/>
      <c r="N22" s="1327"/>
      <c r="O22" s="1326"/>
      <c r="P22" s="1316"/>
      <c r="Q22" s="1325"/>
    </row>
    <row r="23" spans="1:17" x14ac:dyDescent="0.25">
      <c r="A23" s="175" t="s">
        <v>2551</v>
      </c>
      <c r="B23" s="1067"/>
      <c r="C23" s="1068"/>
      <c r="D23" s="1068"/>
      <c r="E23" s="1068"/>
      <c r="F23" s="1068"/>
      <c r="G23" s="1068"/>
      <c r="H23" s="1069"/>
      <c r="I23" s="1070"/>
      <c r="J23" s="1070"/>
      <c r="K23" s="1075"/>
      <c r="L23" s="1852"/>
      <c r="M23" s="122">
        <f>SUM(M7:M22)</f>
        <v>0</v>
      </c>
      <c r="N23" s="121">
        <f>SUM(N7:N22)</f>
        <v>0</v>
      </c>
      <c r="O23" s="125">
        <f>SUM(O7:O22)</f>
        <v>0</v>
      </c>
      <c r="P23" s="122">
        <f>SUM(P7:P22)</f>
        <v>0</v>
      </c>
      <c r="Q23" s="507">
        <f>SUM(Q7:Q22)</f>
        <v>0</v>
      </c>
    </row>
    <row r="24" spans="1:17" x14ac:dyDescent="0.25">
      <c r="A24" s="525"/>
      <c r="B24" s="369"/>
      <c r="C24" s="600"/>
      <c r="D24" s="600"/>
      <c r="E24" s="600"/>
      <c r="F24" s="600"/>
      <c r="G24" s="600"/>
      <c r="H24" s="191"/>
      <c r="I24" s="107"/>
      <c r="J24" s="1854"/>
      <c r="K24" s="1851"/>
      <c r="L24" s="1127"/>
      <c r="M24" s="76"/>
      <c r="N24" s="75"/>
      <c r="O24" s="78"/>
      <c r="P24" s="76"/>
      <c r="Q24" s="77"/>
    </row>
    <row r="25" spans="1:17" x14ac:dyDescent="0.25">
      <c r="A25" s="118" t="s">
        <v>16</v>
      </c>
      <c r="B25" s="369"/>
      <c r="C25" s="600"/>
      <c r="D25" s="600"/>
      <c r="E25" s="600"/>
      <c r="F25" s="600"/>
      <c r="G25" s="600"/>
      <c r="H25" s="191"/>
      <c r="I25" s="107"/>
      <c r="J25" s="191"/>
      <c r="K25" s="1851"/>
      <c r="L25" s="1127"/>
      <c r="M25" s="76"/>
      <c r="N25" s="75"/>
      <c r="O25" s="78"/>
      <c r="P25" s="76"/>
      <c r="Q25" s="77"/>
    </row>
    <row r="26" spans="1:17" ht="11.25" customHeight="1" x14ac:dyDescent="0.25">
      <c r="A26" s="188" t="s">
        <v>2552</v>
      </c>
      <c r="B26" s="369"/>
      <c r="C26" s="600"/>
      <c r="D26" s="600"/>
      <c r="E26" s="600"/>
      <c r="F26" s="600"/>
      <c r="G26" s="600"/>
      <c r="H26" s="191"/>
      <c r="I26" s="107"/>
      <c r="J26" s="191"/>
      <c r="K26" s="1851"/>
      <c r="L26" s="1127"/>
      <c r="M26" s="153"/>
      <c r="N26" s="154"/>
      <c r="O26" s="155"/>
      <c r="P26" s="153"/>
      <c r="Q26" s="156"/>
    </row>
    <row r="27" spans="1:17" ht="4.9000000000000004" customHeight="1" x14ac:dyDescent="0.25">
      <c r="A27" s="525"/>
      <c r="B27" s="369"/>
      <c r="C27" s="600"/>
      <c r="D27" s="600"/>
      <c r="E27" s="600"/>
      <c r="F27" s="600"/>
      <c r="G27" s="600"/>
      <c r="H27" s="191"/>
      <c r="I27" s="107"/>
      <c r="J27" s="191"/>
      <c r="K27" s="1851"/>
      <c r="L27" s="1127"/>
      <c r="M27" s="76"/>
      <c r="N27" s="75"/>
      <c r="O27" s="78"/>
      <c r="P27" s="76"/>
      <c r="Q27" s="77"/>
    </row>
    <row r="28" spans="1:17" ht="11.25" customHeight="1" x14ac:dyDescent="0.25">
      <c r="A28" s="1681" t="s">
        <v>1324</v>
      </c>
      <c r="B28" s="1556"/>
      <c r="C28" s="1644"/>
      <c r="D28" s="1644"/>
      <c r="E28" s="1678"/>
      <c r="F28" s="1678"/>
      <c r="G28" s="1556"/>
      <c r="H28" s="1678"/>
      <c r="I28" s="1679"/>
      <c r="J28" s="1556"/>
      <c r="K28" s="1666"/>
      <c r="L28" s="1680"/>
      <c r="M28" s="1316"/>
      <c r="N28" s="1327"/>
      <c r="O28" s="1326"/>
      <c r="P28" s="1316"/>
      <c r="Q28" s="1325"/>
    </row>
    <row r="29" spans="1:17" ht="11.25" customHeight="1" x14ac:dyDescent="0.25">
      <c r="A29" s="1369" t="s">
        <v>1325</v>
      </c>
      <c r="B29" s="1666"/>
      <c r="C29" s="1643"/>
      <c r="D29" s="1644"/>
      <c r="E29" s="1678"/>
      <c r="F29" s="1678"/>
      <c r="G29" s="1556"/>
      <c r="H29" s="1678"/>
      <c r="I29" s="1679"/>
      <c r="J29" s="1556"/>
      <c r="K29" s="1666"/>
      <c r="L29" s="1680"/>
      <c r="M29" s="1316"/>
      <c r="N29" s="1327"/>
      <c r="O29" s="1326"/>
      <c r="P29" s="1316"/>
      <c r="Q29" s="1325"/>
    </row>
    <row r="30" spans="1:17" ht="4.9000000000000004" customHeight="1" x14ac:dyDescent="0.25">
      <c r="A30" s="1665"/>
      <c r="B30" s="1666"/>
      <c r="C30" s="1643"/>
      <c r="D30" s="1644"/>
      <c r="E30" s="1678"/>
      <c r="F30" s="1678"/>
      <c r="G30" s="1556"/>
      <c r="H30" s="1678"/>
      <c r="I30" s="1679"/>
      <c r="J30" s="1556"/>
      <c r="K30" s="1666"/>
      <c r="L30" s="1680"/>
      <c r="M30" s="1316"/>
      <c r="N30" s="1327"/>
      <c r="O30" s="1326"/>
      <c r="P30" s="1316"/>
      <c r="Q30" s="1325"/>
    </row>
    <row r="31" spans="1:17" ht="11.25" customHeight="1" x14ac:dyDescent="0.25">
      <c r="A31" s="1681" t="s">
        <v>1326</v>
      </c>
      <c r="B31" s="1666"/>
      <c r="C31" s="1643"/>
      <c r="D31" s="1644"/>
      <c r="E31" s="1678"/>
      <c r="F31" s="1678"/>
      <c r="G31" s="1556"/>
      <c r="H31" s="1678"/>
      <c r="I31" s="1679"/>
      <c r="J31" s="1556"/>
      <c r="K31" s="1666"/>
      <c r="L31" s="1680"/>
      <c r="M31" s="1316"/>
      <c r="N31" s="1327"/>
      <c r="O31" s="1326"/>
      <c r="P31" s="1316"/>
      <c r="Q31" s="1325"/>
    </row>
    <row r="32" spans="1:17" ht="11.25" customHeight="1" x14ac:dyDescent="0.25">
      <c r="A32" s="1369" t="s">
        <v>1327</v>
      </c>
      <c r="B32" s="1666"/>
      <c r="C32" s="1643"/>
      <c r="D32" s="1644"/>
      <c r="E32" s="1678"/>
      <c r="F32" s="1678"/>
      <c r="G32" s="1556"/>
      <c r="H32" s="1678"/>
      <c r="I32" s="1679"/>
      <c r="J32" s="1556"/>
      <c r="K32" s="1666"/>
      <c r="L32" s="1680"/>
      <c r="M32" s="1316"/>
      <c r="N32" s="1327"/>
      <c r="O32" s="1326"/>
      <c r="P32" s="1316"/>
      <c r="Q32" s="1325"/>
    </row>
    <row r="33" spans="1:17" ht="11.25" customHeight="1" x14ac:dyDescent="0.25">
      <c r="A33" s="1369"/>
      <c r="B33" s="1666"/>
      <c r="C33" s="1643"/>
      <c r="D33" s="1644"/>
      <c r="E33" s="1678"/>
      <c r="F33" s="1678"/>
      <c r="G33" s="1556"/>
      <c r="H33" s="1678"/>
      <c r="I33" s="1679"/>
      <c r="J33" s="1556"/>
      <c r="K33" s="1666"/>
      <c r="L33" s="1680"/>
      <c r="M33" s="1316"/>
      <c r="N33" s="1327"/>
      <c r="O33" s="1326"/>
      <c r="P33" s="1316"/>
      <c r="Q33" s="1325"/>
    </row>
    <row r="34" spans="1:17" ht="11.25" customHeight="1" x14ac:dyDescent="0.25">
      <c r="A34" s="1369"/>
      <c r="B34" s="1666"/>
      <c r="C34" s="924"/>
      <c r="D34" s="1644"/>
      <c r="E34" s="1678"/>
      <c r="F34" s="1678"/>
      <c r="G34" s="1556"/>
      <c r="H34" s="1678"/>
      <c r="I34" s="1679"/>
      <c r="J34" s="1556"/>
      <c r="K34" s="1666"/>
      <c r="L34" s="1680"/>
      <c r="M34" s="1316"/>
      <c r="N34" s="1327"/>
      <c r="O34" s="1326"/>
      <c r="P34" s="1316"/>
      <c r="Q34" s="1325"/>
    </row>
    <row r="35" spans="1:17" ht="11.25" customHeight="1" x14ac:dyDescent="0.25">
      <c r="A35" s="1665"/>
      <c r="B35" s="1666"/>
      <c r="C35" s="924"/>
      <c r="D35" s="1644"/>
      <c r="E35" s="1678"/>
      <c r="F35" s="1678"/>
      <c r="G35" s="1556"/>
      <c r="H35" s="1678"/>
      <c r="I35" s="1679"/>
      <c r="J35" s="1556"/>
      <c r="K35" s="1666"/>
      <c r="L35" s="1680"/>
      <c r="M35" s="1316"/>
      <c r="N35" s="1327"/>
      <c r="O35" s="1326"/>
      <c r="P35" s="1316"/>
      <c r="Q35" s="1325"/>
    </row>
    <row r="36" spans="1:17" x14ac:dyDescent="0.25">
      <c r="A36" s="1069" t="s">
        <v>2502</v>
      </c>
      <c r="B36" s="1074"/>
      <c r="C36" s="1075"/>
      <c r="D36" s="1075"/>
      <c r="E36" s="1075"/>
      <c r="F36" s="1075"/>
      <c r="G36" s="1075"/>
      <c r="H36" s="1075"/>
      <c r="I36" s="1075"/>
      <c r="J36" s="1075"/>
      <c r="K36" s="1075"/>
      <c r="L36" s="1071"/>
      <c r="M36" s="122">
        <f>SUM(M28:M35)</f>
        <v>0</v>
      </c>
      <c r="N36" s="507">
        <f>SUM(N28:N35)</f>
        <v>0</v>
      </c>
      <c r="O36" s="125">
        <f>SUM(O28:O35)</f>
        <v>0</v>
      </c>
      <c r="P36" s="122">
        <f>SUM(P28:P35)</f>
        <v>0</v>
      </c>
      <c r="Q36" s="507">
        <f>SUM(Q28:Q35)</f>
        <v>0</v>
      </c>
    </row>
    <row r="37" spans="1:17" x14ac:dyDescent="0.25">
      <c r="A37" s="1069" t="s">
        <v>2503</v>
      </c>
      <c r="B37" s="1074"/>
      <c r="C37" s="1075"/>
      <c r="D37" s="1075"/>
      <c r="E37" s="1075"/>
      <c r="F37" s="1075"/>
      <c r="G37" s="1075"/>
      <c r="H37" s="1075"/>
      <c r="I37" s="1075"/>
      <c r="J37" s="1075"/>
      <c r="K37" s="1075"/>
      <c r="L37" s="1071"/>
      <c r="M37" s="95">
        <f>SUM(M7:M22)+SUM(M28:M35)</f>
        <v>0</v>
      </c>
      <c r="N37" s="474">
        <f>SUM(N7:N22)+SUM(N28:N35)</f>
        <v>0</v>
      </c>
      <c r="O37" s="98">
        <f>SUM(O7:O22)+SUM(O28:O35)</f>
        <v>0</v>
      </c>
      <c r="P37" s="95">
        <f>SUM(P7:P22)+SUM(P28:P35)</f>
        <v>0</v>
      </c>
      <c r="Q37" s="474">
        <f>SUM(Q7:Q22)+SUM(Q28:Q35)</f>
        <v>0</v>
      </c>
    </row>
    <row r="38" spans="1:17" s="464" customFormat="1" ht="11.25" customHeight="1" x14ac:dyDescent="0.25">
      <c r="A38" s="101" t="str">
        <f>head27a</f>
        <v>References</v>
      </c>
    </row>
    <row r="39" spans="1:17" s="464" customFormat="1" ht="11.25" customHeight="1" x14ac:dyDescent="0.25">
      <c r="A39" s="132" t="s">
        <v>2557</v>
      </c>
    </row>
    <row r="40" spans="1:17" s="464" customFormat="1" ht="11.25" customHeight="1" x14ac:dyDescent="0.25">
      <c r="A40" s="25" t="s">
        <v>2553</v>
      </c>
    </row>
    <row r="41" spans="1:17" s="464" customFormat="1" ht="11.25" customHeight="1" x14ac:dyDescent="0.25">
      <c r="A41" s="25" t="s">
        <v>2529</v>
      </c>
    </row>
    <row r="42" spans="1:17" ht="11.25" customHeight="1" x14ac:dyDescent="0.25">
      <c r="A42" s="25" t="s">
        <v>2556</v>
      </c>
      <c r="L42" s="25" t="s">
        <v>1354</v>
      </c>
      <c r="M42" s="75">
        <f>+'A4-FinPerf RE'!E35-'SA38'!M37</f>
        <v>419517289</v>
      </c>
      <c r="N42" s="75">
        <f>+'A4-FinPerf RE'!H35-'SA38'!N37</f>
        <v>381311977.60509163</v>
      </c>
      <c r="O42" s="75">
        <f>+'A4-FinPerf RE'!J35-'SA38'!O37</f>
        <v>392659855.62979996</v>
      </c>
      <c r="P42" s="75">
        <f>+'A4-FinPerf RE'!K35-'SA38'!P37</f>
        <v>416219446.96758795</v>
      </c>
      <c r="Q42" s="75">
        <f>+'A4-FinPerf RE'!L35-'SA38'!Q37</f>
        <v>441192613.78564328</v>
      </c>
    </row>
    <row r="43" spans="1:17" x14ac:dyDescent="0.25">
      <c r="J43" s="75"/>
    </row>
    <row r="45" spans="1:17" ht="11.25" customHeight="1" x14ac:dyDescent="0.25"/>
    <row r="46" spans="1:17" ht="11.25" customHeight="1" x14ac:dyDescent="0.25"/>
    <row r="47" spans="1:17" ht="11.25" customHeight="1" x14ac:dyDescent="0.25"/>
    <row r="48" spans="1:17"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70" ht="11.25" customHeight="1" x14ac:dyDescent="0.25"/>
    <row r="71" ht="2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sheetData>
  <mergeCells count="2">
    <mergeCell ref="M2:N2"/>
    <mergeCell ref="O2:Q2"/>
  </mergeCells>
  <dataValidations disablePrompts="1" count="5">
    <dataValidation type="list" allowBlank="1" showInputMessage="1" showErrorMessage="1" promptTitle="Select Asset Class" prompt="Select asset class from list" sqref="H28:H35 H7:H22" xr:uid="{00000000-0002-0000-3F00-000000000000}">
      <formula1>asset_class1</formula1>
    </dataValidation>
    <dataValidation type="list" allowBlank="1" showInputMessage="1" showErrorMessage="1" promptTitle="Select Asset Sub-Class" prompt="Select asset sub class from list" sqref="I28:I35 I7:I22" xr:uid="{00000000-0002-0000-3F00-000001000000}">
      <formula1>asset_subclass1</formula1>
    </dataValidation>
    <dataValidation type="list" allowBlank="1" showInputMessage="1" showErrorMessage="1" promptTitle="Select MTSF Service Outcome" prompt="Select MTSF from list" sqref="E28:E35 E7:E22" xr:uid="{00000000-0002-0000-3F00-000002000000}">
      <formula1>MTSF</formula1>
    </dataValidation>
    <dataValidation type="list" allowBlank="1" showInputMessage="1" showErrorMessage="1" promptTitle="Select IUDF" prompt="Select IUDF from list" sqref="F7:F22 F28:F35" xr:uid="{00000000-0002-0000-3F00-000003000000}">
      <formula1>IUDF</formula1>
    </dataValidation>
    <dataValidation type="list" allowBlank="1" showInputMessage="1" showErrorMessage="1" sqref="D7:D22 D28:D35" xr:uid="{00000000-0002-0000-3F00-000004000000}">
      <formula1>"Corrective Maintenance,Preventative Maintenance,Work streams,New,Renewal,Upgrading"</formula1>
    </dataValidation>
  </dataValidations>
  <printOptions horizontalCentered="1"/>
  <pageMargins left="0" right="0" top="0.78740157480314965" bottom="0.59055118110236227" header="0.51181102362204722" footer="0.39370078740157483"/>
  <pageSetup paperSize="9" scale="62" orientation="landscape"/>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
  <dimension ref="A1:W2876"/>
  <sheetViews>
    <sheetView view="pageBreakPreview" topLeftCell="A2843" zoomScale="90" zoomScaleNormal="100" zoomScaleSheetLayoutView="90" workbookViewId="0">
      <selection activeCell="G2875" sqref="G2875"/>
    </sheetView>
  </sheetViews>
  <sheetFormatPr defaultColWidth="8.7109375" defaultRowHeight="12.75" x14ac:dyDescent="0.2"/>
  <cols>
    <col min="1" max="5" width="8.7109375" customWidth="1"/>
    <col min="6" max="6" width="62.28515625" customWidth="1"/>
    <col min="7" max="22" width="13.7109375" customWidth="1"/>
  </cols>
  <sheetData>
    <row r="1" spans="1:23" x14ac:dyDescent="0.2">
      <c r="A1" s="2" t="s">
        <v>2249</v>
      </c>
      <c r="B1" s="2" t="s">
        <v>2250</v>
      </c>
      <c r="C1" s="2" t="s">
        <v>2251</v>
      </c>
      <c r="D1" s="2" t="s">
        <v>2252</v>
      </c>
      <c r="E1" s="2" t="s">
        <v>2253</v>
      </c>
      <c r="F1" s="2" t="s">
        <v>2254</v>
      </c>
      <c r="G1" s="2"/>
      <c r="H1" s="2"/>
      <c r="I1" s="2"/>
      <c r="J1" s="2"/>
      <c r="K1" s="2"/>
      <c r="L1" s="2"/>
      <c r="M1" s="2"/>
      <c r="N1" s="2"/>
      <c r="O1" s="2"/>
      <c r="P1" s="2"/>
      <c r="Q1" s="2"/>
      <c r="R1" s="2"/>
      <c r="S1" s="2"/>
      <c r="T1" s="2"/>
      <c r="U1" s="2"/>
      <c r="V1" s="2"/>
      <c r="W1" t="s">
        <v>2089</v>
      </c>
    </row>
    <row r="2" spans="1:23" ht="13.15" customHeight="1" x14ac:dyDescent="0.2">
      <c r="A2" s="2" t="s">
        <v>2087</v>
      </c>
      <c r="B2" s="2">
        <f t="shared" ref="B2:B65" si="0">+MTREF</f>
        <v>2019</v>
      </c>
      <c r="C2" s="2" t="str">
        <f t="shared" ref="C2:C65" si="1">LEFT(muni,(FIND(" ",muni,1)-1))</f>
        <v>EC101</v>
      </c>
      <c r="D2" s="1744" t="s">
        <v>2088</v>
      </c>
      <c r="E2" s="2">
        <v>1</v>
      </c>
      <c r="F2" s="2" t="s">
        <v>173</v>
      </c>
      <c r="G2" s="1745"/>
      <c r="H2" s="1745"/>
      <c r="I2" s="1745"/>
      <c r="J2" s="1745"/>
      <c r="K2" s="1745"/>
      <c r="L2" s="1745"/>
      <c r="M2" s="1745"/>
      <c r="N2" s="1745"/>
      <c r="O2" s="1745"/>
      <c r="P2" s="2"/>
      <c r="W2" t="s">
        <v>2089</v>
      </c>
    </row>
    <row r="3" spans="1:23" ht="13.15" customHeight="1" x14ac:dyDescent="0.2">
      <c r="A3" s="2" t="s">
        <v>2087</v>
      </c>
      <c r="B3" s="2">
        <f t="shared" si="0"/>
        <v>2019</v>
      </c>
      <c r="C3" s="2" t="str">
        <f t="shared" si="1"/>
        <v>EC101</v>
      </c>
      <c r="D3" s="1744" t="s">
        <v>2090</v>
      </c>
      <c r="E3" s="2">
        <v>2</v>
      </c>
      <c r="F3" s="2" t="s">
        <v>1635</v>
      </c>
      <c r="G3" s="1745"/>
      <c r="H3" s="1745"/>
      <c r="I3" s="1745"/>
      <c r="J3" s="1745"/>
      <c r="K3" s="1745"/>
      <c r="L3" s="1745"/>
      <c r="M3" s="1745"/>
      <c r="N3" s="1745"/>
      <c r="O3" s="1745"/>
      <c r="P3" s="2"/>
      <c r="W3" t="s">
        <v>2089</v>
      </c>
    </row>
    <row r="4" spans="1:23" ht="13.15" customHeight="1" x14ac:dyDescent="0.2">
      <c r="A4" s="2" t="s">
        <v>2087</v>
      </c>
      <c r="B4" s="2">
        <f t="shared" si="0"/>
        <v>2019</v>
      </c>
      <c r="C4" s="2" t="str">
        <f t="shared" si="1"/>
        <v>EC101</v>
      </c>
      <c r="D4" s="1744" t="s">
        <v>2091</v>
      </c>
      <c r="E4" s="2">
        <v>3</v>
      </c>
      <c r="F4" s="2" t="s">
        <v>1466</v>
      </c>
      <c r="G4" s="1745"/>
      <c r="H4" s="1745"/>
      <c r="I4" s="1745"/>
      <c r="J4" s="1745"/>
      <c r="K4" s="1745"/>
      <c r="L4" s="1745"/>
      <c r="M4" s="1745"/>
      <c r="N4" s="1745"/>
      <c r="O4" s="1745"/>
      <c r="P4" s="2"/>
      <c r="W4" t="s">
        <v>2089</v>
      </c>
    </row>
    <row r="5" spans="1:23" ht="13.15" customHeight="1" x14ac:dyDescent="0.2">
      <c r="A5" s="2" t="s">
        <v>2087</v>
      </c>
      <c r="B5" s="2">
        <f t="shared" si="0"/>
        <v>2019</v>
      </c>
      <c r="C5" s="2" t="str">
        <f t="shared" si="1"/>
        <v>EC101</v>
      </c>
      <c r="D5" s="1744" t="s">
        <v>2092</v>
      </c>
      <c r="E5" s="2">
        <v>4</v>
      </c>
      <c r="F5" s="2" t="s">
        <v>1634</v>
      </c>
      <c r="G5" s="1745"/>
      <c r="H5" s="1745"/>
      <c r="I5" s="1745"/>
      <c r="J5" s="1745"/>
      <c r="K5" s="1745"/>
      <c r="L5" s="1745"/>
      <c r="M5" s="1745"/>
      <c r="N5" s="1745"/>
      <c r="O5" s="1745"/>
      <c r="P5" s="2"/>
      <c r="W5" t="s">
        <v>2089</v>
      </c>
    </row>
    <row r="6" spans="1:23" ht="13.15" customHeight="1" x14ac:dyDescent="0.2">
      <c r="A6" s="2" t="s">
        <v>2087</v>
      </c>
      <c r="B6" s="2">
        <f t="shared" si="0"/>
        <v>2019</v>
      </c>
      <c r="C6" s="2" t="str">
        <f t="shared" si="1"/>
        <v>EC101</v>
      </c>
      <c r="D6" s="1744" t="s">
        <v>2093</v>
      </c>
      <c r="E6" s="2">
        <v>5</v>
      </c>
      <c r="F6" s="2" t="s">
        <v>112</v>
      </c>
      <c r="G6" s="1745"/>
      <c r="H6" s="1745"/>
      <c r="I6" s="1745"/>
      <c r="J6" s="1745"/>
      <c r="K6" s="1745"/>
      <c r="L6" s="1745"/>
      <c r="M6" s="1745"/>
      <c r="N6" s="1745"/>
      <c r="O6" s="1745"/>
      <c r="P6" s="2"/>
      <c r="W6" t="s">
        <v>2089</v>
      </c>
    </row>
    <row r="7" spans="1:23" ht="13.15" customHeight="1" x14ac:dyDescent="0.2">
      <c r="A7" s="2" t="s">
        <v>2087</v>
      </c>
      <c r="B7" s="2">
        <f t="shared" si="0"/>
        <v>2019</v>
      </c>
      <c r="C7" s="2" t="str">
        <f t="shared" si="1"/>
        <v>EC101</v>
      </c>
      <c r="D7" s="1744" t="s">
        <v>2094</v>
      </c>
      <c r="E7" s="2">
        <v>6</v>
      </c>
      <c r="F7" s="2" t="s">
        <v>113</v>
      </c>
      <c r="G7" s="1745"/>
      <c r="H7" s="1745"/>
      <c r="I7" s="1745"/>
      <c r="J7" s="1745"/>
      <c r="K7" s="1745"/>
      <c r="L7" s="1745"/>
      <c r="M7" s="1745"/>
      <c r="N7" s="1745"/>
      <c r="O7" s="1745"/>
      <c r="P7" s="2"/>
      <c r="W7" t="s">
        <v>2089</v>
      </c>
    </row>
    <row r="8" spans="1:23" ht="13.15" customHeight="1" x14ac:dyDescent="0.2">
      <c r="A8" s="2" t="s">
        <v>2087</v>
      </c>
      <c r="B8" s="2">
        <f t="shared" si="0"/>
        <v>2019</v>
      </c>
      <c r="C8" s="2" t="str">
        <f t="shared" si="1"/>
        <v>EC101</v>
      </c>
      <c r="D8" s="1744" t="s">
        <v>2095</v>
      </c>
      <c r="E8" s="2">
        <v>7</v>
      </c>
      <c r="F8" s="2" t="s">
        <v>324</v>
      </c>
      <c r="G8" s="1745"/>
      <c r="H8" s="1745"/>
      <c r="I8" s="1745"/>
      <c r="J8" s="1745"/>
      <c r="K8" s="1745"/>
      <c r="L8" s="1745"/>
      <c r="M8" s="1745"/>
      <c r="N8" s="1745"/>
      <c r="O8" s="1745"/>
      <c r="P8" s="2"/>
      <c r="W8" t="s">
        <v>2089</v>
      </c>
    </row>
    <row r="9" spans="1:23" ht="13.15" customHeight="1" x14ac:dyDescent="0.2">
      <c r="A9" s="2" t="s">
        <v>2087</v>
      </c>
      <c r="B9" s="2">
        <f t="shared" si="0"/>
        <v>2019</v>
      </c>
      <c r="C9" s="2" t="str">
        <f t="shared" si="1"/>
        <v>EC101</v>
      </c>
      <c r="D9" s="1744" t="s">
        <v>2096</v>
      </c>
      <c r="E9" s="2">
        <v>8</v>
      </c>
      <c r="F9" s="2" t="s">
        <v>437</v>
      </c>
      <c r="G9" s="1745"/>
      <c r="H9" s="1745"/>
      <c r="I9" s="1745"/>
      <c r="J9" s="1745"/>
      <c r="K9" s="1745"/>
      <c r="L9" s="1745"/>
      <c r="M9" s="1745"/>
      <c r="N9" s="1745"/>
      <c r="O9" s="1745"/>
      <c r="P9" s="2"/>
      <c r="W9" t="s">
        <v>2089</v>
      </c>
    </row>
    <row r="10" spans="1:23" ht="13.15" customHeight="1" x14ac:dyDescent="0.2">
      <c r="A10" s="2" t="s">
        <v>2087</v>
      </c>
      <c r="B10" s="2">
        <f t="shared" si="0"/>
        <v>2019</v>
      </c>
      <c r="C10" s="2" t="str">
        <f t="shared" si="1"/>
        <v>EC101</v>
      </c>
      <c r="D10" s="1744" t="s">
        <v>2097</v>
      </c>
      <c r="E10" s="2">
        <v>9</v>
      </c>
      <c r="F10" s="2" t="s">
        <v>438</v>
      </c>
      <c r="G10" s="1745"/>
      <c r="H10" s="1745"/>
      <c r="I10" s="1745"/>
      <c r="J10" s="1745"/>
      <c r="K10" s="1745"/>
      <c r="L10" s="1745"/>
      <c r="M10" s="1745"/>
      <c r="N10" s="1745"/>
      <c r="O10" s="1745"/>
      <c r="P10" s="2"/>
      <c r="W10" t="s">
        <v>2089</v>
      </c>
    </row>
    <row r="11" spans="1:23" ht="13.15" customHeight="1" x14ac:dyDescent="0.2">
      <c r="A11" s="2" t="s">
        <v>2087</v>
      </c>
      <c r="B11" s="2">
        <f t="shared" si="0"/>
        <v>2019</v>
      </c>
      <c r="C11" s="2" t="str">
        <f t="shared" si="1"/>
        <v>EC101</v>
      </c>
      <c r="D11" s="1744" t="s">
        <v>2098</v>
      </c>
      <c r="E11" s="2">
        <v>10</v>
      </c>
      <c r="F11" s="2" t="s">
        <v>850</v>
      </c>
      <c r="G11" s="1745"/>
      <c r="H11" s="1745"/>
      <c r="I11" s="1745"/>
      <c r="J11" s="1745"/>
      <c r="K11" s="1745"/>
      <c r="L11" s="1745"/>
      <c r="M11" s="1745"/>
      <c r="N11" s="1745"/>
      <c r="O11" s="1745"/>
      <c r="P11" s="2"/>
      <c r="W11" t="s">
        <v>2089</v>
      </c>
    </row>
    <row r="12" spans="1:23" ht="13.15" customHeight="1" x14ac:dyDescent="0.2">
      <c r="A12" s="2" t="s">
        <v>2087</v>
      </c>
      <c r="B12" s="2">
        <f t="shared" si="0"/>
        <v>2019</v>
      </c>
      <c r="C12" s="2" t="str">
        <f t="shared" si="1"/>
        <v>EC101</v>
      </c>
      <c r="D12" s="1744" t="s">
        <v>2099</v>
      </c>
      <c r="E12" s="2">
        <v>11</v>
      </c>
      <c r="F12" s="2" t="s">
        <v>1141</v>
      </c>
      <c r="G12" s="1745"/>
      <c r="H12" s="1745"/>
      <c r="I12" s="1745"/>
      <c r="J12" s="1745"/>
      <c r="K12" s="1745"/>
      <c r="L12" s="1745"/>
      <c r="M12" s="1745"/>
      <c r="N12" s="1745"/>
      <c r="O12" s="1745"/>
      <c r="P12" s="2"/>
      <c r="W12" t="s">
        <v>2089</v>
      </c>
    </row>
    <row r="13" spans="1:23" ht="13.15" customHeight="1" x14ac:dyDescent="0.2">
      <c r="A13" s="2" t="s">
        <v>2087</v>
      </c>
      <c r="B13" s="2">
        <f t="shared" si="0"/>
        <v>2019</v>
      </c>
      <c r="C13" s="2" t="str">
        <f t="shared" si="1"/>
        <v>EC101</v>
      </c>
      <c r="D13" s="1744" t="s">
        <v>2100</v>
      </c>
      <c r="E13" s="2">
        <v>12</v>
      </c>
      <c r="F13" s="2" t="s">
        <v>1177</v>
      </c>
      <c r="G13" s="1745"/>
      <c r="H13" s="1745"/>
      <c r="I13" s="1745"/>
      <c r="J13" s="1745"/>
      <c r="K13" s="1745"/>
      <c r="L13" s="1745"/>
      <c r="M13" s="1745"/>
      <c r="N13" s="1745"/>
      <c r="O13" s="1745"/>
      <c r="P13" s="2"/>
      <c r="W13" t="s">
        <v>2089</v>
      </c>
    </row>
    <row r="14" spans="1:23" ht="13.15" customHeight="1" x14ac:dyDescent="0.2">
      <c r="A14" s="2" t="s">
        <v>2087</v>
      </c>
      <c r="B14" s="2">
        <f t="shared" si="0"/>
        <v>2019</v>
      </c>
      <c r="C14" s="2" t="str">
        <f t="shared" si="1"/>
        <v>EC101</v>
      </c>
      <c r="D14" s="1744" t="s">
        <v>2101</v>
      </c>
      <c r="E14" s="2">
        <v>13</v>
      </c>
      <c r="F14" s="2" t="s">
        <v>1178</v>
      </c>
      <c r="G14" s="1745"/>
      <c r="H14" s="1745"/>
      <c r="I14" s="1745"/>
      <c r="J14" s="1745"/>
      <c r="K14" s="1745"/>
      <c r="L14" s="1745"/>
      <c r="M14" s="1745"/>
      <c r="N14" s="1745"/>
      <c r="O14" s="1745"/>
      <c r="P14" s="2"/>
      <c r="W14" t="s">
        <v>2089</v>
      </c>
    </row>
    <row r="15" spans="1:23" ht="13.15" customHeight="1" x14ac:dyDescent="0.2">
      <c r="A15" s="2" t="s">
        <v>2087</v>
      </c>
      <c r="B15" s="2">
        <f t="shared" si="0"/>
        <v>2019</v>
      </c>
      <c r="C15" s="2" t="str">
        <f t="shared" si="1"/>
        <v>EC101</v>
      </c>
      <c r="D15" s="1744" t="s">
        <v>2102</v>
      </c>
      <c r="E15" s="2">
        <v>14</v>
      </c>
      <c r="F15" s="2" t="s">
        <v>1179</v>
      </c>
      <c r="G15" s="1745"/>
      <c r="H15" s="1745"/>
      <c r="I15" s="1745"/>
      <c r="J15" s="1745"/>
      <c r="K15" s="1745"/>
      <c r="L15" s="1745"/>
      <c r="M15" s="1745"/>
      <c r="N15" s="1745"/>
      <c r="O15" s="1745"/>
      <c r="P15" s="2"/>
      <c r="W15" t="s">
        <v>2089</v>
      </c>
    </row>
    <row r="16" spans="1:23" ht="13.15" customHeight="1" x14ac:dyDescent="0.2">
      <c r="A16" s="2" t="s">
        <v>2087</v>
      </c>
      <c r="B16" s="2">
        <f t="shared" si="0"/>
        <v>2019</v>
      </c>
      <c r="C16" s="2" t="str">
        <f t="shared" si="1"/>
        <v>EC101</v>
      </c>
      <c r="D16" s="1744" t="s">
        <v>2103</v>
      </c>
      <c r="E16" s="2">
        <v>15</v>
      </c>
      <c r="F16" s="2" t="s">
        <v>1180</v>
      </c>
      <c r="G16" s="1745"/>
      <c r="H16" s="1745"/>
      <c r="I16" s="1745"/>
      <c r="J16" s="1745"/>
      <c r="K16" s="1745"/>
      <c r="L16" s="1745"/>
      <c r="M16" s="1745"/>
      <c r="N16" s="1745"/>
      <c r="O16" s="1745"/>
      <c r="P16" s="2"/>
      <c r="W16" t="s">
        <v>2089</v>
      </c>
    </row>
    <row r="17" spans="1:23" ht="13.15" customHeight="1" x14ac:dyDescent="0.2">
      <c r="A17" s="2" t="s">
        <v>2087</v>
      </c>
      <c r="B17" s="2">
        <f t="shared" si="0"/>
        <v>2019</v>
      </c>
      <c r="C17" s="2" t="str">
        <f t="shared" si="1"/>
        <v>EC101</v>
      </c>
      <c r="D17" s="1744" t="s">
        <v>2104</v>
      </c>
      <c r="E17" s="2">
        <v>16</v>
      </c>
      <c r="F17" s="2" t="s">
        <v>1247</v>
      </c>
      <c r="G17" s="1745"/>
      <c r="H17" s="1745"/>
      <c r="I17" s="1745"/>
      <c r="J17" s="1745"/>
      <c r="K17" s="1745"/>
      <c r="L17" s="1745"/>
      <c r="M17" s="1745"/>
      <c r="N17" s="1745"/>
      <c r="O17" s="1745"/>
      <c r="P17" s="2"/>
      <c r="W17" t="s">
        <v>2089</v>
      </c>
    </row>
    <row r="18" spans="1:23" ht="13.15" customHeight="1" x14ac:dyDescent="0.2">
      <c r="A18" s="2" t="s">
        <v>2087</v>
      </c>
      <c r="B18" s="2">
        <f t="shared" si="0"/>
        <v>2019</v>
      </c>
      <c r="C18" s="2" t="str">
        <f t="shared" si="1"/>
        <v>EC101</v>
      </c>
      <c r="D18" s="1744" t="s">
        <v>2105</v>
      </c>
      <c r="E18" s="2">
        <v>17</v>
      </c>
      <c r="F18" s="2" t="s">
        <v>212</v>
      </c>
      <c r="G18" s="1745"/>
      <c r="H18" s="1745"/>
      <c r="I18" s="1745"/>
      <c r="J18" s="1745"/>
      <c r="K18" s="1745"/>
      <c r="L18" s="1745"/>
      <c r="M18" s="1745"/>
      <c r="N18" s="1745"/>
      <c r="O18" s="1745"/>
      <c r="P18" s="2"/>
      <c r="W18" t="s">
        <v>2089</v>
      </c>
    </row>
    <row r="19" spans="1:23" ht="13.15" customHeight="1" x14ac:dyDescent="0.2">
      <c r="A19" s="2" t="s">
        <v>2087</v>
      </c>
      <c r="B19" s="2">
        <f t="shared" si="0"/>
        <v>2019</v>
      </c>
      <c r="C19" s="2" t="str">
        <f t="shared" si="1"/>
        <v>EC101</v>
      </c>
      <c r="D19" s="1744" t="s">
        <v>2106</v>
      </c>
      <c r="E19" s="2">
        <v>18</v>
      </c>
      <c r="F19" s="2" t="s">
        <v>214</v>
      </c>
      <c r="G19" s="1745"/>
      <c r="H19" s="1745"/>
      <c r="I19" s="1745"/>
      <c r="J19" s="1745"/>
      <c r="K19" s="1745"/>
      <c r="L19" s="1745"/>
      <c r="M19" s="1745"/>
      <c r="N19" s="1745"/>
      <c r="O19" s="1745"/>
      <c r="P19" s="2"/>
      <c r="W19" t="s">
        <v>2089</v>
      </c>
    </row>
    <row r="20" spans="1:23" ht="13.15" customHeight="1" x14ac:dyDescent="0.2">
      <c r="A20" s="2" t="s">
        <v>2087</v>
      </c>
      <c r="B20" s="2">
        <f t="shared" si="0"/>
        <v>2019</v>
      </c>
      <c r="C20" s="2" t="str">
        <f t="shared" si="1"/>
        <v>EC101</v>
      </c>
      <c r="D20" s="1744" t="s">
        <v>2107</v>
      </c>
      <c r="E20" s="2">
        <v>19</v>
      </c>
      <c r="F20" s="2" t="s">
        <v>324</v>
      </c>
      <c r="G20" s="1745"/>
      <c r="H20" s="1745"/>
      <c r="I20" s="1745"/>
      <c r="J20" s="1745"/>
      <c r="K20" s="1745"/>
      <c r="L20" s="1745"/>
      <c r="M20" s="1745"/>
      <c r="N20" s="1745"/>
      <c r="O20" s="1745"/>
      <c r="P20" s="2"/>
      <c r="W20" t="s">
        <v>2089</v>
      </c>
    </row>
    <row r="21" spans="1:23" ht="13.15" customHeight="1" x14ac:dyDescent="0.2">
      <c r="A21" s="2" t="s">
        <v>2087</v>
      </c>
      <c r="B21" s="2">
        <f t="shared" si="0"/>
        <v>2019</v>
      </c>
      <c r="C21" s="2" t="str">
        <f t="shared" si="1"/>
        <v>EC101</v>
      </c>
      <c r="D21" s="1744" t="s">
        <v>2108</v>
      </c>
      <c r="E21" s="2">
        <v>20</v>
      </c>
      <c r="F21" s="2" t="s">
        <v>213</v>
      </c>
      <c r="G21" s="1745"/>
      <c r="H21" s="1745"/>
      <c r="I21" s="1745"/>
      <c r="J21" s="1745"/>
      <c r="K21" s="1745"/>
      <c r="L21" s="1745"/>
      <c r="M21" s="1745"/>
      <c r="N21" s="1745"/>
      <c r="O21" s="1745"/>
      <c r="P21" s="2"/>
      <c r="W21" t="s">
        <v>2089</v>
      </c>
    </row>
    <row r="22" spans="1:23" ht="13.15" customHeight="1" x14ac:dyDescent="0.2">
      <c r="A22" s="2" t="s">
        <v>2087</v>
      </c>
      <c r="B22" s="2">
        <f t="shared" si="0"/>
        <v>2019</v>
      </c>
      <c r="C22" s="2" t="str">
        <f t="shared" si="1"/>
        <v>EC101</v>
      </c>
      <c r="D22" s="1744" t="s">
        <v>2109</v>
      </c>
      <c r="E22" s="2">
        <v>21</v>
      </c>
      <c r="F22" s="2" t="s">
        <v>1087</v>
      </c>
      <c r="G22" s="1745"/>
      <c r="H22" s="1745"/>
      <c r="I22" s="1745"/>
      <c r="J22" s="1745"/>
      <c r="K22" s="1745"/>
      <c r="L22" s="1745"/>
      <c r="M22" s="1745"/>
      <c r="N22" s="1745"/>
      <c r="O22" s="1745"/>
      <c r="P22" s="2"/>
      <c r="W22" t="s">
        <v>2089</v>
      </c>
    </row>
    <row r="23" spans="1:23" ht="13.15" customHeight="1" x14ac:dyDescent="0.2">
      <c r="A23" s="2" t="s">
        <v>2087</v>
      </c>
      <c r="B23" s="2">
        <f t="shared" si="0"/>
        <v>2019</v>
      </c>
      <c r="C23" s="2" t="str">
        <f t="shared" si="1"/>
        <v>EC101</v>
      </c>
      <c r="D23" s="1744" t="s">
        <v>2110</v>
      </c>
      <c r="E23" s="2">
        <v>22</v>
      </c>
      <c r="F23" s="2" t="s">
        <v>1249</v>
      </c>
      <c r="G23" s="1745"/>
      <c r="H23" s="1745"/>
      <c r="I23" s="1745"/>
      <c r="J23" s="1745"/>
      <c r="K23" s="1745"/>
      <c r="L23" s="1745"/>
      <c r="M23" s="1745"/>
      <c r="N23" s="1745"/>
      <c r="O23" s="1745"/>
      <c r="P23" s="2"/>
      <c r="W23" t="s">
        <v>2089</v>
      </c>
    </row>
    <row r="24" spans="1:23" ht="13.15" customHeight="1" x14ac:dyDescent="0.2">
      <c r="A24" s="2" t="s">
        <v>2087</v>
      </c>
      <c r="B24" s="2">
        <f t="shared" si="0"/>
        <v>2019</v>
      </c>
      <c r="C24" s="2" t="str">
        <f t="shared" si="1"/>
        <v>EC101</v>
      </c>
      <c r="D24" s="1744" t="s">
        <v>2111</v>
      </c>
      <c r="E24" s="2">
        <v>23</v>
      </c>
      <c r="F24" s="2" t="s">
        <v>1141</v>
      </c>
      <c r="G24" s="1745"/>
      <c r="H24" s="1745"/>
      <c r="I24" s="1745"/>
      <c r="J24" s="1745"/>
      <c r="K24" s="1745"/>
      <c r="L24" s="1745"/>
      <c r="M24" s="1745"/>
      <c r="N24" s="1745"/>
      <c r="O24" s="1745"/>
      <c r="P24" s="2"/>
      <c r="W24" t="s">
        <v>2089</v>
      </c>
    </row>
    <row r="25" spans="1:23" ht="13.15" customHeight="1" x14ac:dyDescent="0.2">
      <c r="A25" s="2" t="s">
        <v>2087</v>
      </c>
      <c r="B25" s="2">
        <f t="shared" si="0"/>
        <v>2019</v>
      </c>
      <c r="C25" s="2" t="str">
        <f t="shared" si="1"/>
        <v>EC101</v>
      </c>
      <c r="D25" s="1744" t="s">
        <v>2112</v>
      </c>
      <c r="E25" s="2">
        <v>24</v>
      </c>
      <c r="F25" s="2" t="s">
        <v>1177</v>
      </c>
      <c r="G25" s="1745"/>
      <c r="H25" s="1745"/>
      <c r="I25" s="1745"/>
      <c r="J25" s="1745"/>
      <c r="K25" s="1745"/>
      <c r="L25" s="1745"/>
      <c r="M25" s="1745"/>
      <c r="N25" s="1745"/>
      <c r="O25" s="1745"/>
      <c r="P25" s="2"/>
      <c r="W25" t="s">
        <v>2089</v>
      </c>
    </row>
    <row r="26" spans="1:23" ht="13.15" customHeight="1" x14ac:dyDescent="0.2">
      <c r="A26" s="2" t="s">
        <v>2087</v>
      </c>
      <c r="B26" s="2">
        <f t="shared" si="0"/>
        <v>2019</v>
      </c>
      <c r="C26" s="2" t="str">
        <f t="shared" si="1"/>
        <v>EC101</v>
      </c>
      <c r="D26" s="1744" t="s">
        <v>2113</v>
      </c>
      <c r="E26" s="2">
        <v>25</v>
      </c>
      <c r="F26" s="2" t="s">
        <v>594</v>
      </c>
      <c r="G26" s="1745"/>
      <c r="H26" s="1745"/>
      <c r="I26" s="1745"/>
      <c r="J26" s="1745"/>
      <c r="K26" s="1745"/>
      <c r="L26" s="1745"/>
      <c r="M26" s="1745"/>
      <c r="N26" s="1745"/>
      <c r="O26" s="1745"/>
      <c r="P26" s="2"/>
      <c r="W26" t="s">
        <v>2089</v>
      </c>
    </row>
    <row r="27" spans="1:23" ht="13.15" customHeight="1" x14ac:dyDescent="0.2">
      <c r="A27" s="2" t="s">
        <v>2087</v>
      </c>
      <c r="B27" s="2">
        <f t="shared" si="0"/>
        <v>2019</v>
      </c>
      <c r="C27" s="2" t="str">
        <f t="shared" si="1"/>
        <v>EC101</v>
      </c>
      <c r="D27" s="1744" t="s">
        <v>2114</v>
      </c>
      <c r="E27" s="2">
        <v>26</v>
      </c>
      <c r="F27" s="2" t="s">
        <v>1088</v>
      </c>
      <c r="G27" s="1745"/>
      <c r="H27" s="1745"/>
      <c r="I27" s="1745"/>
      <c r="J27" s="1745"/>
      <c r="K27" s="1745"/>
      <c r="L27" s="1745"/>
      <c r="M27" s="1745"/>
      <c r="N27" s="1745"/>
      <c r="O27" s="1745"/>
      <c r="P27" s="2"/>
      <c r="W27" t="s">
        <v>2089</v>
      </c>
    </row>
    <row r="28" spans="1:23" ht="13.15" customHeight="1" x14ac:dyDescent="0.2">
      <c r="A28" s="2" t="s">
        <v>2087</v>
      </c>
      <c r="B28" s="2">
        <f t="shared" si="0"/>
        <v>2019</v>
      </c>
      <c r="C28" s="2" t="str">
        <f t="shared" si="1"/>
        <v>EC101</v>
      </c>
      <c r="D28" s="1744" t="s">
        <v>2115</v>
      </c>
      <c r="E28" s="2">
        <v>27</v>
      </c>
      <c r="F28" s="2" t="s">
        <v>439</v>
      </c>
      <c r="G28" s="1745"/>
      <c r="H28" s="1745"/>
      <c r="I28" s="1745"/>
      <c r="J28" s="1745"/>
      <c r="K28" s="1745"/>
      <c r="L28" s="1745"/>
      <c r="M28" s="1745"/>
      <c r="N28" s="1745"/>
      <c r="O28" s="1745"/>
      <c r="P28" s="2"/>
      <c r="W28" t="s">
        <v>2089</v>
      </c>
    </row>
    <row r="29" spans="1:23" ht="13.15" customHeight="1" x14ac:dyDescent="0.2">
      <c r="A29" s="2" t="s">
        <v>2087</v>
      </c>
      <c r="B29" s="2">
        <f t="shared" si="0"/>
        <v>2019</v>
      </c>
      <c r="C29" s="2" t="str">
        <f t="shared" si="1"/>
        <v>EC101</v>
      </c>
      <c r="D29" s="1744" t="s">
        <v>2116</v>
      </c>
      <c r="E29" s="2">
        <v>28</v>
      </c>
      <c r="F29" s="2" t="s">
        <v>324</v>
      </c>
      <c r="G29" s="1745"/>
      <c r="H29" s="1745"/>
      <c r="I29" s="1745"/>
      <c r="J29" s="1745"/>
      <c r="K29" s="1745"/>
      <c r="L29" s="1745"/>
      <c r="M29" s="1745"/>
      <c r="N29" s="1745"/>
      <c r="O29" s="1745"/>
      <c r="P29" s="2"/>
      <c r="W29" t="s">
        <v>2089</v>
      </c>
    </row>
    <row r="30" spans="1:23" ht="13.15" customHeight="1" x14ac:dyDescent="0.2">
      <c r="A30" s="2" t="s">
        <v>2087</v>
      </c>
      <c r="B30" s="2">
        <f t="shared" si="0"/>
        <v>2019</v>
      </c>
      <c r="C30" s="2" t="str">
        <f t="shared" si="1"/>
        <v>EC101</v>
      </c>
      <c r="D30" s="1744" t="s">
        <v>2117</v>
      </c>
      <c r="E30" s="2">
        <v>29</v>
      </c>
      <c r="F30" s="2" t="s">
        <v>440</v>
      </c>
      <c r="G30" s="1745"/>
      <c r="H30" s="1745"/>
      <c r="I30" s="1745"/>
      <c r="J30" s="1745"/>
      <c r="K30" s="1745"/>
      <c r="L30" s="1745"/>
      <c r="M30" s="1745"/>
      <c r="N30" s="1745"/>
      <c r="O30" s="1745"/>
      <c r="P30" s="2"/>
      <c r="W30" t="s">
        <v>2089</v>
      </c>
    </row>
    <row r="31" spans="1:23" ht="13.15" customHeight="1" x14ac:dyDescent="0.2">
      <c r="A31" s="2" t="s">
        <v>2087</v>
      </c>
      <c r="B31" s="2">
        <f t="shared" si="0"/>
        <v>2019</v>
      </c>
      <c r="C31" s="2" t="str">
        <f t="shared" si="1"/>
        <v>EC101</v>
      </c>
      <c r="D31" s="1744" t="s">
        <v>2118</v>
      </c>
      <c r="E31" s="2">
        <v>30</v>
      </c>
      <c r="F31" s="2" t="s">
        <v>441</v>
      </c>
      <c r="G31" s="1745"/>
      <c r="H31" s="1745"/>
      <c r="I31" s="1745"/>
      <c r="J31" s="1745"/>
      <c r="K31" s="1745"/>
      <c r="L31" s="1745"/>
      <c r="M31" s="1745"/>
      <c r="N31" s="1745"/>
      <c r="O31" s="1745"/>
      <c r="P31" s="2"/>
      <c r="W31" t="s">
        <v>2089</v>
      </c>
    </row>
    <row r="32" spans="1:23" ht="13.15" customHeight="1" x14ac:dyDescent="0.2">
      <c r="A32" s="2" t="s">
        <v>2087</v>
      </c>
      <c r="B32" s="2">
        <f t="shared" si="0"/>
        <v>2019</v>
      </c>
      <c r="C32" s="2" t="str">
        <f t="shared" si="1"/>
        <v>EC101</v>
      </c>
      <c r="D32" s="1744" t="s">
        <v>2119</v>
      </c>
      <c r="E32" s="2">
        <v>31</v>
      </c>
      <c r="F32" s="2" t="s">
        <v>595</v>
      </c>
      <c r="G32" s="1745"/>
      <c r="H32" s="1745"/>
      <c r="I32" s="1745"/>
      <c r="J32" s="1745"/>
      <c r="K32" s="1745"/>
      <c r="L32" s="1745"/>
      <c r="M32" s="1745"/>
      <c r="N32" s="1745"/>
      <c r="O32" s="1745"/>
      <c r="P32" s="2"/>
      <c r="W32" t="s">
        <v>2089</v>
      </c>
    </row>
    <row r="33" spans="1:23" ht="13.15" customHeight="1" x14ac:dyDescent="0.2">
      <c r="A33" s="2" t="s">
        <v>2087</v>
      </c>
      <c r="B33" s="2">
        <f t="shared" si="0"/>
        <v>2019</v>
      </c>
      <c r="C33" s="2" t="str">
        <f t="shared" si="1"/>
        <v>EC101</v>
      </c>
      <c r="D33" s="1744" t="s">
        <v>2120</v>
      </c>
      <c r="E33" s="2">
        <v>32</v>
      </c>
      <c r="F33" s="2" t="s">
        <v>1141</v>
      </c>
      <c r="G33" s="1745"/>
      <c r="H33" s="1745"/>
      <c r="I33" s="1745"/>
      <c r="J33" s="1745"/>
      <c r="K33" s="1745"/>
      <c r="L33" s="1745"/>
      <c r="M33" s="1745"/>
      <c r="N33" s="1745"/>
      <c r="O33" s="1745"/>
      <c r="P33" s="2"/>
      <c r="W33" t="s">
        <v>2089</v>
      </c>
    </row>
    <row r="34" spans="1:23" ht="13.15" customHeight="1" x14ac:dyDescent="0.2">
      <c r="A34" s="2" t="s">
        <v>2087</v>
      </c>
      <c r="B34" s="2">
        <f t="shared" si="0"/>
        <v>2019</v>
      </c>
      <c r="C34" s="2" t="str">
        <f t="shared" si="1"/>
        <v>EC101</v>
      </c>
      <c r="D34" s="1744" t="s">
        <v>2121</v>
      </c>
      <c r="E34" s="2">
        <v>33</v>
      </c>
      <c r="F34" s="2" t="s">
        <v>1177</v>
      </c>
      <c r="G34" s="1745"/>
      <c r="H34" s="1745"/>
      <c r="I34" s="1745"/>
      <c r="J34" s="1745"/>
      <c r="K34" s="1745"/>
      <c r="L34" s="1745"/>
      <c r="M34" s="1745"/>
      <c r="N34" s="1745"/>
      <c r="O34" s="1745"/>
      <c r="P34" s="2"/>
      <c r="W34" t="s">
        <v>2089</v>
      </c>
    </row>
    <row r="35" spans="1:23" ht="13.15" customHeight="1" x14ac:dyDescent="0.2">
      <c r="A35" s="2" t="s">
        <v>2087</v>
      </c>
      <c r="B35" s="2">
        <f t="shared" si="0"/>
        <v>2019</v>
      </c>
      <c r="C35" s="2" t="str">
        <f t="shared" si="1"/>
        <v>EC101</v>
      </c>
      <c r="D35" s="1744" t="s">
        <v>2122</v>
      </c>
      <c r="E35" s="2">
        <v>34</v>
      </c>
      <c r="F35" s="2" t="s">
        <v>597</v>
      </c>
      <c r="G35" s="1745"/>
      <c r="H35" s="1745"/>
      <c r="I35" s="1745"/>
      <c r="J35" s="1745"/>
      <c r="K35" s="1745"/>
      <c r="L35" s="1745"/>
      <c r="M35" s="1745"/>
      <c r="N35" s="1745"/>
      <c r="O35" s="1745"/>
      <c r="P35" s="2"/>
      <c r="W35" t="s">
        <v>2089</v>
      </c>
    </row>
    <row r="36" spans="1:23" ht="13.15" customHeight="1" x14ac:dyDescent="0.2">
      <c r="A36" s="2" t="s">
        <v>2087</v>
      </c>
      <c r="B36" s="2">
        <f t="shared" si="0"/>
        <v>2019</v>
      </c>
      <c r="C36" s="2" t="str">
        <f t="shared" si="1"/>
        <v>EC101</v>
      </c>
      <c r="D36" s="1744" t="s">
        <v>2123</v>
      </c>
      <c r="E36" s="2">
        <v>35</v>
      </c>
      <c r="F36" s="2" t="s">
        <v>642</v>
      </c>
      <c r="G36" s="1745"/>
      <c r="H36" s="1745"/>
      <c r="I36" s="1745"/>
      <c r="J36" s="1745"/>
      <c r="K36" s="1745"/>
      <c r="L36" s="1745"/>
      <c r="M36" s="1745"/>
      <c r="N36" s="1745"/>
      <c r="O36" s="1745"/>
      <c r="P36" s="2"/>
      <c r="W36" t="s">
        <v>2089</v>
      </c>
    </row>
    <row r="37" spans="1:23" ht="13.15" customHeight="1" x14ac:dyDescent="0.2">
      <c r="A37" s="2" t="s">
        <v>2087</v>
      </c>
      <c r="B37" s="2">
        <f t="shared" si="0"/>
        <v>2019</v>
      </c>
      <c r="C37" s="2" t="str">
        <f t="shared" si="1"/>
        <v>EC101</v>
      </c>
      <c r="D37" s="1744" t="s">
        <v>2124</v>
      </c>
      <c r="E37" s="2">
        <v>36</v>
      </c>
      <c r="F37" s="2" t="s">
        <v>324</v>
      </c>
      <c r="G37" s="1745"/>
      <c r="H37" s="1745"/>
      <c r="I37" s="1745"/>
      <c r="J37" s="1745"/>
      <c r="K37" s="1745"/>
      <c r="L37" s="1745"/>
      <c r="M37" s="1745"/>
      <c r="N37" s="1745"/>
      <c r="O37" s="1745"/>
      <c r="P37" s="2"/>
      <c r="W37" t="s">
        <v>2089</v>
      </c>
    </row>
    <row r="38" spans="1:23" ht="13.15" customHeight="1" x14ac:dyDescent="0.2">
      <c r="A38" s="2" t="s">
        <v>2087</v>
      </c>
      <c r="B38" s="2">
        <f t="shared" si="0"/>
        <v>2019</v>
      </c>
      <c r="C38" s="2" t="str">
        <f t="shared" si="1"/>
        <v>EC101</v>
      </c>
      <c r="D38" s="1744" t="s">
        <v>2125</v>
      </c>
      <c r="E38" s="2">
        <v>37</v>
      </c>
      <c r="F38" s="2" t="s">
        <v>598</v>
      </c>
      <c r="G38" s="1745"/>
      <c r="H38" s="1745"/>
      <c r="I38" s="1745"/>
      <c r="J38" s="1745"/>
      <c r="K38" s="1745"/>
      <c r="L38" s="1745"/>
      <c r="M38" s="1745"/>
      <c r="N38" s="1745"/>
      <c r="O38" s="1745"/>
      <c r="P38" s="2"/>
      <c r="W38" t="s">
        <v>2089</v>
      </c>
    </row>
    <row r="39" spans="1:23" ht="13.15" customHeight="1" x14ac:dyDescent="0.2">
      <c r="A39" s="2" t="s">
        <v>2087</v>
      </c>
      <c r="B39" s="2">
        <f t="shared" si="0"/>
        <v>2019</v>
      </c>
      <c r="C39" s="2" t="str">
        <f t="shared" si="1"/>
        <v>EC101</v>
      </c>
      <c r="D39" s="1744" t="s">
        <v>2126</v>
      </c>
      <c r="E39" s="2">
        <v>38</v>
      </c>
      <c r="F39" s="2" t="s">
        <v>599</v>
      </c>
      <c r="G39" s="1745"/>
      <c r="H39" s="1745"/>
      <c r="I39" s="1745"/>
      <c r="J39" s="1745"/>
      <c r="K39" s="1745"/>
      <c r="L39" s="1745"/>
      <c r="M39" s="1745"/>
      <c r="N39" s="1745"/>
      <c r="O39" s="1745"/>
      <c r="P39" s="2"/>
      <c r="W39" t="s">
        <v>2089</v>
      </c>
    </row>
    <row r="40" spans="1:23" ht="13.15" customHeight="1" x14ac:dyDescent="0.2">
      <c r="A40" s="2" t="s">
        <v>2087</v>
      </c>
      <c r="B40" s="2">
        <f t="shared" si="0"/>
        <v>2019</v>
      </c>
      <c r="C40" s="2" t="str">
        <f t="shared" si="1"/>
        <v>EC101</v>
      </c>
      <c r="D40" s="1744" t="s">
        <v>2127</v>
      </c>
      <c r="E40" s="2">
        <v>39</v>
      </c>
      <c r="F40" s="2" t="s">
        <v>766</v>
      </c>
      <c r="G40" s="1745"/>
      <c r="H40" s="1745"/>
      <c r="I40" s="1745"/>
      <c r="J40" s="1745"/>
      <c r="K40" s="1745"/>
      <c r="L40" s="1745"/>
      <c r="M40" s="1745"/>
      <c r="N40" s="1745"/>
      <c r="O40" s="1745"/>
      <c r="P40" s="2"/>
      <c r="W40" t="s">
        <v>2089</v>
      </c>
    </row>
    <row r="41" spans="1:23" ht="13.15" customHeight="1" x14ac:dyDescent="0.2">
      <c r="A41" s="2" t="s">
        <v>2087</v>
      </c>
      <c r="B41" s="2">
        <f t="shared" si="0"/>
        <v>2019</v>
      </c>
      <c r="C41" s="2" t="str">
        <f t="shared" si="1"/>
        <v>EC101</v>
      </c>
      <c r="D41" s="1744" t="s">
        <v>2128</v>
      </c>
      <c r="E41" s="2">
        <v>40</v>
      </c>
      <c r="F41" s="2" t="s">
        <v>767</v>
      </c>
      <c r="G41" s="1745"/>
      <c r="H41" s="1745"/>
      <c r="I41" s="1745"/>
      <c r="J41" s="1745"/>
      <c r="K41" s="1745"/>
      <c r="L41" s="1745"/>
      <c r="M41" s="1745"/>
      <c r="N41" s="1745"/>
      <c r="O41" s="1745"/>
      <c r="P41" s="2"/>
      <c r="W41" t="s">
        <v>2089</v>
      </c>
    </row>
    <row r="42" spans="1:23" ht="13.15" customHeight="1" x14ac:dyDescent="0.2">
      <c r="A42" s="2" t="s">
        <v>2087</v>
      </c>
      <c r="B42" s="2">
        <f t="shared" si="0"/>
        <v>2019</v>
      </c>
      <c r="C42" s="2" t="str">
        <f t="shared" si="1"/>
        <v>EC101</v>
      </c>
      <c r="D42" s="1744" t="s">
        <v>2129</v>
      </c>
      <c r="E42" s="2">
        <v>41</v>
      </c>
      <c r="F42" s="2" t="s">
        <v>171</v>
      </c>
      <c r="G42" s="1745"/>
      <c r="H42" s="1745"/>
      <c r="I42" s="1745"/>
      <c r="J42" s="1745"/>
      <c r="K42" s="1745"/>
      <c r="L42" s="1745"/>
      <c r="M42" s="1745"/>
      <c r="N42" s="1745"/>
      <c r="O42" s="1745"/>
      <c r="P42" s="2"/>
      <c r="W42" t="s">
        <v>2089</v>
      </c>
    </row>
    <row r="43" spans="1:23" ht="13.15" customHeight="1" x14ac:dyDescent="0.2">
      <c r="A43" s="2" t="s">
        <v>2087</v>
      </c>
      <c r="B43" s="2">
        <f t="shared" si="0"/>
        <v>2019</v>
      </c>
      <c r="C43" s="2" t="str">
        <f t="shared" si="1"/>
        <v>EC101</v>
      </c>
      <c r="D43" s="1744" t="s">
        <v>2130</v>
      </c>
      <c r="E43" s="2">
        <v>42</v>
      </c>
      <c r="F43" s="2" t="s">
        <v>1141</v>
      </c>
      <c r="G43" s="1745"/>
      <c r="H43" s="1745"/>
      <c r="I43" s="1745"/>
      <c r="J43" s="1745"/>
      <c r="K43" s="1745"/>
      <c r="L43" s="1745"/>
      <c r="M43" s="1745"/>
      <c r="N43" s="1745"/>
      <c r="O43" s="1745"/>
      <c r="P43" s="2"/>
      <c r="W43" t="s">
        <v>2089</v>
      </c>
    </row>
    <row r="44" spans="1:23" ht="13.15" customHeight="1" x14ac:dyDescent="0.2">
      <c r="A44" s="2" t="s">
        <v>2087</v>
      </c>
      <c r="B44" s="2">
        <f t="shared" si="0"/>
        <v>2019</v>
      </c>
      <c r="C44" s="2" t="str">
        <f t="shared" si="1"/>
        <v>EC101</v>
      </c>
      <c r="D44" s="1744" t="s">
        <v>2131</v>
      </c>
      <c r="E44" s="2">
        <v>43</v>
      </c>
      <c r="F44" s="2" t="s">
        <v>1177</v>
      </c>
      <c r="G44" s="1745"/>
      <c r="H44" s="1745"/>
      <c r="I44" s="1745"/>
      <c r="J44" s="1745"/>
      <c r="K44" s="1745"/>
      <c r="L44" s="1745"/>
      <c r="M44" s="1745"/>
      <c r="N44" s="1745"/>
      <c r="O44" s="1745"/>
      <c r="P44" s="2"/>
      <c r="W44" t="s">
        <v>2089</v>
      </c>
    </row>
    <row r="45" spans="1:23" ht="13.15" customHeight="1" x14ac:dyDescent="0.2">
      <c r="A45" s="2" t="s">
        <v>2087</v>
      </c>
      <c r="B45" s="2">
        <f t="shared" si="0"/>
        <v>2019</v>
      </c>
      <c r="C45" s="2" t="str">
        <f t="shared" si="1"/>
        <v>EC101</v>
      </c>
      <c r="D45" s="1744"/>
      <c r="E45" s="2"/>
      <c r="F45" s="2"/>
      <c r="G45" s="1745"/>
      <c r="H45" s="1745"/>
      <c r="I45" s="1745"/>
      <c r="J45" s="1745"/>
      <c r="K45" s="1745"/>
      <c r="L45" s="1745"/>
      <c r="M45" s="1745"/>
      <c r="N45" s="1745"/>
      <c r="O45" s="1745"/>
      <c r="P45" s="2"/>
      <c r="W45" t="s">
        <v>2089</v>
      </c>
    </row>
    <row r="46" spans="1:23" ht="13.15" customHeight="1" x14ac:dyDescent="0.2">
      <c r="A46" s="2" t="s">
        <v>2087</v>
      </c>
      <c r="B46" s="2">
        <f t="shared" si="0"/>
        <v>2019</v>
      </c>
      <c r="C46" s="2" t="str">
        <f t="shared" si="1"/>
        <v>EC101</v>
      </c>
      <c r="D46" s="1744" t="s">
        <v>2132</v>
      </c>
      <c r="E46" s="2">
        <v>45</v>
      </c>
      <c r="F46" s="2" t="s">
        <v>172</v>
      </c>
      <c r="G46" s="1745"/>
      <c r="H46" s="1745"/>
      <c r="I46" s="1745"/>
      <c r="J46" s="1745"/>
      <c r="K46" s="1745"/>
      <c r="L46" s="1745"/>
      <c r="M46" s="1745"/>
      <c r="N46" s="1745"/>
      <c r="O46" s="1745"/>
      <c r="P46" s="2"/>
      <c r="W46" t="s">
        <v>2089</v>
      </c>
    </row>
    <row r="47" spans="1:23" ht="13.15" customHeight="1" x14ac:dyDescent="0.2">
      <c r="A47" s="2" t="s">
        <v>2087</v>
      </c>
      <c r="B47" s="2">
        <f t="shared" si="0"/>
        <v>2019</v>
      </c>
      <c r="C47" s="2" t="str">
        <f t="shared" si="1"/>
        <v>EC101</v>
      </c>
      <c r="D47" s="1744" t="s">
        <v>2133</v>
      </c>
      <c r="E47" s="2">
        <v>46</v>
      </c>
      <c r="F47" s="2" t="s">
        <v>1162</v>
      </c>
      <c r="G47" s="1745"/>
      <c r="H47" s="1745"/>
      <c r="I47" s="1745"/>
      <c r="J47" s="1745"/>
      <c r="K47" s="1745"/>
      <c r="L47" s="1745"/>
      <c r="M47" s="1745"/>
      <c r="N47" s="1745"/>
      <c r="O47" s="1745"/>
      <c r="P47" s="2"/>
      <c r="W47" t="s">
        <v>2089</v>
      </c>
    </row>
    <row r="48" spans="1:23" ht="13.15" customHeight="1" x14ac:dyDescent="0.2">
      <c r="A48" s="2" t="s">
        <v>2087</v>
      </c>
      <c r="B48" s="2">
        <f t="shared" si="0"/>
        <v>2019</v>
      </c>
      <c r="C48" s="2" t="str">
        <f t="shared" si="1"/>
        <v>EC101</v>
      </c>
      <c r="D48" s="1744" t="s">
        <v>2134</v>
      </c>
      <c r="E48" s="2">
        <v>47</v>
      </c>
      <c r="F48" s="2" t="s">
        <v>325</v>
      </c>
      <c r="G48" s="1745"/>
      <c r="H48" s="1745"/>
      <c r="I48" s="1745"/>
      <c r="J48" s="1745"/>
      <c r="K48" s="1745"/>
      <c r="L48" s="1745"/>
      <c r="M48" s="1745"/>
      <c r="N48" s="1745"/>
      <c r="O48" s="1745"/>
      <c r="P48" s="2"/>
      <c r="W48" t="s">
        <v>2089</v>
      </c>
    </row>
    <row r="49" spans="1:23" ht="13.15" customHeight="1" x14ac:dyDescent="0.2">
      <c r="A49" s="2" t="s">
        <v>2087</v>
      </c>
      <c r="B49" s="2">
        <f t="shared" si="0"/>
        <v>2019</v>
      </c>
      <c r="C49" s="2" t="str">
        <f t="shared" si="1"/>
        <v>EC101</v>
      </c>
      <c r="D49" s="1744" t="s">
        <v>2135</v>
      </c>
      <c r="E49" s="2">
        <v>48</v>
      </c>
      <c r="F49" s="2" t="s">
        <v>1163</v>
      </c>
      <c r="G49" s="1745"/>
      <c r="H49" s="1745"/>
      <c r="I49" s="1745"/>
      <c r="J49" s="1745"/>
      <c r="K49" s="1745"/>
      <c r="L49" s="1745"/>
      <c r="M49" s="1745"/>
      <c r="N49" s="1745"/>
      <c r="O49" s="1745"/>
      <c r="P49" s="2"/>
      <c r="W49" t="s">
        <v>2089</v>
      </c>
    </row>
    <row r="50" spans="1:23" ht="13.15" customHeight="1" x14ac:dyDescent="0.2">
      <c r="A50" s="2" t="s">
        <v>2087</v>
      </c>
      <c r="B50" s="2">
        <f t="shared" si="0"/>
        <v>2019</v>
      </c>
      <c r="C50" s="2" t="str">
        <f t="shared" si="1"/>
        <v>EC101</v>
      </c>
      <c r="D50" s="1744" t="s">
        <v>2136</v>
      </c>
      <c r="E50" s="2">
        <v>49</v>
      </c>
      <c r="F50" s="2" t="s">
        <v>326</v>
      </c>
      <c r="G50" s="1745"/>
      <c r="H50" s="1745"/>
      <c r="I50" s="1745"/>
      <c r="J50" s="1745"/>
      <c r="K50" s="1745"/>
      <c r="L50" s="1745"/>
      <c r="M50" s="1745"/>
      <c r="N50" s="1745"/>
      <c r="O50" s="1745"/>
      <c r="P50" s="2"/>
      <c r="W50" t="s">
        <v>2089</v>
      </c>
    </row>
    <row r="51" spans="1:23" ht="13.15" customHeight="1" x14ac:dyDescent="0.2">
      <c r="A51" s="2" t="s">
        <v>2087</v>
      </c>
      <c r="B51" s="2">
        <f t="shared" si="0"/>
        <v>2019</v>
      </c>
      <c r="C51" s="2" t="str">
        <f t="shared" si="1"/>
        <v>EC101</v>
      </c>
      <c r="D51" s="1744"/>
      <c r="E51" s="2"/>
      <c r="F51" s="2"/>
      <c r="G51" s="1745"/>
      <c r="H51" s="1745"/>
      <c r="I51" s="1745"/>
      <c r="J51" s="1745"/>
      <c r="K51" s="1745"/>
      <c r="L51" s="1745"/>
      <c r="M51" s="1745"/>
      <c r="N51" s="1745"/>
      <c r="O51" s="1745"/>
      <c r="P51" s="2"/>
      <c r="W51" t="s">
        <v>2089</v>
      </c>
    </row>
    <row r="52" spans="1:23" ht="13.15" customHeight="1" x14ac:dyDescent="0.2">
      <c r="A52" s="2" t="s">
        <v>2087</v>
      </c>
      <c r="B52" s="2">
        <f t="shared" si="0"/>
        <v>2019</v>
      </c>
      <c r="C52" s="2" t="str">
        <f t="shared" si="1"/>
        <v>EC101</v>
      </c>
      <c r="D52" s="1744" t="s">
        <v>2137</v>
      </c>
      <c r="E52" s="2">
        <v>51</v>
      </c>
      <c r="F52" s="2" t="s">
        <v>2068</v>
      </c>
      <c r="G52" s="1745"/>
      <c r="H52" s="1745"/>
      <c r="I52" s="1745"/>
      <c r="J52" s="1745"/>
      <c r="K52" s="1745"/>
      <c r="L52" s="1745"/>
      <c r="M52" s="1745"/>
      <c r="N52" s="1745"/>
      <c r="O52" s="1745"/>
      <c r="P52" s="2"/>
      <c r="W52" t="s">
        <v>2089</v>
      </c>
    </row>
    <row r="53" spans="1:23" ht="13.15" customHeight="1" x14ac:dyDescent="0.2">
      <c r="A53" s="2" t="s">
        <v>2087</v>
      </c>
      <c r="B53" s="2">
        <f t="shared" si="0"/>
        <v>2019</v>
      </c>
      <c r="C53" s="2" t="str">
        <f t="shared" si="1"/>
        <v>EC101</v>
      </c>
      <c r="D53" s="1744" t="s">
        <v>2138</v>
      </c>
      <c r="E53" s="2">
        <v>52</v>
      </c>
      <c r="F53" s="2" t="s">
        <v>2139</v>
      </c>
      <c r="G53" s="1745"/>
      <c r="H53" s="1745"/>
      <c r="I53" s="1745"/>
      <c r="J53" s="1745"/>
      <c r="K53" s="1745"/>
      <c r="L53" s="1745"/>
      <c r="M53" s="1745"/>
      <c r="N53" s="1745"/>
      <c r="O53" s="1745"/>
      <c r="P53" s="2"/>
      <c r="W53" t="s">
        <v>2089</v>
      </c>
    </row>
    <row r="54" spans="1:23" ht="13.15" customHeight="1" x14ac:dyDescent="0.2">
      <c r="A54" s="2" t="s">
        <v>2087</v>
      </c>
      <c r="B54" s="2">
        <f t="shared" si="0"/>
        <v>2019</v>
      </c>
      <c r="C54" s="2" t="str">
        <f t="shared" si="1"/>
        <v>EC101</v>
      </c>
      <c r="D54" s="1744" t="s">
        <v>2140</v>
      </c>
      <c r="E54" s="2">
        <v>53</v>
      </c>
      <c r="F54" s="2" t="s">
        <v>2141</v>
      </c>
      <c r="G54" s="1745"/>
      <c r="H54" s="1745"/>
      <c r="I54" s="1745"/>
      <c r="J54" s="1745"/>
      <c r="K54" s="1745"/>
      <c r="L54" s="1745"/>
      <c r="M54" s="1745"/>
      <c r="N54" s="1745"/>
      <c r="O54" s="1745"/>
      <c r="P54" s="2"/>
      <c r="W54" t="s">
        <v>2089</v>
      </c>
    </row>
    <row r="55" spans="1:23" ht="13.15" customHeight="1" x14ac:dyDescent="0.2">
      <c r="A55" s="2" t="s">
        <v>2087</v>
      </c>
      <c r="B55" s="2">
        <f t="shared" si="0"/>
        <v>2019</v>
      </c>
      <c r="C55" s="2" t="str">
        <f t="shared" si="1"/>
        <v>EC101</v>
      </c>
      <c r="D55" s="1744" t="s">
        <v>2142</v>
      </c>
      <c r="E55" s="2">
        <v>54</v>
      </c>
      <c r="F55" s="2" t="s">
        <v>2143</v>
      </c>
      <c r="G55" s="1745"/>
      <c r="H55" s="1745"/>
      <c r="I55" s="1745"/>
      <c r="J55" s="1745"/>
      <c r="K55" s="1745"/>
      <c r="L55" s="1745"/>
      <c r="M55" s="1745"/>
      <c r="N55" s="1745"/>
      <c r="O55" s="1745"/>
      <c r="P55" s="2"/>
      <c r="W55" t="s">
        <v>2089</v>
      </c>
    </row>
    <row r="56" spans="1:23" ht="13.15" customHeight="1" x14ac:dyDescent="0.2">
      <c r="A56" s="2" t="s">
        <v>2087</v>
      </c>
      <c r="B56" s="2">
        <f t="shared" si="0"/>
        <v>2019</v>
      </c>
      <c r="C56" s="2" t="str">
        <f t="shared" si="1"/>
        <v>EC101</v>
      </c>
      <c r="D56" s="1744" t="s">
        <v>2144</v>
      </c>
      <c r="E56" s="2">
        <v>55</v>
      </c>
      <c r="F56" s="2" t="s">
        <v>2145</v>
      </c>
      <c r="G56" s="1745"/>
      <c r="H56" s="1745"/>
      <c r="I56" s="1745"/>
      <c r="J56" s="1745"/>
      <c r="K56" s="1745"/>
      <c r="L56" s="1745"/>
      <c r="M56" s="1745"/>
      <c r="N56" s="1745"/>
      <c r="O56" s="1745"/>
      <c r="P56" s="2"/>
      <c r="W56" t="s">
        <v>2089</v>
      </c>
    </row>
    <row r="57" spans="1:23" ht="13.15" customHeight="1" x14ac:dyDescent="0.2">
      <c r="A57" s="2" t="s">
        <v>2087</v>
      </c>
      <c r="B57" s="2">
        <f t="shared" si="0"/>
        <v>2019</v>
      </c>
      <c r="C57" s="2" t="str">
        <f t="shared" si="1"/>
        <v>EC101</v>
      </c>
      <c r="D57" s="1744">
        <v>1606</v>
      </c>
      <c r="E57" s="2">
        <v>56</v>
      </c>
      <c r="F57" s="2" t="s">
        <v>2055</v>
      </c>
      <c r="G57" s="1745"/>
      <c r="H57" s="1745"/>
      <c r="I57" s="1745"/>
      <c r="J57" s="1745"/>
      <c r="K57" s="1745"/>
      <c r="L57" s="1745"/>
      <c r="M57" s="1745"/>
      <c r="N57" s="1745"/>
      <c r="O57" s="1745"/>
      <c r="P57" s="2"/>
      <c r="W57" t="s">
        <v>2089</v>
      </c>
    </row>
    <row r="58" spans="1:23" ht="13.15" customHeight="1" x14ac:dyDescent="0.2">
      <c r="A58" s="2" t="s">
        <v>2087</v>
      </c>
      <c r="B58" s="2">
        <f t="shared" si="0"/>
        <v>2019</v>
      </c>
      <c r="C58" s="2" t="str">
        <f t="shared" si="1"/>
        <v>EC101</v>
      </c>
      <c r="D58" s="1744">
        <v>1607</v>
      </c>
      <c r="E58" s="2">
        <v>57</v>
      </c>
      <c r="F58" s="2" t="s">
        <v>2146</v>
      </c>
      <c r="G58" s="1745"/>
      <c r="H58" s="1745"/>
      <c r="I58" s="1745"/>
      <c r="J58" s="1745"/>
      <c r="K58" s="1745"/>
      <c r="L58" s="1745"/>
      <c r="M58" s="1745"/>
      <c r="N58" s="1745"/>
      <c r="O58" s="1745"/>
      <c r="P58" s="2"/>
      <c r="W58" t="s">
        <v>2089</v>
      </c>
    </row>
    <row r="59" spans="1:23" ht="13.15" customHeight="1" x14ac:dyDescent="0.2">
      <c r="A59" s="2" t="s">
        <v>2087</v>
      </c>
      <c r="B59" s="2">
        <f t="shared" si="0"/>
        <v>2019</v>
      </c>
      <c r="C59" s="2" t="str">
        <f t="shared" si="1"/>
        <v>EC101</v>
      </c>
      <c r="D59" s="1744"/>
      <c r="E59" s="2"/>
      <c r="F59" s="2"/>
      <c r="G59" s="1745"/>
      <c r="H59" s="1745"/>
      <c r="I59" s="1745"/>
      <c r="J59" s="1745"/>
      <c r="K59" s="1745"/>
      <c r="L59" s="1745"/>
      <c r="M59" s="1745"/>
      <c r="N59" s="1745"/>
      <c r="O59" s="1745"/>
      <c r="P59" s="2"/>
      <c r="W59" t="s">
        <v>2089</v>
      </c>
    </row>
    <row r="60" spans="1:23" ht="13.15" customHeight="1" x14ac:dyDescent="0.2">
      <c r="A60" s="2" t="s">
        <v>2087</v>
      </c>
      <c r="B60" s="2">
        <f t="shared" si="0"/>
        <v>2019</v>
      </c>
      <c r="C60" s="2" t="str">
        <f t="shared" si="1"/>
        <v>EC101</v>
      </c>
      <c r="D60" s="1744" t="s">
        <v>2147</v>
      </c>
      <c r="E60" s="2">
        <v>58</v>
      </c>
      <c r="F60" s="2" t="s">
        <v>2067</v>
      </c>
      <c r="G60" s="1745"/>
      <c r="H60" s="1745"/>
      <c r="I60" s="1745"/>
      <c r="J60" s="1745"/>
      <c r="K60" s="1745"/>
      <c r="L60" s="1745"/>
      <c r="M60" s="1745"/>
      <c r="N60" s="1745"/>
      <c r="O60" s="1745"/>
      <c r="P60" s="2"/>
      <c r="W60" t="s">
        <v>2089</v>
      </c>
    </row>
    <row r="61" spans="1:23" ht="13.15" customHeight="1" x14ac:dyDescent="0.2">
      <c r="A61" s="2" t="s">
        <v>2087</v>
      </c>
      <c r="B61" s="2">
        <f t="shared" si="0"/>
        <v>2019</v>
      </c>
      <c r="C61" s="2" t="str">
        <f t="shared" si="1"/>
        <v>EC101</v>
      </c>
      <c r="D61" s="1744" t="s">
        <v>2148</v>
      </c>
      <c r="E61" s="2">
        <v>59</v>
      </c>
      <c r="F61" s="2" t="s">
        <v>1683</v>
      </c>
      <c r="G61" s="1745"/>
      <c r="H61" s="1745"/>
      <c r="I61" s="1745"/>
      <c r="J61" s="1745"/>
      <c r="K61" s="1745"/>
      <c r="L61" s="1745"/>
      <c r="M61" s="1745"/>
      <c r="N61" s="1745"/>
      <c r="O61" s="1745"/>
      <c r="P61" s="2"/>
      <c r="W61" t="s">
        <v>2089</v>
      </c>
    </row>
    <row r="62" spans="1:23" ht="13.15" customHeight="1" x14ac:dyDescent="0.2">
      <c r="A62" s="2" t="s">
        <v>2087</v>
      </c>
      <c r="B62" s="2">
        <f t="shared" si="0"/>
        <v>2019</v>
      </c>
      <c r="C62" s="2" t="str">
        <f t="shared" si="1"/>
        <v>EC101</v>
      </c>
      <c r="D62" s="1744" t="s">
        <v>2149</v>
      </c>
      <c r="E62" s="2">
        <v>60</v>
      </c>
      <c r="F62" s="2" t="s">
        <v>1250</v>
      </c>
      <c r="G62" s="1745"/>
      <c r="H62" s="1745"/>
      <c r="I62" s="1745"/>
      <c r="J62" s="1745"/>
      <c r="K62" s="1745"/>
      <c r="L62" s="1745"/>
      <c r="M62" s="1745"/>
      <c r="N62" s="1745"/>
      <c r="O62" s="1745"/>
      <c r="P62" s="2"/>
      <c r="W62" t="s">
        <v>2089</v>
      </c>
    </row>
    <row r="63" spans="1:23" ht="13.15" customHeight="1" x14ac:dyDescent="0.2">
      <c r="A63" s="2" t="s">
        <v>2087</v>
      </c>
      <c r="B63" s="2">
        <f t="shared" si="0"/>
        <v>2019</v>
      </c>
      <c r="C63" s="2" t="str">
        <f t="shared" si="1"/>
        <v>EC101</v>
      </c>
      <c r="D63" s="1744" t="s">
        <v>2150</v>
      </c>
      <c r="E63" s="2">
        <v>61</v>
      </c>
      <c r="F63" s="2" t="s">
        <v>1251</v>
      </c>
      <c r="G63" s="1745"/>
      <c r="H63" s="1745"/>
      <c r="I63" s="1745"/>
      <c r="J63" s="1745"/>
      <c r="K63" s="1745"/>
      <c r="L63" s="1745"/>
      <c r="M63" s="1745"/>
      <c r="N63" s="1745"/>
      <c r="O63" s="1745"/>
      <c r="P63" s="2"/>
      <c r="W63" t="s">
        <v>2089</v>
      </c>
    </row>
    <row r="64" spans="1:23" ht="13.15" customHeight="1" x14ac:dyDescent="0.2">
      <c r="A64" s="2" t="s">
        <v>2087</v>
      </c>
      <c r="B64" s="2">
        <f t="shared" si="0"/>
        <v>2019</v>
      </c>
      <c r="C64" s="2" t="str">
        <f t="shared" si="1"/>
        <v>EC101</v>
      </c>
      <c r="D64" s="1744" t="s">
        <v>2151</v>
      </c>
      <c r="E64" s="2">
        <v>62</v>
      </c>
      <c r="F64" s="2" t="s">
        <v>593</v>
      </c>
      <c r="G64" s="1745"/>
      <c r="H64" s="1745"/>
      <c r="I64" s="1745"/>
      <c r="J64" s="1745"/>
      <c r="K64" s="1745"/>
      <c r="L64" s="1745"/>
      <c r="M64" s="1745"/>
      <c r="N64" s="1745"/>
      <c r="O64" s="1745"/>
      <c r="P64" s="2"/>
      <c r="W64" t="s">
        <v>2089</v>
      </c>
    </row>
    <row r="65" spans="1:23" ht="13.15" customHeight="1" x14ac:dyDescent="0.2">
      <c r="A65" s="2" t="s">
        <v>2087</v>
      </c>
      <c r="B65" s="2">
        <f t="shared" si="0"/>
        <v>2019</v>
      </c>
      <c r="C65" s="2" t="str">
        <f t="shared" si="1"/>
        <v>EC101</v>
      </c>
      <c r="D65" s="1744" t="s">
        <v>2152</v>
      </c>
      <c r="E65" s="2">
        <v>63</v>
      </c>
      <c r="F65" s="2" t="s">
        <v>327</v>
      </c>
      <c r="G65" s="1745"/>
      <c r="H65" s="1745"/>
      <c r="I65" s="1745"/>
      <c r="J65" s="1745"/>
      <c r="K65" s="1745"/>
      <c r="L65" s="1745"/>
      <c r="M65" s="1745"/>
      <c r="N65" s="1745"/>
      <c r="O65" s="1745"/>
      <c r="P65" s="2"/>
      <c r="W65" t="s">
        <v>2089</v>
      </c>
    </row>
    <row r="66" spans="1:23" ht="13.15" customHeight="1" x14ac:dyDescent="0.2">
      <c r="A66" s="2" t="s">
        <v>2087</v>
      </c>
      <c r="B66" s="2">
        <f t="shared" ref="B66:B129" si="2">+MTREF</f>
        <v>2019</v>
      </c>
      <c r="C66" s="2" t="str">
        <f t="shared" ref="C66:C129" si="3">LEFT(muni,(FIND(" ",muni,1)-1))</f>
        <v>EC101</v>
      </c>
      <c r="D66" s="1744" t="s">
        <v>2153</v>
      </c>
      <c r="E66" s="2">
        <v>64</v>
      </c>
      <c r="F66" s="2" t="s">
        <v>596</v>
      </c>
      <c r="G66" s="1745"/>
      <c r="H66" s="1745"/>
      <c r="I66" s="1745"/>
      <c r="J66" s="1745"/>
      <c r="K66" s="1745"/>
      <c r="L66" s="1745"/>
      <c r="M66" s="1745"/>
      <c r="N66" s="1745"/>
      <c r="O66" s="1745"/>
      <c r="P66" s="2"/>
      <c r="W66" t="s">
        <v>2089</v>
      </c>
    </row>
    <row r="67" spans="1:23" ht="13.15" customHeight="1" x14ac:dyDescent="0.2">
      <c r="A67" s="2" t="s">
        <v>2087</v>
      </c>
      <c r="B67" s="2">
        <f t="shared" si="2"/>
        <v>2019</v>
      </c>
      <c r="C67" s="2" t="str">
        <f t="shared" si="3"/>
        <v>EC101</v>
      </c>
      <c r="D67" s="1744" t="s">
        <v>2154</v>
      </c>
      <c r="E67" s="2">
        <v>65</v>
      </c>
      <c r="F67" s="1746" t="s">
        <v>2074</v>
      </c>
      <c r="G67" s="1745"/>
      <c r="H67" s="1745"/>
      <c r="I67" s="1745"/>
      <c r="J67" s="1745"/>
      <c r="K67" s="1745"/>
      <c r="L67" s="1745"/>
      <c r="M67" s="1745"/>
      <c r="N67" s="1745"/>
      <c r="O67" s="1745"/>
      <c r="P67" s="2"/>
      <c r="W67" t="s">
        <v>2089</v>
      </c>
    </row>
    <row r="68" spans="1:23" ht="13.15" customHeight="1" x14ac:dyDescent="0.2">
      <c r="A68" s="2" t="s">
        <v>2087</v>
      </c>
      <c r="B68" s="2">
        <f t="shared" si="2"/>
        <v>2019</v>
      </c>
      <c r="C68" s="2" t="str">
        <f t="shared" si="3"/>
        <v>EC101</v>
      </c>
      <c r="D68" s="1744" t="s">
        <v>2155</v>
      </c>
      <c r="E68" s="2">
        <v>66</v>
      </c>
      <c r="F68" s="1746" t="s">
        <v>2156</v>
      </c>
      <c r="G68" s="1745"/>
      <c r="H68" s="1745"/>
      <c r="I68" s="1745"/>
      <c r="J68" s="1745"/>
      <c r="K68" s="1745"/>
      <c r="L68" s="1745"/>
      <c r="M68" s="1745"/>
      <c r="N68" s="1745"/>
      <c r="O68" s="1745"/>
      <c r="P68" s="2"/>
      <c r="W68" t="s">
        <v>2089</v>
      </c>
    </row>
    <row r="69" spans="1:23" ht="13.15" customHeight="1" x14ac:dyDescent="0.2">
      <c r="A69" s="2" t="s">
        <v>2087</v>
      </c>
      <c r="B69" s="2">
        <f t="shared" si="2"/>
        <v>2019</v>
      </c>
      <c r="C69" s="2" t="str">
        <f t="shared" si="3"/>
        <v>EC101</v>
      </c>
      <c r="D69" s="1744" t="s">
        <v>2157</v>
      </c>
      <c r="E69" s="2">
        <v>67</v>
      </c>
      <c r="F69" s="1746" t="s">
        <v>2158</v>
      </c>
      <c r="G69" s="1745"/>
      <c r="H69" s="1745"/>
      <c r="I69" s="1745"/>
      <c r="J69" s="1745"/>
      <c r="K69" s="1745"/>
      <c r="L69" s="1745"/>
      <c r="M69" s="1745"/>
      <c r="N69" s="1745"/>
      <c r="O69" s="1745"/>
      <c r="P69" s="2"/>
      <c r="W69" t="s">
        <v>2089</v>
      </c>
    </row>
    <row r="70" spans="1:23" ht="13.15" customHeight="1" x14ac:dyDescent="0.2">
      <c r="A70" s="2" t="s">
        <v>2087</v>
      </c>
      <c r="B70" s="2">
        <f t="shared" si="2"/>
        <v>2019</v>
      </c>
      <c r="C70" s="2" t="str">
        <f t="shared" si="3"/>
        <v>EC101</v>
      </c>
      <c r="D70" s="1744" t="s">
        <v>2159</v>
      </c>
      <c r="E70" s="2">
        <v>68</v>
      </c>
      <c r="F70" s="1746" t="s">
        <v>2160</v>
      </c>
      <c r="G70" s="1745"/>
      <c r="H70" s="1745"/>
      <c r="I70" s="1745"/>
      <c r="J70" s="1745"/>
      <c r="K70" s="1745"/>
      <c r="L70" s="1745"/>
      <c r="M70" s="1745"/>
      <c r="N70" s="1745"/>
      <c r="O70" s="1745"/>
      <c r="P70" s="2"/>
      <c r="W70" t="s">
        <v>2089</v>
      </c>
    </row>
    <row r="71" spans="1:23" ht="13.15" customHeight="1" x14ac:dyDescent="0.2">
      <c r="A71" s="2" t="s">
        <v>2087</v>
      </c>
      <c r="B71" s="2">
        <f t="shared" si="2"/>
        <v>2019</v>
      </c>
      <c r="C71" s="2" t="str">
        <f t="shared" si="3"/>
        <v>EC101</v>
      </c>
      <c r="D71" s="1744" t="s">
        <v>2161</v>
      </c>
      <c r="E71" s="2">
        <v>69</v>
      </c>
      <c r="F71" s="1746" t="s">
        <v>2162</v>
      </c>
      <c r="G71" s="1745"/>
      <c r="H71" s="1745"/>
      <c r="I71" s="1745"/>
      <c r="J71" s="1745"/>
      <c r="K71" s="1745"/>
      <c r="L71" s="1745"/>
      <c r="M71" s="1745"/>
      <c r="N71" s="1745"/>
      <c r="O71" s="1745"/>
      <c r="P71" s="2"/>
      <c r="W71" t="s">
        <v>2089</v>
      </c>
    </row>
    <row r="72" spans="1:23" ht="13.15" customHeight="1" x14ac:dyDescent="0.2">
      <c r="A72" s="2" t="s">
        <v>2087</v>
      </c>
      <c r="B72" s="2">
        <f t="shared" si="2"/>
        <v>2019</v>
      </c>
      <c r="C72" s="2" t="str">
        <f t="shared" si="3"/>
        <v>EC101</v>
      </c>
      <c r="D72" s="1744" t="s">
        <v>2163</v>
      </c>
      <c r="E72" s="2">
        <v>70</v>
      </c>
      <c r="F72" s="1746" t="s">
        <v>2164</v>
      </c>
      <c r="G72" s="1745"/>
      <c r="H72" s="1745"/>
      <c r="I72" s="1745"/>
      <c r="J72" s="1745"/>
      <c r="K72" s="1745"/>
      <c r="L72" s="1745"/>
      <c r="M72" s="1745"/>
      <c r="N72" s="1745"/>
      <c r="O72" s="1745"/>
      <c r="P72" s="2"/>
      <c r="W72" t="s">
        <v>2089</v>
      </c>
    </row>
    <row r="73" spans="1:23" ht="13.15" customHeight="1" x14ac:dyDescent="0.2">
      <c r="A73" s="2" t="s">
        <v>2087</v>
      </c>
      <c r="B73" s="2">
        <f t="shared" si="2"/>
        <v>2019</v>
      </c>
      <c r="C73" s="2" t="str">
        <f t="shared" si="3"/>
        <v>EC101</v>
      </c>
      <c r="D73" s="1744" t="s">
        <v>2165</v>
      </c>
      <c r="E73" s="2">
        <v>71</v>
      </c>
      <c r="F73" s="1746" t="s">
        <v>2166</v>
      </c>
      <c r="G73" s="1745"/>
      <c r="H73" s="1745"/>
      <c r="I73" s="1745"/>
      <c r="J73" s="1745"/>
      <c r="K73" s="1745"/>
      <c r="L73" s="1745"/>
      <c r="M73" s="1745"/>
      <c r="N73" s="1745"/>
      <c r="O73" s="1745"/>
      <c r="P73" s="2"/>
      <c r="W73" t="s">
        <v>2089</v>
      </c>
    </row>
    <row r="74" spans="1:23" ht="13.15" customHeight="1" x14ac:dyDescent="0.2">
      <c r="A74" s="2" t="s">
        <v>2087</v>
      </c>
      <c r="B74" s="2">
        <f t="shared" si="2"/>
        <v>2019</v>
      </c>
      <c r="C74" s="2" t="str">
        <f t="shared" si="3"/>
        <v>EC101</v>
      </c>
      <c r="D74" s="1744" t="s">
        <v>2167</v>
      </c>
      <c r="E74" s="2">
        <v>72</v>
      </c>
      <c r="F74" s="1746" t="s">
        <v>328</v>
      </c>
      <c r="G74" s="1745"/>
      <c r="H74" s="1745"/>
      <c r="I74" s="1745"/>
      <c r="J74" s="1745"/>
      <c r="K74" s="1745"/>
      <c r="L74" s="1745"/>
      <c r="M74" s="1745"/>
      <c r="N74" s="1745"/>
      <c r="O74" s="1745"/>
      <c r="P74" s="2"/>
      <c r="W74" t="s">
        <v>2089</v>
      </c>
    </row>
    <row r="75" spans="1:23" ht="13.15" customHeight="1" x14ac:dyDescent="0.2">
      <c r="A75" s="2" t="s">
        <v>2087</v>
      </c>
      <c r="B75" s="2">
        <f t="shared" si="2"/>
        <v>2019</v>
      </c>
      <c r="C75" s="2" t="str">
        <f t="shared" si="3"/>
        <v>EC101</v>
      </c>
      <c r="D75" s="1744" t="s">
        <v>2168</v>
      </c>
      <c r="E75" s="2">
        <v>73</v>
      </c>
      <c r="F75" s="1746" t="s">
        <v>329</v>
      </c>
      <c r="G75" s="1745"/>
      <c r="H75" s="1745"/>
      <c r="I75" s="1745"/>
      <c r="J75" s="1745"/>
      <c r="K75" s="1745"/>
      <c r="L75" s="1745"/>
      <c r="M75" s="1745"/>
      <c r="N75" s="1745"/>
      <c r="O75" s="1745"/>
      <c r="P75" s="2"/>
      <c r="W75" t="s">
        <v>2089</v>
      </c>
    </row>
    <row r="76" spans="1:23" ht="13.15" customHeight="1" x14ac:dyDescent="0.2">
      <c r="A76" s="2" t="s">
        <v>2087</v>
      </c>
      <c r="B76" s="2">
        <f t="shared" si="2"/>
        <v>2019</v>
      </c>
      <c r="C76" s="2" t="str">
        <f t="shared" si="3"/>
        <v>EC101</v>
      </c>
      <c r="D76" s="1744" t="s">
        <v>2169</v>
      </c>
      <c r="E76" s="2">
        <v>74</v>
      </c>
      <c r="F76" s="1746" t="s">
        <v>246</v>
      </c>
      <c r="G76" s="1745"/>
      <c r="H76" s="1745"/>
      <c r="I76" s="1745"/>
      <c r="J76" s="1745"/>
      <c r="K76" s="1745"/>
      <c r="L76" s="1745"/>
      <c r="M76" s="1745"/>
      <c r="N76" s="1745"/>
      <c r="O76" s="1745"/>
      <c r="P76" s="2"/>
      <c r="W76" t="s">
        <v>2089</v>
      </c>
    </row>
    <row r="77" spans="1:23" ht="13.15" customHeight="1" x14ac:dyDescent="0.2">
      <c r="A77" s="2" t="s">
        <v>2087</v>
      </c>
      <c r="B77" s="2">
        <f t="shared" si="2"/>
        <v>2019</v>
      </c>
      <c r="C77" s="2" t="str">
        <f t="shared" si="3"/>
        <v>EC101</v>
      </c>
      <c r="D77" s="1744" t="s">
        <v>2170</v>
      </c>
      <c r="E77" s="2">
        <v>75</v>
      </c>
      <c r="F77" s="1746" t="s">
        <v>2081</v>
      </c>
      <c r="G77" s="1745"/>
      <c r="H77" s="1745"/>
      <c r="I77" s="1745"/>
      <c r="J77" s="1745"/>
      <c r="K77" s="1745"/>
      <c r="L77" s="1745"/>
      <c r="M77" s="1745"/>
      <c r="N77" s="1745"/>
      <c r="O77" s="1745"/>
      <c r="P77" s="2"/>
      <c r="W77" t="s">
        <v>2089</v>
      </c>
    </row>
    <row r="78" spans="1:23" ht="13.15" customHeight="1" x14ac:dyDescent="0.2">
      <c r="A78" s="2" t="s">
        <v>2171</v>
      </c>
      <c r="B78" s="2">
        <f t="shared" si="2"/>
        <v>2019</v>
      </c>
      <c r="C78" s="2" t="str">
        <f t="shared" si="3"/>
        <v>EC101</v>
      </c>
      <c r="D78" s="1747">
        <v>1000</v>
      </c>
      <c r="E78" s="2" t="s">
        <v>2172</v>
      </c>
      <c r="F78" s="1748" t="s">
        <v>653</v>
      </c>
      <c r="G78" s="1745"/>
      <c r="H78" s="1745"/>
      <c r="I78" s="1745"/>
      <c r="J78" s="1745"/>
      <c r="K78" s="1745"/>
      <c r="L78" s="1745"/>
      <c r="M78" s="1745"/>
      <c r="N78" s="2"/>
      <c r="O78" s="2"/>
      <c r="P78" s="2"/>
      <c r="W78" t="s">
        <v>2089</v>
      </c>
    </row>
    <row r="79" spans="1:23" ht="13.15" customHeight="1" x14ac:dyDescent="0.2">
      <c r="A79" s="2" t="s">
        <v>2171</v>
      </c>
      <c r="B79" s="2">
        <f t="shared" si="2"/>
        <v>2019</v>
      </c>
      <c r="C79" s="2" t="str">
        <f t="shared" si="3"/>
        <v>EC101</v>
      </c>
      <c r="D79" s="1747">
        <v>1001</v>
      </c>
      <c r="E79" s="2" t="s">
        <v>2172</v>
      </c>
      <c r="F79" s="1116" t="s">
        <v>652</v>
      </c>
      <c r="G79" s="1749"/>
      <c r="H79" s="1749"/>
      <c r="I79" s="1749"/>
      <c r="J79" s="1749"/>
      <c r="K79" s="1749"/>
      <c r="L79" s="1749"/>
      <c r="M79" s="1749"/>
      <c r="N79" s="1749"/>
      <c r="O79" s="1749"/>
      <c r="P79" s="2"/>
      <c r="W79" t="s">
        <v>2089</v>
      </c>
    </row>
    <row r="80" spans="1:23" ht="13.15" customHeight="1" x14ac:dyDescent="0.2">
      <c r="A80" s="2" t="s">
        <v>2171</v>
      </c>
      <c r="B80" s="2">
        <f t="shared" si="2"/>
        <v>2019</v>
      </c>
      <c r="C80" s="2" t="str">
        <f t="shared" si="3"/>
        <v>EC101</v>
      </c>
      <c r="D80" s="1747">
        <v>1002</v>
      </c>
      <c r="E80" s="2" t="s">
        <v>2172</v>
      </c>
      <c r="F80" s="1116" t="s">
        <v>567</v>
      </c>
      <c r="G80" s="1747"/>
      <c r="H80" s="1747"/>
      <c r="I80" s="1747"/>
      <c r="J80" s="1747"/>
      <c r="K80" s="1747"/>
      <c r="L80" s="1747"/>
      <c r="M80" s="1747"/>
      <c r="N80" s="1747"/>
      <c r="O80" s="1747"/>
      <c r="P80" s="2"/>
      <c r="W80" t="s">
        <v>2089</v>
      </c>
    </row>
    <row r="81" spans="1:23" ht="13.15" customHeight="1" x14ac:dyDescent="0.2">
      <c r="A81" s="2" t="s">
        <v>2171</v>
      </c>
      <c r="B81" s="2">
        <f t="shared" si="2"/>
        <v>2019</v>
      </c>
      <c r="C81" s="2" t="str">
        <f t="shared" si="3"/>
        <v>EC101</v>
      </c>
      <c r="D81" s="1747">
        <v>1003</v>
      </c>
      <c r="E81" s="2" t="s">
        <v>2172</v>
      </c>
      <c r="F81" s="1116" t="s">
        <v>349</v>
      </c>
      <c r="G81" s="2"/>
      <c r="H81" s="2"/>
      <c r="I81" s="2"/>
      <c r="J81" s="2"/>
      <c r="K81" s="2"/>
      <c r="L81" s="2"/>
      <c r="M81" s="2"/>
      <c r="N81" s="2"/>
      <c r="O81" s="2"/>
      <c r="P81" s="2"/>
      <c r="W81" t="s">
        <v>2089</v>
      </c>
    </row>
    <row r="82" spans="1:23" ht="13.15" customHeight="1" x14ac:dyDescent="0.2">
      <c r="A82" s="2" t="s">
        <v>2171</v>
      </c>
      <c r="B82" s="2">
        <f t="shared" si="2"/>
        <v>2019</v>
      </c>
      <c r="C82" s="2" t="str">
        <f t="shared" si="3"/>
        <v>EC101</v>
      </c>
      <c r="D82" s="1747">
        <v>1004</v>
      </c>
      <c r="E82" s="2" t="s">
        <v>2172</v>
      </c>
      <c r="F82" s="1116" t="s">
        <v>1116</v>
      </c>
      <c r="G82" s="2"/>
      <c r="H82" s="2"/>
      <c r="I82" s="2"/>
      <c r="J82" s="2"/>
      <c r="K82" s="2"/>
      <c r="L82" s="2"/>
      <c r="M82" s="2"/>
      <c r="N82" s="2"/>
      <c r="O82" s="2"/>
      <c r="P82" s="2"/>
      <c r="W82" t="s">
        <v>2089</v>
      </c>
    </row>
    <row r="83" spans="1:23" ht="13.15" customHeight="1" x14ac:dyDescent="0.2">
      <c r="A83" s="2" t="s">
        <v>2171</v>
      </c>
      <c r="B83" s="2">
        <f t="shared" si="2"/>
        <v>2019</v>
      </c>
      <c r="C83" s="2" t="str">
        <f t="shared" si="3"/>
        <v>EC101</v>
      </c>
      <c r="D83" s="1747">
        <v>1005</v>
      </c>
      <c r="E83" s="2" t="s">
        <v>2172</v>
      </c>
      <c r="F83" s="1116" t="s">
        <v>654</v>
      </c>
      <c r="G83" s="2"/>
      <c r="H83" s="2"/>
      <c r="I83" s="2"/>
      <c r="J83" s="2"/>
      <c r="K83" s="2"/>
      <c r="L83" s="2"/>
      <c r="M83" s="2"/>
      <c r="N83" s="2"/>
      <c r="O83" s="2"/>
      <c r="P83" s="2"/>
      <c r="W83" t="s">
        <v>2089</v>
      </c>
    </row>
    <row r="84" spans="1:23" ht="13.15" customHeight="1" x14ac:dyDescent="0.2">
      <c r="A84" s="2" t="s">
        <v>2171</v>
      </c>
      <c r="B84" s="2">
        <f t="shared" si="2"/>
        <v>2019</v>
      </c>
      <c r="C84" s="2" t="str">
        <f t="shared" si="3"/>
        <v>EC101</v>
      </c>
      <c r="D84" s="1747">
        <v>1006</v>
      </c>
      <c r="E84" s="2" t="s">
        <v>2173</v>
      </c>
      <c r="F84" s="1116" t="s">
        <v>1117</v>
      </c>
      <c r="G84" s="1750"/>
      <c r="H84" s="1750"/>
      <c r="I84" s="1750"/>
      <c r="J84" s="1750"/>
      <c r="K84" s="1750"/>
      <c r="L84" s="1750"/>
      <c r="M84" s="1750"/>
      <c r="N84" s="1750"/>
      <c r="O84" s="1750"/>
      <c r="P84" s="2"/>
      <c r="W84" t="s">
        <v>2089</v>
      </c>
    </row>
    <row r="85" spans="1:23" ht="13.15" customHeight="1" x14ac:dyDescent="0.2">
      <c r="A85" s="2" t="s">
        <v>2171</v>
      </c>
      <c r="B85" s="2">
        <f t="shared" si="2"/>
        <v>2019</v>
      </c>
      <c r="C85" s="2" t="str">
        <f t="shared" si="3"/>
        <v>EC101</v>
      </c>
      <c r="D85" s="1747">
        <v>1007</v>
      </c>
      <c r="E85" s="2" t="s">
        <v>2173</v>
      </c>
      <c r="F85" s="1116" t="s">
        <v>1118</v>
      </c>
      <c r="G85" s="1750"/>
      <c r="H85" s="1750"/>
      <c r="I85" s="1750"/>
      <c r="J85" s="1750"/>
      <c r="K85" s="1750"/>
      <c r="L85" s="1750"/>
      <c r="M85" s="1750"/>
      <c r="N85" s="1750"/>
      <c r="O85" s="1750"/>
      <c r="P85" s="2"/>
      <c r="W85" t="s">
        <v>2089</v>
      </c>
    </row>
    <row r="86" spans="1:23" ht="13.15" customHeight="1" x14ac:dyDescent="0.2">
      <c r="A86" s="2" t="s">
        <v>2171</v>
      </c>
      <c r="B86" s="2">
        <f t="shared" si="2"/>
        <v>2019</v>
      </c>
      <c r="C86" s="2" t="str">
        <f t="shared" si="3"/>
        <v>EC101</v>
      </c>
      <c r="D86" s="1747">
        <v>1008</v>
      </c>
      <c r="E86" s="2" t="s">
        <v>2173</v>
      </c>
      <c r="F86" s="1116" t="s">
        <v>1119</v>
      </c>
      <c r="G86" s="1750"/>
      <c r="H86" s="1750"/>
      <c r="I86" s="1750"/>
      <c r="J86" s="1750"/>
      <c r="K86" s="1750"/>
      <c r="L86" s="1750"/>
      <c r="M86" s="1750"/>
      <c r="N86" s="1750"/>
      <c r="O86" s="1750"/>
      <c r="P86" s="2"/>
      <c r="W86" t="s">
        <v>2089</v>
      </c>
    </row>
    <row r="87" spans="1:23" ht="13.15" customHeight="1" x14ac:dyDescent="0.2">
      <c r="A87" s="2" t="s">
        <v>2171</v>
      </c>
      <c r="B87" s="2">
        <f t="shared" si="2"/>
        <v>2019</v>
      </c>
      <c r="C87" s="2" t="str">
        <f t="shared" si="3"/>
        <v>EC101</v>
      </c>
      <c r="D87" s="1747">
        <v>1009</v>
      </c>
      <c r="E87" s="2" t="s">
        <v>2173</v>
      </c>
      <c r="F87" s="1116" t="s">
        <v>1120</v>
      </c>
      <c r="G87" s="1750"/>
      <c r="H87" s="1750"/>
      <c r="I87" s="1750"/>
      <c r="J87" s="1750"/>
      <c r="K87" s="1750"/>
      <c r="L87" s="1750"/>
      <c r="M87" s="1750"/>
      <c r="N87" s="1750"/>
      <c r="O87" s="1750"/>
      <c r="P87" s="2"/>
      <c r="W87" t="s">
        <v>2089</v>
      </c>
    </row>
    <row r="88" spans="1:23" ht="13.15" customHeight="1" x14ac:dyDescent="0.2">
      <c r="A88" s="2" t="s">
        <v>2171</v>
      </c>
      <c r="B88" s="2">
        <f t="shared" si="2"/>
        <v>2019</v>
      </c>
      <c r="C88" s="2" t="str">
        <f t="shared" si="3"/>
        <v>EC101</v>
      </c>
      <c r="D88" s="1747">
        <v>1010</v>
      </c>
      <c r="E88" s="2" t="s">
        <v>2173</v>
      </c>
      <c r="F88" s="1116" t="s">
        <v>1408</v>
      </c>
      <c r="G88" s="1750"/>
      <c r="H88" s="1750"/>
      <c r="I88" s="1750"/>
      <c r="J88" s="1750"/>
      <c r="K88" s="1750"/>
      <c r="L88" s="1750"/>
      <c r="M88" s="1750"/>
      <c r="N88" s="1750"/>
      <c r="O88" s="1750"/>
      <c r="P88" s="2"/>
      <c r="W88" t="s">
        <v>2089</v>
      </c>
    </row>
    <row r="89" spans="1:23" ht="13.15" customHeight="1" x14ac:dyDescent="0.2">
      <c r="A89" s="2" t="s">
        <v>2171</v>
      </c>
      <c r="B89" s="2">
        <f t="shared" si="2"/>
        <v>2019</v>
      </c>
      <c r="C89" s="2" t="str">
        <f t="shared" si="3"/>
        <v>EC101</v>
      </c>
      <c r="D89" s="1747">
        <v>1011</v>
      </c>
      <c r="E89" s="2" t="s">
        <v>2172</v>
      </c>
      <c r="F89" s="1116" t="s">
        <v>568</v>
      </c>
      <c r="G89" s="2"/>
      <c r="H89" s="2"/>
      <c r="I89" s="2"/>
      <c r="J89" s="2"/>
      <c r="K89" s="2"/>
      <c r="L89" s="2"/>
      <c r="M89" s="2"/>
      <c r="N89" s="2"/>
      <c r="O89" s="2"/>
      <c r="P89" s="2"/>
      <c r="W89" t="s">
        <v>2089</v>
      </c>
    </row>
    <row r="90" spans="1:23" ht="13.15" customHeight="1" x14ac:dyDescent="0.2">
      <c r="A90" s="2" t="s">
        <v>2171</v>
      </c>
      <c r="B90" s="2">
        <f t="shared" si="2"/>
        <v>2019</v>
      </c>
      <c r="C90" s="2" t="str">
        <f t="shared" si="3"/>
        <v>EC101</v>
      </c>
      <c r="D90" s="1747">
        <v>1012</v>
      </c>
      <c r="E90" s="2" t="s">
        <v>2173</v>
      </c>
      <c r="F90" s="1116" t="s">
        <v>347</v>
      </c>
      <c r="G90" s="1745"/>
      <c r="H90" s="1745"/>
      <c r="I90" s="1745"/>
      <c r="J90" s="1745"/>
      <c r="K90" s="1745"/>
      <c r="L90" s="1745"/>
      <c r="M90" s="1745"/>
      <c r="N90" s="1745"/>
      <c r="O90" s="1745"/>
      <c r="P90" s="2"/>
      <c r="W90" t="s">
        <v>2089</v>
      </c>
    </row>
    <row r="91" spans="1:23" ht="13.15" customHeight="1" x14ac:dyDescent="0.2">
      <c r="A91" s="2" t="s">
        <v>2171</v>
      </c>
      <c r="B91" s="2">
        <f t="shared" si="2"/>
        <v>2019</v>
      </c>
      <c r="C91" s="2" t="str">
        <f t="shared" si="3"/>
        <v>EC101</v>
      </c>
      <c r="D91" s="1747">
        <v>1020</v>
      </c>
      <c r="E91" s="2" t="s">
        <v>2173</v>
      </c>
      <c r="F91" s="1116" t="s">
        <v>350</v>
      </c>
      <c r="G91" s="1745"/>
      <c r="H91" s="1745"/>
      <c r="I91" s="1745"/>
      <c r="J91" s="1745"/>
      <c r="K91" s="1745"/>
      <c r="L91" s="1745"/>
      <c r="M91" s="1745"/>
      <c r="N91" s="1745"/>
      <c r="O91" s="1745"/>
      <c r="P91" s="2"/>
      <c r="W91" t="s">
        <v>2089</v>
      </c>
    </row>
    <row r="92" spans="1:23" ht="13.15" customHeight="1" x14ac:dyDescent="0.2">
      <c r="A92" s="2" t="s">
        <v>2171</v>
      </c>
      <c r="B92" s="2">
        <f t="shared" si="2"/>
        <v>2019</v>
      </c>
      <c r="C92" s="2" t="str">
        <f t="shared" si="3"/>
        <v>EC101</v>
      </c>
      <c r="D92" s="1747">
        <v>1021</v>
      </c>
      <c r="E92" s="2" t="s">
        <v>2173</v>
      </c>
      <c r="F92" s="1116" t="s">
        <v>351</v>
      </c>
      <c r="G92" s="1745"/>
      <c r="H92" s="1745"/>
      <c r="I92" s="1745"/>
      <c r="J92" s="1745"/>
      <c r="K92" s="1745"/>
      <c r="L92" s="1745"/>
      <c r="M92" s="1745"/>
      <c r="N92" s="1745"/>
      <c r="O92" s="1745"/>
      <c r="P92" s="2"/>
      <c r="W92" t="s">
        <v>2089</v>
      </c>
    </row>
    <row r="93" spans="1:23" ht="13.15" customHeight="1" x14ac:dyDescent="0.2">
      <c r="A93" s="2" t="s">
        <v>2171</v>
      </c>
      <c r="B93" s="2">
        <f t="shared" si="2"/>
        <v>2019</v>
      </c>
      <c r="C93" s="2" t="str">
        <f t="shared" si="3"/>
        <v>EC101</v>
      </c>
      <c r="D93" s="1747">
        <v>1022</v>
      </c>
      <c r="E93" s="2" t="s">
        <v>2173</v>
      </c>
      <c r="F93" s="1116" t="s">
        <v>352</v>
      </c>
      <c r="G93" s="1745"/>
      <c r="H93" s="1745"/>
      <c r="I93" s="1745"/>
      <c r="J93" s="1745"/>
      <c r="K93" s="1745"/>
      <c r="L93" s="1745"/>
      <c r="M93" s="1745"/>
      <c r="N93" s="1745"/>
      <c r="O93" s="1745"/>
      <c r="P93" s="2"/>
      <c r="W93" t="s">
        <v>2089</v>
      </c>
    </row>
    <row r="94" spans="1:23" ht="13.15" customHeight="1" x14ac:dyDescent="0.2">
      <c r="A94" s="2" t="s">
        <v>2171</v>
      </c>
      <c r="B94" s="2">
        <f t="shared" si="2"/>
        <v>2019</v>
      </c>
      <c r="C94" s="2" t="str">
        <f t="shared" si="3"/>
        <v>EC101</v>
      </c>
      <c r="D94" s="1747">
        <v>1023</v>
      </c>
      <c r="E94" s="2" t="s">
        <v>2173</v>
      </c>
      <c r="F94" s="1116" t="s">
        <v>645</v>
      </c>
      <c r="G94" s="1745"/>
      <c r="H94" s="1745"/>
      <c r="I94" s="1745"/>
      <c r="J94" s="1745"/>
      <c r="K94" s="1745"/>
      <c r="L94" s="1745"/>
      <c r="M94" s="1745"/>
      <c r="N94" s="1745"/>
      <c r="O94" s="1745"/>
      <c r="P94" s="2"/>
      <c r="W94" t="s">
        <v>2089</v>
      </c>
    </row>
    <row r="95" spans="1:23" ht="13.15" customHeight="1" x14ac:dyDescent="0.2">
      <c r="A95" s="2" t="s">
        <v>2171</v>
      </c>
      <c r="B95" s="2">
        <f t="shared" si="2"/>
        <v>2019</v>
      </c>
      <c r="C95" s="2" t="str">
        <f t="shared" si="3"/>
        <v>EC101</v>
      </c>
      <c r="D95" s="1747">
        <v>1024</v>
      </c>
      <c r="E95" s="2" t="s">
        <v>2173</v>
      </c>
      <c r="F95" s="1116" t="s">
        <v>646</v>
      </c>
      <c r="G95" s="1745"/>
      <c r="H95" s="1745"/>
      <c r="I95" s="1745"/>
      <c r="J95" s="1745"/>
      <c r="K95" s="1745"/>
      <c r="L95" s="1745"/>
      <c r="M95" s="1745"/>
      <c r="N95" s="1745"/>
      <c r="O95" s="1745"/>
      <c r="P95" s="2"/>
      <c r="W95" t="s">
        <v>2089</v>
      </c>
    </row>
    <row r="96" spans="1:23" ht="13.15" customHeight="1" x14ac:dyDescent="0.2">
      <c r="A96" s="2" t="s">
        <v>2171</v>
      </c>
      <c r="B96" s="2">
        <f t="shared" si="2"/>
        <v>2019</v>
      </c>
      <c r="C96" s="2" t="str">
        <f t="shared" si="3"/>
        <v>EC101</v>
      </c>
      <c r="D96" s="1747">
        <v>1025</v>
      </c>
      <c r="E96" s="2" t="s">
        <v>2173</v>
      </c>
      <c r="F96" s="1116" t="s">
        <v>319</v>
      </c>
      <c r="G96" s="1745"/>
      <c r="H96" s="1745"/>
      <c r="I96" s="1745"/>
      <c r="J96" s="1745"/>
      <c r="K96" s="1745"/>
      <c r="L96" s="1745"/>
      <c r="M96" s="1745"/>
      <c r="N96" s="1745"/>
      <c r="O96" s="1745"/>
      <c r="P96" s="2"/>
      <c r="W96" t="s">
        <v>2089</v>
      </c>
    </row>
    <row r="97" spans="1:23" ht="13.15" customHeight="1" x14ac:dyDescent="0.2">
      <c r="A97" s="2" t="s">
        <v>2171</v>
      </c>
      <c r="B97" s="2">
        <f t="shared" si="2"/>
        <v>2019</v>
      </c>
      <c r="C97" s="2" t="str">
        <f t="shared" si="3"/>
        <v>EC101</v>
      </c>
      <c r="D97" s="1747">
        <v>1026</v>
      </c>
      <c r="E97" s="2" t="s">
        <v>2173</v>
      </c>
      <c r="F97" s="1116" t="s">
        <v>320</v>
      </c>
      <c r="G97" s="1745"/>
      <c r="H97" s="1745"/>
      <c r="I97" s="1745"/>
      <c r="J97" s="1745"/>
      <c r="K97" s="1745"/>
      <c r="L97" s="1745"/>
      <c r="M97" s="1745"/>
      <c r="N97" s="1745"/>
      <c r="O97" s="1745"/>
      <c r="P97" s="2"/>
      <c r="W97" t="s">
        <v>2089</v>
      </c>
    </row>
    <row r="98" spans="1:23" ht="13.15" customHeight="1" x14ac:dyDescent="0.2">
      <c r="A98" s="2" t="s">
        <v>2171</v>
      </c>
      <c r="B98" s="2">
        <f t="shared" si="2"/>
        <v>2019</v>
      </c>
      <c r="C98" s="2" t="str">
        <f t="shared" si="3"/>
        <v>EC101</v>
      </c>
      <c r="D98" s="1747">
        <v>1028</v>
      </c>
      <c r="E98" s="2" t="s">
        <v>2173</v>
      </c>
      <c r="F98" s="1116" t="s">
        <v>655</v>
      </c>
      <c r="G98" s="1745"/>
      <c r="H98" s="1745"/>
      <c r="I98" s="1745"/>
      <c r="J98" s="1745"/>
      <c r="K98" s="1745"/>
      <c r="L98" s="1745"/>
      <c r="M98" s="1745"/>
      <c r="N98" s="1745"/>
      <c r="O98" s="1745"/>
      <c r="P98" s="2"/>
      <c r="W98" t="s">
        <v>2089</v>
      </c>
    </row>
    <row r="99" spans="1:23" ht="13.15" customHeight="1" x14ac:dyDescent="0.2">
      <c r="A99" s="2" t="s">
        <v>2171</v>
      </c>
      <c r="B99" s="2">
        <f t="shared" si="2"/>
        <v>2019</v>
      </c>
      <c r="C99" s="2" t="str">
        <f t="shared" si="3"/>
        <v>EC101</v>
      </c>
      <c r="D99" s="1747">
        <v>1029</v>
      </c>
      <c r="E99" s="2" t="s">
        <v>2173</v>
      </c>
      <c r="F99" s="1116" t="s">
        <v>644</v>
      </c>
      <c r="G99" s="1745"/>
      <c r="H99" s="1745"/>
      <c r="I99" s="1745"/>
      <c r="J99" s="1745"/>
      <c r="K99" s="1745"/>
      <c r="L99" s="1745"/>
      <c r="M99" s="1745"/>
      <c r="N99" s="1745"/>
      <c r="O99" s="1745"/>
      <c r="P99" s="2"/>
      <c r="W99" t="s">
        <v>2089</v>
      </c>
    </row>
    <row r="100" spans="1:23" ht="13.15" customHeight="1" x14ac:dyDescent="0.2">
      <c r="A100" s="2" t="s">
        <v>2171</v>
      </c>
      <c r="B100" s="2">
        <f t="shared" si="2"/>
        <v>2019</v>
      </c>
      <c r="C100" s="2" t="str">
        <f t="shared" si="3"/>
        <v>EC101</v>
      </c>
      <c r="D100" s="1747">
        <v>1030</v>
      </c>
      <c r="E100" s="2" t="s">
        <v>2173</v>
      </c>
      <c r="F100" s="1116" t="s">
        <v>1365</v>
      </c>
      <c r="G100" s="1745"/>
      <c r="H100" s="1745"/>
      <c r="I100" s="1745"/>
      <c r="J100" s="1745"/>
      <c r="K100" s="1745"/>
      <c r="L100" s="1745"/>
      <c r="M100" s="1745"/>
      <c r="N100" s="1745"/>
      <c r="O100" s="1745"/>
      <c r="P100" s="2"/>
      <c r="W100" t="s">
        <v>2089</v>
      </c>
    </row>
    <row r="101" spans="1:23" ht="13.15" customHeight="1" x14ac:dyDescent="0.2">
      <c r="A101" s="2" t="s">
        <v>2171</v>
      </c>
      <c r="B101" s="2">
        <f t="shared" si="2"/>
        <v>2019</v>
      </c>
      <c r="C101" s="2" t="str">
        <f t="shared" si="3"/>
        <v>EC101</v>
      </c>
      <c r="D101" s="1747">
        <v>1031</v>
      </c>
      <c r="E101" s="2" t="s">
        <v>2173</v>
      </c>
      <c r="F101" s="1116" t="s">
        <v>2174</v>
      </c>
      <c r="G101" s="1745"/>
      <c r="H101" s="1745"/>
      <c r="I101" s="1745"/>
      <c r="J101" s="1745"/>
      <c r="K101" s="1745"/>
      <c r="L101" s="1745"/>
      <c r="M101" s="1745"/>
      <c r="N101" s="1745"/>
      <c r="O101" s="1745"/>
      <c r="P101" s="2"/>
      <c r="W101" t="s">
        <v>2089</v>
      </c>
    </row>
    <row r="102" spans="1:23" ht="13.15" customHeight="1" x14ac:dyDescent="0.2">
      <c r="A102" s="2" t="s">
        <v>2171</v>
      </c>
      <c r="B102" s="2">
        <f t="shared" si="2"/>
        <v>2019</v>
      </c>
      <c r="C102" s="2" t="str">
        <f t="shared" si="3"/>
        <v>EC101</v>
      </c>
      <c r="D102" s="1747">
        <v>1032</v>
      </c>
      <c r="E102" s="2" t="s">
        <v>2173</v>
      </c>
      <c r="F102" s="1116" t="s">
        <v>2175</v>
      </c>
      <c r="G102" s="1745"/>
      <c r="H102" s="1745"/>
      <c r="I102" s="1745"/>
      <c r="J102" s="1745"/>
      <c r="K102" s="1745"/>
      <c r="L102" s="1745"/>
      <c r="M102" s="1745"/>
      <c r="N102" s="1745"/>
      <c r="O102" s="1745"/>
      <c r="P102" s="2"/>
      <c r="W102" t="s">
        <v>2089</v>
      </c>
    </row>
    <row r="103" spans="1:23" ht="13.15" customHeight="1" x14ac:dyDescent="0.2">
      <c r="A103" s="2" t="s">
        <v>2171</v>
      </c>
      <c r="B103" s="2">
        <f t="shared" si="2"/>
        <v>2019</v>
      </c>
      <c r="C103" s="2" t="str">
        <f t="shared" si="3"/>
        <v>EC101</v>
      </c>
      <c r="D103" s="1747">
        <v>1100</v>
      </c>
      <c r="E103" s="2" t="s">
        <v>2172</v>
      </c>
      <c r="F103" s="1748" t="s">
        <v>1366</v>
      </c>
      <c r="G103" s="1745"/>
      <c r="H103" s="1745"/>
      <c r="I103" s="1745"/>
      <c r="J103" s="1745"/>
      <c r="K103" s="1745"/>
      <c r="L103" s="1745"/>
      <c r="M103" s="1745"/>
      <c r="N103" s="1745"/>
      <c r="O103" s="1745"/>
      <c r="P103" s="2"/>
      <c r="W103" t="s">
        <v>2089</v>
      </c>
    </row>
    <row r="104" spans="1:23" ht="13.15" customHeight="1" x14ac:dyDescent="0.2">
      <c r="A104" s="2" t="s">
        <v>2171</v>
      </c>
      <c r="B104" s="2">
        <f t="shared" si="2"/>
        <v>2019</v>
      </c>
      <c r="C104" s="2" t="str">
        <f t="shared" si="3"/>
        <v>EC101</v>
      </c>
      <c r="D104" s="1747">
        <v>1101</v>
      </c>
      <c r="E104" s="2" t="s">
        <v>2173</v>
      </c>
      <c r="F104" s="1116" t="s">
        <v>2176</v>
      </c>
      <c r="G104" s="1745"/>
      <c r="H104" s="1745"/>
      <c r="I104" s="1745"/>
      <c r="J104" s="1745"/>
      <c r="K104" s="1745"/>
      <c r="L104" s="1745"/>
      <c r="M104" s="1745"/>
      <c r="N104" s="1745"/>
      <c r="O104" s="1745"/>
      <c r="P104" s="2"/>
      <c r="W104" t="s">
        <v>2089</v>
      </c>
    </row>
    <row r="105" spans="1:23" ht="13.15" customHeight="1" x14ac:dyDescent="0.2">
      <c r="A105" s="2" t="s">
        <v>2171</v>
      </c>
      <c r="B105" s="2">
        <f t="shared" si="2"/>
        <v>2019</v>
      </c>
      <c r="C105" s="2" t="str">
        <f t="shared" si="3"/>
        <v>EC101</v>
      </c>
      <c r="D105" s="1747">
        <v>1102</v>
      </c>
      <c r="E105" s="2" t="s">
        <v>2173</v>
      </c>
      <c r="F105" s="1116" t="s">
        <v>2177</v>
      </c>
      <c r="G105" s="1745"/>
      <c r="H105" s="1745"/>
      <c r="I105" s="1745"/>
      <c r="J105" s="1745"/>
      <c r="K105" s="1745"/>
      <c r="L105" s="1745"/>
      <c r="M105" s="1745"/>
      <c r="N105" s="1745"/>
      <c r="O105" s="1745"/>
      <c r="P105" s="2"/>
      <c r="W105" t="s">
        <v>2089</v>
      </c>
    </row>
    <row r="106" spans="1:23" ht="13.15" customHeight="1" x14ac:dyDescent="0.2">
      <c r="A106" s="2" t="s">
        <v>2171</v>
      </c>
      <c r="B106" s="2">
        <f t="shared" si="2"/>
        <v>2019</v>
      </c>
      <c r="C106" s="2" t="str">
        <f t="shared" si="3"/>
        <v>EC101</v>
      </c>
      <c r="D106" s="1747">
        <v>1103</v>
      </c>
      <c r="E106" s="2" t="s">
        <v>2173</v>
      </c>
      <c r="F106" s="1116" t="s">
        <v>2178</v>
      </c>
      <c r="G106" s="1745"/>
      <c r="H106" s="1745"/>
      <c r="I106" s="1745"/>
      <c r="J106" s="1745"/>
      <c r="K106" s="1745"/>
      <c r="L106" s="1745"/>
      <c r="M106" s="1745"/>
      <c r="N106" s="1745"/>
      <c r="O106" s="1745"/>
      <c r="P106" s="2"/>
      <c r="W106" t="s">
        <v>2089</v>
      </c>
    </row>
    <row r="107" spans="1:23" ht="13.15" customHeight="1" x14ac:dyDescent="0.2">
      <c r="A107" s="2" t="s">
        <v>2171</v>
      </c>
      <c r="B107" s="2">
        <f t="shared" si="2"/>
        <v>2019</v>
      </c>
      <c r="C107" s="2" t="str">
        <f t="shared" si="3"/>
        <v>EC101</v>
      </c>
      <c r="D107" s="1747">
        <v>1104</v>
      </c>
      <c r="E107" s="2" t="s">
        <v>2173</v>
      </c>
      <c r="F107" s="1116" t="s">
        <v>2179</v>
      </c>
      <c r="G107" s="1745"/>
      <c r="H107" s="1745"/>
      <c r="I107" s="1745"/>
      <c r="J107" s="1745"/>
      <c r="K107" s="1745"/>
      <c r="L107" s="1745"/>
      <c r="M107" s="1745"/>
      <c r="N107" s="1745"/>
      <c r="O107" s="1745"/>
      <c r="P107" s="2"/>
      <c r="W107" t="s">
        <v>2089</v>
      </c>
    </row>
    <row r="108" spans="1:23" ht="13.15" customHeight="1" x14ac:dyDescent="0.2">
      <c r="A108" s="2" t="s">
        <v>2171</v>
      </c>
      <c r="B108" s="2">
        <f t="shared" si="2"/>
        <v>2019</v>
      </c>
      <c r="C108" s="2" t="str">
        <f t="shared" si="3"/>
        <v>EC101</v>
      </c>
      <c r="D108" s="1747">
        <v>1105</v>
      </c>
      <c r="E108" s="2" t="s">
        <v>2173</v>
      </c>
      <c r="F108" s="1116" t="s">
        <v>2180</v>
      </c>
      <c r="G108" s="1745"/>
      <c r="H108" s="1745"/>
      <c r="I108" s="1745"/>
      <c r="J108" s="1745"/>
      <c r="K108" s="1745"/>
      <c r="L108" s="1745"/>
      <c r="M108" s="1745"/>
      <c r="N108" s="1745"/>
      <c r="O108" s="1745"/>
      <c r="P108" s="2"/>
      <c r="W108" t="s">
        <v>2089</v>
      </c>
    </row>
    <row r="109" spans="1:23" ht="13.15" customHeight="1" x14ac:dyDescent="0.2">
      <c r="A109" s="2" t="s">
        <v>2171</v>
      </c>
      <c r="B109" s="2">
        <f t="shared" si="2"/>
        <v>2019</v>
      </c>
      <c r="C109" s="2" t="str">
        <f t="shared" si="3"/>
        <v>EC101</v>
      </c>
      <c r="D109" s="1747">
        <v>1106</v>
      </c>
      <c r="E109" s="2" t="s">
        <v>2173</v>
      </c>
      <c r="F109" s="1116" t="s">
        <v>2181</v>
      </c>
      <c r="G109" s="1745"/>
      <c r="H109" s="1745"/>
      <c r="I109" s="1745"/>
      <c r="J109" s="1745"/>
      <c r="K109" s="1745"/>
      <c r="L109" s="1745"/>
      <c r="M109" s="1745"/>
      <c r="N109" s="1745"/>
      <c r="O109" s="1745"/>
      <c r="P109" s="2"/>
      <c r="W109" t="s">
        <v>2089</v>
      </c>
    </row>
    <row r="110" spans="1:23" ht="13.15" customHeight="1" x14ac:dyDescent="0.2">
      <c r="A110" s="2" t="s">
        <v>2171</v>
      </c>
      <c r="B110" s="2">
        <f t="shared" si="2"/>
        <v>2019</v>
      </c>
      <c r="C110" s="2" t="str">
        <f t="shared" si="3"/>
        <v>EC101</v>
      </c>
      <c r="D110" s="1747">
        <v>1107</v>
      </c>
      <c r="E110" s="2" t="s">
        <v>2173</v>
      </c>
      <c r="F110" s="2" t="s">
        <v>1367</v>
      </c>
      <c r="G110" s="1745"/>
      <c r="H110" s="1745"/>
      <c r="I110" s="1745"/>
      <c r="J110" s="1745"/>
      <c r="K110" s="1745"/>
      <c r="L110" s="1745"/>
      <c r="M110" s="1745"/>
      <c r="N110" s="1745"/>
      <c r="O110" s="1745"/>
      <c r="P110" s="2"/>
      <c r="W110" t="s">
        <v>2089</v>
      </c>
    </row>
    <row r="111" spans="1:23" ht="13.15" customHeight="1" x14ac:dyDescent="0.2">
      <c r="A111" s="2" t="s">
        <v>2171</v>
      </c>
      <c r="B111" s="2">
        <f t="shared" si="2"/>
        <v>2019</v>
      </c>
      <c r="C111" s="2" t="str">
        <f t="shared" si="3"/>
        <v>EC101</v>
      </c>
      <c r="D111" s="1747">
        <v>1108</v>
      </c>
      <c r="E111" s="2" t="s">
        <v>2173</v>
      </c>
      <c r="F111" s="1116" t="s">
        <v>2182</v>
      </c>
      <c r="G111" s="1745"/>
      <c r="H111" s="1745"/>
      <c r="I111" s="1745"/>
      <c r="J111" s="1745"/>
      <c r="K111" s="1745"/>
      <c r="L111" s="1745"/>
      <c r="M111" s="1745"/>
      <c r="N111" s="1745"/>
      <c r="O111" s="1745"/>
      <c r="P111" s="2"/>
      <c r="W111" t="s">
        <v>2089</v>
      </c>
    </row>
    <row r="112" spans="1:23" ht="13.15" customHeight="1" x14ac:dyDescent="0.2">
      <c r="A112" s="2" t="s">
        <v>2171</v>
      </c>
      <c r="B112" s="2">
        <f t="shared" si="2"/>
        <v>2019</v>
      </c>
      <c r="C112" s="2" t="str">
        <f t="shared" si="3"/>
        <v>EC101</v>
      </c>
      <c r="D112" s="1747">
        <v>1109</v>
      </c>
      <c r="E112" s="2" t="s">
        <v>2173</v>
      </c>
      <c r="F112" s="1116" t="s">
        <v>2183</v>
      </c>
      <c r="G112" s="1745"/>
      <c r="H112" s="1745"/>
      <c r="I112" s="1745"/>
      <c r="J112" s="1745"/>
      <c r="K112" s="1745"/>
      <c r="L112" s="1745"/>
      <c r="M112" s="1745"/>
      <c r="N112" s="1745"/>
      <c r="O112" s="1745"/>
      <c r="P112" s="2"/>
      <c r="W112" t="s">
        <v>2089</v>
      </c>
    </row>
    <row r="113" spans="1:23" ht="13.15" customHeight="1" x14ac:dyDescent="0.2">
      <c r="A113" s="2" t="s">
        <v>2171</v>
      </c>
      <c r="B113" s="2">
        <f t="shared" si="2"/>
        <v>2019</v>
      </c>
      <c r="C113" s="2" t="str">
        <f t="shared" si="3"/>
        <v>EC101</v>
      </c>
      <c r="D113" s="1747">
        <v>1110</v>
      </c>
      <c r="E113" s="2" t="s">
        <v>2173</v>
      </c>
      <c r="F113" s="1116" t="s">
        <v>2184</v>
      </c>
      <c r="G113" s="1745"/>
      <c r="H113" s="1745"/>
      <c r="I113" s="1745"/>
      <c r="J113" s="1745"/>
      <c r="K113" s="1745"/>
      <c r="L113" s="1745"/>
      <c r="M113" s="1745"/>
      <c r="N113" s="1745"/>
      <c r="O113" s="1745"/>
      <c r="P113" s="2"/>
      <c r="W113" t="s">
        <v>2089</v>
      </c>
    </row>
    <row r="114" spans="1:23" ht="13.15" customHeight="1" x14ac:dyDescent="0.2">
      <c r="A114" s="2" t="s">
        <v>2171</v>
      </c>
      <c r="B114" s="2">
        <f t="shared" si="2"/>
        <v>2019</v>
      </c>
      <c r="C114" s="2" t="str">
        <f t="shared" si="3"/>
        <v>EC101</v>
      </c>
      <c r="D114" s="1747">
        <v>1111</v>
      </c>
      <c r="E114" s="2" t="s">
        <v>2173</v>
      </c>
      <c r="F114" s="1116" t="s">
        <v>2185</v>
      </c>
      <c r="G114" s="1745"/>
      <c r="H114" s="1745"/>
      <c r="I114" s="1745"/>
      <c r="J114" s="1745"/>
      <c r="K114" s="1745"/>
      <c r="L114" s="1745"/>
      <c r="M114" s="1745"/>
      <c r="N114" s="1745"/>
      <c r="O114" s="1745"/>
      <c r="P114" s="2"/>
      <c r="W114" t="s">
        <v>2089</v>
      </c>
    </row>
    <row r="115" spans="1:23" ht="13.15" customHeight="1" x14ac:dyDescent="0.2">
      <c r="A115" s="2" t="s">
        <v>2171</v>
      </c>
      <c r="B115" s="2">
        <f t="shared" si="2"/>
        <v>2019</v>
      </c>
      <c r="C115" s="2" t="str">
        <f t="shared" si="3"/>
        <v>EC101</v>
      </c>
      <c r="D115" s="1747"/>
      <c r="E115" s="2"/>
      <c r="F115" s="1116"/>
      <c r="G115" s="1745"/>
      <c r="H115" s="1745"/>
      <c r="I115" s="1745"/>
      <c r="J115" s="1745"/>
      <c r="K115" s="1745"/>
      <c r="L115" s="1745"/>
      <c r="M115" s="1745"/>
      <c r="N115" s="1745"/>
      <c r="O115" s="1745"/>
      <c r="P115" s="2"/>
      <c r="W115" t="s">
        <v>2089</v>
      </c>
    </row>
    <row r="116" spans="1:23" ht="13.15" customHeight="1" x14ac:dyDescent="0.2">
      <c r="A116" s="2" t="s">
        <v>2171</v>
      </c>
      <c r="B116" s="2">
        <f t="shared" si="2"/>
        <v>2019</v>
      </c>
      <c r="C116" s="2" t="str">
        <f t="shared" si="3"/>
        <v>EC101</v>
      </c>
      <c r="D116" s="1747">
        <v>1200</v>
      </c>
      <c r="E116" s="2" t="s">
        <v>2172</v>
      </c>
      <c r="F116" s="1748" t="s">
        <v>1368</v>
      </c>
      <c r="G116" s="2"/>
      <c r="H116" s="2"/>
      <c r="I116" s="2"/>
      <c r="J116" s="2"/>
      <c r="K116" s="2"/>
      <c r="L116" s="2"/>
      <c r="M116" s="2"/>
      <c r="N116" s="2"/>
      <c r="O116" s="2"/>
      <c r="P116" s="2"/>
      <c r="W116" t="s">
        <v>2089</v>
      </c>
    </row>
    <row r="117" spans="1:23" ht="13.15" customHeight="1" x14ac:dyDescent="0.2">
      <c r="A117" s="2" t="s">
        <v>2171</v>
      </c>
      <c r="B117" s="2">
        <f t="shared" si="2"/>
        <v>2019</v>
      </c>
      <c r="C117" s="2" t="str">
        <f t="shared" si="3"/>
        <v>EC101</v>
      </c>
      <c r="D117" s="1747">
        <v>1202</v>
      </c>
      <c r="E117" s="2" t="s">
        <v>2172</v>
      </c>
      <c r="F117" s="1751" t="s">
        <v>1291</v>
      </c>
      <c r="G117" s="2"/>
      <c r="H117" s="2"/>
      <c r="I117" s="2"/>
      <c r="J117" s="2"/>
      <c r="K117" s="2"/>
      <c r="L117" s="2"/>
      <c r="M117" s="2"/>
      <c r="N117" s="2"/>
      <c r="O117" s="2"/>
      <c r="P117" s="2"/>
      <c r="W117" t="s">
        <v>2089</v>
      </c>
    </row>
    <row r="118" spans="1:23" ht="13.15" customHeight="1" x14ac:dyDescent="0.2">
      <c r="A118" s="2" t="s">
        <v>2171</v>
      </c>
      <c r="B118" s="2">
        <f t="shared" si="2"/>
        <v>2019</v>
      </c>
      <c r="C118" s="2" t="str">
        <f t="shared" si="3"/>
        <v>EC101</v>
      </c>
      <c r="D118" s="1747">
        <v>1203</v>
      </c>
      <c r="E118" s="2" t="s">
        <v>2172</v>
      </c>
      <c r="F118" s="1116" t="s">
        <v>649</v>
      </c>
      <c r="G118" s="2"/>
      <c r="H118" s="2"/>
      <c r="I118" s="2"/>
      <c r="J118" s="2"/>
      <c r="K118" s="2"/>
      <c r="L118" s="2"/>
      <c r="M118" s="2"/>
      <c r="N118" s="2"/>
      <c r="O118" s="2"/>
      <c r="P118" s="2"/>
      <c r="W118" t="s">
        <v>2089</v>
      </c>
    </row>
    <row r="119" spans="1:23" ht="13.15" customHeight="1" x14ac:dyDescent="0.2">
      <c r="A119" s="2" t="s">
        <v>2171</v>
      </c>
      <c r="B119" s="2">
        <f t="shared" si="2"/>
        <v>2019</v>
      </c>
      <c r="C119" s="2" t="str">
        <f t="shared" si="3"/>
        <v>EC101</v>
      </c>
      <c r="D119" s="1747">
        <v>1204</v>
      </c>
      <c r="E119" s="2" t="s">
        <v>2172</v>
      </c>
      <c r="F119" s="1116" t="s">
        <v>650</v>
      </c>
      <c r="G119" s="2"/>
      <c r="H119" s="2"/>
      <c r="I119" s="2"/>
      <c r="J119" s="2"/>
      <c r="K119" s="2"/>
      <c r="L119" s="2"/>
      <c r="M119" s="2"/>
      <c r="N119" s="2"/>
      <c r="O119" s="2"/>
      <c r="P119" s="2"/>
      <c r="W119" t="s">
        <v>2089</v>
      </c>
    </row>
    <row r="120" spans="1:23" ht="13.15" customHeight="1" x14ac:dyDescent="0.2">
      <c r="A120" s="2" t="s">
        <v>2171</v>
      </c>
      <c r="B120" s="2">
        <f t="shared" si="2"/>
        <v>2019</v>
      </c>
      <c r="C120" s="2" t="str">
        <f t="shared" si="3"/>
        <v>EC101</v>
      </c>
      <c r="D120" s="1747">
        <v>1205</v>
      </c>
      <c r="E120" s="2" t="s">
        <v>2172</v>
      </c>
      <c r="F120" s="1116" t="s">
        <v>651</v>
      </c>
      <c r="G120" s="2"/>
      <c r="H120" s="2"/>
      <c r="I120" s="2"/>
      <c r="J120" s="2"/>
      <c r="K120" s="2"/>
      <c r="L120" s="2"/>
      <c r="M120" s="2"/>
      <c r="N120" s="2"/>
      <c r="O120" s="2"/>
      <c r="P120" s="2"/>
      <c r="W120" t="s">
        <v>2089</v>
      </c>
    </row>
    <row r="121" spans="1:23" ht="13.15" customHeight="1" x14ac:dyDescent="0.2">
      <c r="A121" s="2" t="s">
        <v>2171</v>
      </c>
      <c r="B121" s="2">
        <f t="shared" si="2"/>
        <v>2019</v>
      </c>
      <c r="C121" s="2" t="str">
        <f t="shared" si="3"/>
        <v>EC101</v>
      </c>
      <c r="D121" s="1747">
        <v>1206</v>
      </c>
      <c r="E121" s="2" t="s">
        <v>2173</v>
      </c>
      <c r="F121" s="1116" t="s">
        <v>141</v>
      </c>
      <c r="G121" s="1745"/>
      <c r="H121" s="1745"/>
      <c r="I121" s="1745"/>
      <c r="J121" s="1745"/>
      <c r="K121" s="1745"/>
      <c r="L121" s="1745"/>
      <c r="M121" s="1745"/>
      <c r="N121" s="1745"/>
      <c r="O121" s="1745"/>
      <c r="P121" s="2"/>
      <c r="W121" t="s">
        <v>2089</v>
      </c>
    </row>
    <row r="122" spans="1:23" ht="13.15" customHeight="1" x14ac:dyDescent="0.2">
      <c r="A122" s="2" t="s">
        <v>2171</v>
      </c>
      <c r="B122" s="2">
        <f t="shared" si="2"/>
        <v>2019</v>
      </c>
      <c r="C122" s="2" t="str">
        <f t="shared" si="3"/>
        <v>EC101</v>
      </c>
      <c r="D122" s="1747">
        <v>1207</v>
      </c>
      <c r="E122" s="2" t="s">
        <v>2172</v>
      </c>
      <c r="F122" s="1116" t="s">
        <v>348</v>
      </c>
      <c r="G122" s="2"/>
      <c r="H122" s="2"/>
      <c r="I122" s="2"/>
      <c r="J122" s="2"/>
      <c r="K122" s="2"/>
      <c r="L122" s="2"/>
      <c r="M122" s="2"/>
      <c r="N122" s="2"/>
      <c r="O122" s="2"/>
      <c r="P122" s="2"/>
      <c r="W122" t="s">
        <v>2089</v>
      </c>
    </row>
    <row r="123" spans="1:23" ht="13.15" customHeight="1" x14ac:dyDescent="0.2">
      <c r="A123" s="2" t="s">
        <v>2171</v>
      </c>
      <c r="B123" s="2">
        <f t="shared" si="2"/>
        <v>2019</v>
      </c>
      <c r="C123" s="2" t="str">
        <f t="shared" si="3"/>
        <v>EC101</v>
      </c>
      <c r="D123" s="1747">
        <v>1208</v>
      </c>
      <c r="E123" s="2" t="s">
        <v>2173</v>
      </c>
      <c r="F123" s="1116" t="s">
        <v>2186</v>
      </c>
      <c r="G123" s="1745"/>
      <c r="H123" s="1745"/>
      <c r="I123" s="1745"/>
      <c r="J123" s="1745"/>
      <c r="K123" s="1745"/>
      <c r="L123" s="1745"/>
      <c r="M123" s="1745"/>
      <c r="N123" s="1745"/>
      <c r="O123" s="1745"/>
      <c r="P123" s="2"/>
      <c r="W123" t="s">
        <v>2089</v>
      </c>
    </row>
    <row r="124" spans="1:23" ht="13.15" customHeight="1" x14ac:dyDescent="0.2">
      <c r="A124" s="2" t="s">
        <v>2171</v>
      </c>
      <c r="B124" s="2">
        <f t="shared" si="2"/>
        <v>2019</v>
      </c>
      <c r="C124" s="2" t="str">
        <f t="shared" si="3"/>
        <v>EC101</v>
      </c>
      <c r="D124" s="1747">
        <v>1209</v>
      </c>
      <c r="E124" s="2" t="s">
        <v>826</v>
      </c>
      <c r="F124" s="1116" t="s">
        <v>460</v>
      </c>
      <c r="G124" s="1752"/>
      <c r="H124" s="1752"/>
      <c r="I124" s="1752"/>
      <c r="J124" s="1752"/>
      <c r="K124" s="1752"/>
      <c r="L124" s="1752"/>
      <c r="M124" s="1752"/>
      <c r="N124" s="1752"/>
      <c r="O124" s="1752"/>
      <c r="P124" s="2"/>
      <c r="W124" t="s">
        <v>2089</v>
      </c>
    </row>
    <row r="125" spans="1:23" ht="13.15" customHeight="1" x14ac:dyDescent="0.2">
      <c r="A125" s="2" t="s">
        <v>2171</v>
      </c>
      <c r="B125" s="2">
        <f t="shared" si="2"/>
        <v>2019</v>
      </c>
      <c r="C125" s="2" t="str">
        <f t="shared" si="3"/>
        <v>EC101</v>
      </c>
      <c r="D125" s="1747"/>
      <c r="E125" s="2"/>
      <c r="F125" s="1116"/>
      <c r="G125" s="1745"/>
      <c r="H125" s="1745"/>
      <c r="I125" s="1745"/>
      <c r="J125" s="1745"/>
      <c r="K125" s="1745"/>
      <c r="L125" s="1745"/>
      <c r="M125" s="1745"/>
      <c r="N125" s="2"/>
      <c r="O125" s="2"/>
      <c r="P125" s="2"/>
      <c r="W125" t="s">
        <v>2089</v>
      </c>
    </row>
    <row r="126" spans="1:23" ht="13.15" customHeight="1" x14ac:dyDescent="0.2">
      <c r="A126" s="2" t="s">
        <v>2171</v>
      </c>
      <c r="B126" s="2">
        <f t="shared" si="2"/>
        <v>2019</v>
      </c>
      <c r="C126" s="2" t="str">
        <f t="shared" si="3"/>
        <v>EC101</v>
      </c>
      <c r="D126" s="1747">
        <v>1300</v>
      </c>
      <c r="E126" s="2" t="s">
        <v>2172</v>
      </c>
      <c r="F126" s="1748" t="s">
        <v>571</v>
      </c>
      <c r="G126" s="1745"/>
      <c r="H126" s="1745"/>
      <c r="I126" s="1745"/>
      <c r="J126" s="1745"/>
      <c r="K126" s="1745"/>
      <c r="L126" s="1745"/>
      <c r="M126" s="1745"/>
      <c r="N126" s="1745"/>
      <c r="O126" s="1745"/>
      <c r="P126" s="2"/>
      <c r="W126" t="s">
        <v>2089</v>
      </c>
    </row>
    <row r="127" spans="1:23" ht="13.15" customHeight="1" x14ac:dyDescent="0.2">
      <c r="A127" s="2" t="s">
        <v>2171</v>
      </c>
      <c r="B127" s="2">
        <f t="shared" si="2"/>
        <v>2019</v>
      </c>
      <c r="C127" s="2" t="str">
        <f t="shared" si="3"/>
        <v>EC101</v>
      </c>
      <c r="D127" s="1747">
        <v>1301</v>
      </c>
      <c r="E127" s="2" t="s">
        <v>2173</v>
      </c>
      <c r="F127" s="1116" t="s">
        <v>2187</v>
      </c>
      <c r="G127" s="1745"/>
      <c r="H127" s="1745"/>
      <c r="I127" s="1745"/>
      <c r="J127" s="1745"/>
      <c r="K127" s="1745"/>
      <c r="L127" s="1745"/>
      <c r="M127" s="1745"/>
      <c r="N127" s="1745"/>
      <c r="O127" s="1745"/>
      <c r="P127" s="2"/>
      <c r="W127" t="s">
        <v>2089</v>
      </c>
    </row>
    <row r="128" spans="1:23" ht="13.15" customHeight="1" x14ac:dyDescent="0.2">
      <c r="A128" s="2" t="s">
        <v>2171</v>
      </c>
      <c r="B128" s="2">
        <f t="shared" si="2"/>
        <v>2019</v>
      </c>
      <c r="C128" s="2" t="str">
        <f t="shared" si="3"/>
        <v>EC101</v>
      </c>
      <c r="D128" s="1747">
        <v>1302</v>
      </c>
      <c r="E128" s="2" t="s">
        <v>2173</v>
      </c>
      <c r="F128" s="1116" t="s">
        <v>2188</v>
      </c>
      <c r="G128" s="1745"/>
      <c r="H128" s="1745"/>
      <c r="I128" s="1745"/>
      <c r="J128" s="1745"/>
      <c r="K128" s="1745"/>
      <c r="L128" s="1745"/>
      <c r="M128" s="1745"/>
      <c r="N128" s="1745"/>
      <c r="O128" s="1745"/>
      <c r="P128" s="2"/>
      <c r="W128" t="s">
        <v>2089</v>
      </c>
    </row>
    <row r="129" spans="1:23" ht="13.15" customHeight="1" x14ac:dyDescent="0.2">
      <c r="A129" s="2" t="s">
        <v>2171</v>
      </c>
      <c r="B129" s="2">
        <f t="shared" si="2"/>
        <v>2019</v>
      </c>
      <c r="C129" s="2" t="str">
        <f t="shared" si="3"/>
        <v>EC101</v>
      </c>
      <c r="D129" s="1747">
        <v>1303</v>
      </c>
      <c r="E129" s="2" t="s">
        <v>826</v>
      </c>
      <c r="F129" s="1116" t="s">
        <v>1404</v>
      </c>
      <c r="G129" s="1752"/>
      <c r="H129" s="1752"/>
      <c r="I129" s="1752"/>
      <c r="J129" s="1752"/>
      <c r="K129" s="1752"/>
      <c r="L129" s="1752"/>
      <c r="M129" s="1752"/>
      <c r="N129" s="1752"/>
      <c r="O129" s="1752"/>
      <c r="P129" s="2"/>
      <c r="W129" t="s">
        <v>2089</v>
      </c>
    </row>
    <row r="130" spans="1:23" ht="13.15" customHeight="1" x14ac:dyDescent="0.2">
      <c r="A130" s="2" t="s">
        <v>2171</v>
      </c>
      <c r="B130" s="2">
        <f t="shared" ref="B130:B193" si="4">+MTREF</f>
        <v>2019</v>
      </c>
      <c r="C130" s="2" t="str">
        <f t="shared" ref="C130:C193" si="5">LEFT(muni,(FIND(" ",muni,1)-1))</f>
        <v>EC101</v>
      </c>
      <c r="D130" s="1747">
        <v>1304</v>
      </c>
      <c r="E130" s="2" t="s">
        <v>2173</v>
      </c>
      <c r="F130" s="1116" t="s">
        <v>2189</v>
      </c>
      <c r="G130" s="1745"/>
      <c r="H130" s="1745"/>
      <c r="I130" s="1745"/>
      <c r="J130" s="1745"/>
      <c r="K130" s="1745"/>
      <c r="L130" s="1745"/>
      <c r="M130" s="1745"/>
      <c r="N130" s="1745"/>
      <c r="O130" s="1745"/>
      <c r="P130" s="2"/>
      <c r="W130" t="s">
        <v>2089</v>
      </c>
    </row>
    <row r="131" spans="1:23" ht="13.15" customHeight="1" x14ac:dyDescent="0.2">
      <c r="A131" s="2" t="s">
        <v>2171</v>
      </c>
      <c r="B131" s="2">
        <f t="shared" si="4"/>
        <v>2019</v>
      </c>
      <c r="C131" s="2" t="str">
        <f t="shared" si="5"/>
        <v>EC101</v>
      </c>
      <c r="D131" s="1747">
        <v>1305</v>
      </c>
      <c r="E131" s="2" t="s">
        <v>2173</v>
      </c>
      <c r="F131" s="1116" t="s">
        <v>2190</v>
      </c>
      <c r="G131" s="1745"/>
      <c r="H131" s="1745"/>
      <c r="I131" s="1745"/>
      <c r="J131" s="1745"/>
      <c r="K131" s="1745"/>
      <c r="L131" s="1745"/>
      <c r="M131" s="1745"/>
      <c r="N131" s="1745"/>
      <c r="O131" s="1745"/>
      <c r="P131" s="2"/>
      <c r="W131" t="s">
        <v>2089</v>
      </c>
    </row>
    <row r="132" spans="1:23" ht="13.15" customHeight="1" x14ac:dyDescent="0.2">
      <c r="A132" s="2" t="s">
        <v>2171</v>
      </c>
      <c r="B132" s="2">
        <f t="shared" si="4"/>
        <v>2019</v>
      </c>
      <c r="C132" s="2" t="str">
        <f t="shared" si="5"/>
        <v>EC101</v>
      </c>
      <c r="D132" s="1747">
        <v>1306</v>
      </c>
      <c r="E132" s="2" t="s">
        <v>2173</v>
      </c>
      <c r="F132" s="1116" t="s">
        <v>2191</v>
      </c>
      <c r="G132" s="1745"/>
      <c r="H132" s="1745"/>
      <c r="I132" s="1745"/>
      <c r="J132" s="1745"/>
      <c r="K132" s="1745"/>
      <c r="L132" s="1745"/>
      <c r="M132" s="1745"/>
      <c r="N132" s="1745"/>
      <c r="O132" s="1745"/>
      <c r="P132" s="2"/>
      <c r="W132" t="s">
        <v>2089</v>
      </c>
    </row>
    <row r="133" spans="1:23" ht="13.15" customHeight="1" x14ac:dyDescent="0.2">
      <c r="A133" s="2" t="s">
        <v>2171</v>
      </c>
      <c r="B133" s="2">
        <f t="shared" si="4"/>
        <v>2019</v>
      </c>
      <c r="C133" s="2" t="str">
        <f t="shared" si="5"/>
        <v>EC101</v>
      </c>
      <c r="D133" s="1747">
        <v>1307</v>
      </c>
      <c r="E133" s="2" t="s">
        <v>2173</v>
      </c>
      <c r="F133" s="1116" t="s">
        <v>2192</v>
      </c>
      <c r="G133" s="1745"/>
      <c r="H133" s="1745"/>
      <c r="I133" s="1745"/>
      <c r="J133" s="1745"/>
      <c r="K133" s="1745"/>
      <c r="L133" s="1745"/>
      <c r="M133" s="1745"/>
      <c r="N133" s="1745"/>
      <c r="O133" s="1745"/>
      <c r="P133" s="2"/>
      <c r="W133" t="s">
        <v>2089</v>
      </c>
    </row>
    <row r="134" spans="1:23" ht="13.15" customHeight="1" x14ac:dyDescent="0.2">
      <c r="A134" s="2" t="s">
        <v>2171</v>
      </c>
      <c r="B134" s="2">
        <f t="shared" si="4"/>
        <v>2019</v>
      </c>
      <c r="C134" s="2" t="str">
        <f t="shared" si="5"/>
        <v>EC101</v>
      </c>
      <c r="D134" s="1747">
        <v>1308</v>
      </c>
      <c r="E134" s="2" t="s">
        <v>2173</v>
      </c>
      <c r="F134" s="1116" t="s">
        <v>2193</v>
      </c>
      <c r="G134" s="1745"/>
      <c r="H134" s="1745"/>
      <c r="I134" s="1745"/>
      <c r="J134" s="1745"/>
      <c r="K134" s="1745"/>
      <c r="L134" s="1745"/>
      <c r="M134" s="1745"/>
      <c r="N134" s="1745"/>
      <c r="O134" s="1745"/>
      <c r="P134" s="2"/>
      <c r="W134" t="s">
        <v>2089</v>
      </c>
    </row>
    <row r="135" spans="1:23" ht="13.15" customHeight="1" x14ac:dyDescent="0.2">
      <c r="A135" s="2" t="s">
        <v>2171</v>
      </c>
      <c r="B135" s="2">
        <f t="shared" si="4"/>
        <v>2019</v>
      </c>
      <c r="C135" s="2" t="str">
        <f t="shared" si="5"/>
        <v>EC101</v>
      </c>
      <c r="D135" s="1747">
        <v>1309</v>
      </c>
      <c r="E135" s="2" t="s">
        <v>2173</v>
      </c>
      <c r="F135" s="1116" t="s">
        <v>2194</v>
      </c>
      <c r="G135" s="1745"/>
      <c r="H135" s="1745"/>
      <c r="I135" s="1745"/>
      <c r="J135" s="1745"/>
      <c r="K135" s="1745"/>
      <c r="L135" s="1745"/>
      <c r="M135" s="1745"/>
      <c r="N135" s="1745"/>
      <c r="O135" s="1745"/>
      <c r="P135" s="2"/>
      <c r="W135" t="s">
        <v>2089</v>
      </c>
    </row>
    <row r="136" spans="1:23" ht="13.15" customHeight="1" x14ac:dyDescent="0.2">
      <c r="A136" s="2" t="s">
        <v>2171</v>
      </c>
      <c r="B136" s="2">
        <f t="shared" si="4"/>
        <v>2019</v>
      </c>
      <c r="C136" s="2" t="str">
        <f t="shared" si="5"/>
        <v>EC101</v>
      </c>
      <c r="D136" s="1747">
        <v>1310</v>
      </c>
      <c r="E136" s="2" t="s">
        <v>2173</v>
      </c>
      <c r="F136" s="2" t="s">
        <v>2195</v>
      </c>
      <c r="G136" s="1745"/>
      <c r="H136" s="1745"/>
      <c r="I136" s="1745"/>
      <c r="J136" s="1745"/>
      <c r="K136" s="1745"/>
      <c r="L136" s="1745"/>
      <c r="M136" s="1745"/>
      <c r="N136" s="1745"/>
      <c r="O136" s="1745"/>
      <c r="P136" s="2"/>
      <c r="W136" t="s">
        <v>2089</v>
      </c>
    </row>
    <row r="137" spans="1:23" ht="13.15" customHeight="1" x14ac:dyDescent="0.2">
      <c r="A137" s="2" t="s">
        <v>2196</v>
      </c>
      <c r="B137" s="2">
        <f t="shared" si="4"/>
        <v>2019</v>
      </c>
      <c r="C137" s="2" t="str">
        <f t="shared" si="5"/>
        <v>EC101</v>
      </c>
      <c r="D137" s="1747">
        <v>1000</v>
      </c>
      <c r="E137" s="2" t="s">
        <v>2172</v>
      </c>
      <c r="F137" s="1748" t="s">
        <v>653</v>
      </c>
      <c r="G137" s="1745"/>
      <c r="H137" s="1745"/>
      <c r="I137" s="1745"/>
      <c r="J137" s="1745"/>
      <c r="K137" s="1745"/>
      <c r="L137" s="1745"/>
      <c r="M137" s="1745"/>
      <c r="N137" s="1745"/>
      <c r="O137" s="1745"/>
      <c r="P137" s="2"/>
      <c r="Q137" s="2"/>
      <c r="R137" s="2"/>
      <c r="S137" s="2"/>
      <c r="T137" s="2"/>
      <c r="U137" s="2"/>
      <c r="V137" s="2"/>
      <c r="W137" t="s">
        <v>2089</v>
      </c>
    </row>
    <row r="138" spans="1:23" ht="13.15" customHeight="1" x14ac:dyDescent="0.2">
      <c r="A138" s="2" t="s">
        <v>2196</v>
      </c>
      <c r="B138" s="2">
        <f t="shared" si="4"/>
        <v>2019</v>
      </c>
      <c r="C138" s="2" t="str">
        <f t="shared" si="5"/>
        <v>EC101</v>
      </c>
      <c r="D138" s="1747">
        <v>1020</v>
      </c>
      <c r="E138" s="2" t="s">
        <v>2173</v>
      </c>
      <c r="F138" s="1116" t="s">
        <v>350</v>
      </c>
      <c r="G138" s="1745"/>
      <c r="H138" s="1745"/>
      <c r="I138" s="1745"/>
      <c r="J138" s="1745"/>
      <c r="K138" s="1745"/>
      <c r="L138" s="1745"/>
      <c r="M138" s="1745"/>
      <c r="N138" s="1745"/>
      <c r="O138" s="1745"/>
      <c r="P138" s="1745"/>
      <c r="Q138" s="1745"/>
      <c r="R138" s="1745"/>
      <c r="S138" s="1745"/>
      <c r="T138" s="1745"/>
      <c r="U138" s="1745"/>
      <c r="V138" s="1745"/>
      <c r="W138" t="s">
        <v>2089</v>
      </c>
    </row>
    <row r="139" spans="1:23" ht="13.15" customHeight="1" x14ac:dyDescent="0.2">
      <c r="A139" s="2" t="s">
        <v>2196</v>
      </c>
      <c r="B139" s="2">
        <f t="shared" si="4"/>
        <v>2019</v>
      </c>
      <c r="C139" s="2" t="str">
        <f t="shared" si="5"/>
        <v>EC101</v>
      </c>
      <c r="D139" s="1747">
        <v>1021</v>
      </c>
      <c r="E139" s="2" t="s">
        <v>2173</v>
      </c>
      <c r="F139" s="1116" t="s">
        <v>1241</v>
      </c>
      <c r="G139" s="1745"/>
      <c r="H139" s="1745"/>
      <c r="I139" s="1745"/>
      <c r="J139" s="1745"/>
      <c r="K139" s="1745"/>
      <c r="L139" s="1745"/>
      <c r="M139" s="1745"/>
      <c r="N139" s="1745"/>
      <c r="O139" s="1745"/>
      <c r="P139" s="1745"/>
      <c r="Q139" s="1745"/>
      <c r="R139" s="1745"/>
      <c r="S139" s="1745"/>
      <c r="T139" s="1745"/>
      <c r="U139" s="1745"/>
      <c r="V139" s="1745"/>
      <c r="W139" t="s">
        <v>2089</v>
      </c>
    </row>
    <row r="140" spans="1:23" ht="13.15" customHeight="1" x14ac:dyDescent="0.2">
      <c r="A140" s="2" t="s">
        <v>2196</v>
      </c>
      <c r="B140" s="2">
        <f t="shared" si="4"/>
        <v>2019</v>
      </c>
      <c r="C140" s="2" t="str">
        <f t="shared" si="5"/>
        <v>EC101</v>
      </c>
      <c r="D140" s="1747">
        <v>1022</v>
      </c>
      <c r="E140" s="2" t="s">
        <v>2173</v>
      </c>
      <c r="F140" s="1116" t="s">
        <v>352</v>
      </c>
      <c r="G140" s="1745"/>
      <c r="H140" s="1745"/>
      <c r="I140" s="1745"/>
      <c r="J140" s="1745"/>
      <c r="K140" s="1745"/>
      <c r="L140" s="1745"/>
      <c r="M140" s="1745"/>
      <c r="N140" s="1745"/>
      <c r="O140" s="1745"/>
      <c r="P140" s="1745"/>
      <c r="Q140" s="1745"/>
      <c r="R140" s="1745"/>
      <c r="S140" s="1745"/>
      <c r="T140" s="1745"/>
      <c r="U140" s="1745"/>
      <c r="V140" s="1745"/>
      <c r="W140" t="s">
        <v>2089</v>
      </c>
    </row>
    <row r="141" spans="1:23" ht="13.15" customHeight="1" x14ac:dyDescent="0.2">
      <c r="A141" s="2" t="s">
        <v>2196</v>
      </c>
      <c r="B141" s="2">
        <f t="shared" si="4"/>
        <v>2019</v>
      </c>
      <c r="C141" s="2" t="str">
        <f t="shared" si="5"/>
        <v>EC101</v>
      </c>
      <c r="D141" s="1747">
        <v>1023</v>
      </c>
      <c r="E141" s="2" t="s">
        <v>2173</v>
      </c>
      <c r="F141" s="1116" t="s">
        <v>645</v>
      </c>
      <c r="G141" s="1745"/>
      <c r="H141" s="1745"/>
      <c r="I141" s="1745"/>
      <c r="J141" s="1745"/>
      <c r="K141" s="1745"/>
      <c r="L141" s="1745"/>
      <c r="M141" s="1745"/>
      <c r="N141" s="1745"/>
      <c r="O141" s="1745"/>
      <c r="P141" s="1745"/>
      <c r="Q141" s="1745"/>
      <c r="R141" s="1745"/>
      <c r="S141" s="1745"/>
      <c r="T141" s="1745"/>
      <c r="U141" s="1745"/>
      <c r="V141" s="1745"/>
      <c r="W141" t="s">
        <v>2089</v>
      </c>
    </row>
    <row r="142" spans="1:23" ht="13.15" customHeight="1" x14ac:dyDescent="0.2">
      <c r="A142" s="2" t="s">
        <v>2196</v>
      </c>
      <c r="B142" s="2">
        <f t="shared" si="4"/>
        <v>2019</v>
      </c>
      <c r="C142" s="2" t="str">
        <f t="shared" si="5"/>
        <v>EC101</v>
      </c>
      <c r="D142" s="1747">
        <v>1030</v>
      </c>
      <c r="E142" s="2" t="s">
        <v>2173</v>
      </c>
      <c r="F142" s="1116" t="s">
        <v>2197</v>
      </c>
      <c r="G142" s="1745"/>
      <c r="H142" s="1745"/>
      <c r="I142" s="1745"/>
      <c r="J142" s="1745"/>
      <c r="K142" s="1745"/>
      <c r="L142" s="1745"/>
      <c r="M142" s="1745"/>
      <c r="N142" s="1745"/>
      <c r="O142" s="1745"/>
      <c r="P142" s="1745"/>
      <c r="Q142" s="1745"/>
      <c r="R142" s="1745"/>
      <c r="S142" s="1745"/>
      <c r="T142" s="1745"/>
      <c r="U142" s="1745"/>
      <c r="V142" s="1745"/>
      <c r="W142" t="s">
        <v>2089</v>
      </c>
    </row>
    <row r="143" spans="1:23" ht="13.15" customHeight="1" x14ac:dyDescent="0.2">
      <c r="A143" s="2" t="s">
        <v>2196</v>
      </c>
      <c r="B143" s="2">
        <f t="shared" si="4"/>
        <v>2019</v>
      </c>
      <c r="C143" s="2" t="str">
        <f t="shared" si="5"/>
        <v>EC101</v>
      </c>
      <c r="D143" s="1747">
        <v>1024</v>
      </c>
      <c r="E143" s="2" t="s">
        <v>2173</v>
      </c>
      <c r="F143" s="1116" t="s">
        <v>646</v>
      </c>
      <c r="G143" s="1745"/>
      <c r="H143" s="1745"/>
      <c r="I143" s="1745"/>
      <c r="J143" s="1745"/>
      <c r="K143" s="1745"/>
      <c r="L143" s="1745"/>
      <c r="M143" s="1745"/>
      <c r="N143" s="1745"/>
      <c r="O143" s="1745"/>
      <c r="P143" s="1745"/>
      <c r="Q143" s="1745"/>
      <c r="R143" s="1745"/>
      <c r="S143" s="1745"/>
      <c r="T143" s="1745"/>
      <c r="U143" s="1745"/>
      <c r="V143" s="1745"/>
      <c r="W143" t="s">
        <v>2089</v>
      </c>
    </row>
    <row r="144" spans="1:23" ht="13.15" customHeight="1" x14ac:dyDescent="0.2">
      <c r="A144" s="2" t="s">
        <v>2196</v>
      </c>
      <c r="B144" s="2">
        <f t="shared" si="4"/>
        <v>2019</v>
      </c>
      <c r="C144" s="2" t="str">
        <f t="shared" si="5"/>
        <v>EC101</v>
      </c>
      <c r="D144" s="1747">
        <v>1025</v>
      </c>
      <c r="E144" s="2" t="s">
        <v>2173</v>
      </c>
      <c r="F144" s="1116" t="s">
        <v>316</v>
      </c>
      <c r="G144" s="1745"/>
      <c r="H144" s="1745"/>
      <c r="I144" s="1745"/>
      <c r="J144" s="1745"/>
      <c r="K144" s="1745"/>
      <c r="L144" s="1745"/>
      <c r="M144" s="1745"/>
      <c r="N144" s="1745"/>
      <c r="O144" s="1745"/>
      <c r="P144" s="1745"/>
      <c r="Q144" s="1745"/>
      <c r="R144" s="1745"/>
      <c r="S144" s="1745"/>
      <c r="T144" s="1745"/>
      <c r="U144" s="1745"/>
      <c r="V144" s="1745"/>
      <c r="W144" t="s">
        <v>2089</v>
      </c>
    </row>
    <row r="145" spans="1:23" ht="13.15" customHeight="1" x14ac:dyDescent="0.2">
      <c r="A145" s="2" t="s">
        <v>2196</v>
      </c>
      <c r="B145" s="2">
        <f t="shared" si="4"/>
        <v>2019</v>
      </c>
      <c r="C145" s="2" t="str">
        <f t="shared" si="5"/>
        <v>EC101</v>
      </c>
      <c r="D145" s="1747">
        <v>1026</v>
      </c>
      <c r="E145" s="2" t="s">
        <v>2173</v>
      </c>
      <c r="F145" s="1116" t="s">
        <v>317</v>
      </c>
      <c r="G145" s="1745"/>
      <c r="H145" s="1745"/>
      <c r="I145" s="1745"/>
      <c r="J145" s="1745"/>
      <c r="K145" s="1745"/>
      <c r="L145" s="1745"/>
      <c r="M145" s="1745"/>
      <c r="N145" s="1745"/>
      <c r="O145" s="1745"/>
      <c r="P145" s="1745"/>
      <c r="Q145" s="1745"/>
      <c r="R145" s="1745"/>
      <c r="S145" s="1745"/>
      <c r="T145" s="1745"/>
      <c r="U145" s="1745"/>
      <c r="V145" s="1745"/>
      <c r="W145" t="s">
        <v>2089</v>
      </c>
    </row>
    <row r="146" spans="1:23" ht="13.15" customHeight="1" x14ac:dyDescent="0.2">
      <c r="A146" s="2" t="s">
        <v>2196</v>
      </c>
      <c r="B146" s="2">
        <f t="shared" si="4"/>
        <v>2019</v>
      </c>
      <c r="C146" s="2" t="str">
        <f t="shared" si="5"/>
        <v>EC101</v>
      </c>
      <c r="D146" s="1747">
        <v>1027</v>
      </c>
      <c r="E146" s="2" t="s">
        <v>2173</v>
      </c>
      <c r="F146" s="1116" t="s">
        <v>318</v>
      </c>
      <c r="G146" s="1745"/>
      <c r="H146" s="1745"/>
      <c r="I146" s="1745"/>
      <c r="J146" s="1745"/>
      <c r="K146" s="1745"/>
      <c r="L146" s="1745"/>
      <c r="M146" s="1745"/>
      <c r="N146" s="1745"/>
      <c r="O146" s="1745"/>
      <c r="P146" s="1745"/>
      <c r="Q146" s="1745"/>
      <c r="R146" s="1745"/>
      <c r="S146" s="1745"/>
      <c r="T146" s="1745"/>
      <c r="U146" s="1745"/>
      <c r="V146" s="1745"/>
      <c r="W146" t="s">
        <v>2089</v>
      </c>
    </row>
    <row r="147" spans="1:23" ht="13.15" customHeight="1" x14ac:dyDescent="0.2">
      <c r="A147" s="2" t="s">
        <v>2196</v>
      </c>
      <c r="B147" s="2">
        <f t="shared" si="4"/>
        <v>2019</v>
      </c>
      <c r="C147" s="2" t="str">
        <f t="shared" si="5"/>
        <v>EC101</v>
      </c>
      <c r="D147" s="1747">
        <v>1028</v>
      </c>
      <c r="E147" s="2" t="s">
        <v>2173</v>
      </c>
      <c r="F147" s="1116" t="s">
        <v>655</v>
      </c>
      <c r="G147" s="1745"/>
      <c r="H147" s="1745"/>
      <c r="I147" s="1745"/>
      <c r="J147" s="1745"/>
      <c r="K147" s="1745"/>
      <c r="L147" s="1745"/>
      <c r="M147" s="1745"/>
      <c r="N147" s="1745"/>
      <c r="O147" s="1745"/>
      <c r="P147" s="1745"/>
      <c r="Q147" s="1745"/>
      <c r="R147" s="1745"/>
      <c r="S147" s="1745"/>
      <c r="T147" s="1745"/>
      <c r="U147" s="1745"/>
      <c r="V147" s="1745"/>
      <c r="W147" t="s">
        <v>2089</v>
      </c>
    </row>
    <row r="148" spans="1:23" ht="13.15" customHeight="1" x14ac:dyDescent="0.2">
      <c r="A148" s="2" t="s">
        <v>2196</v>
      </c>
      <c r="B148" s="2">
        <f t="shared" si="4"/>
        <v>2019</v>
      </c>
      <c r="C148" s="2" t="str">
        <f t="shared" si="5"/>
        <v>EC101</v>
      </c>
      <c r="D148" s="1747">
        <v>1029</v>
      </c>
      <c r="E148" s="2" t="s">
        <v>2173</v>
      </c>
      <c r="F148" s="1116" t="s">
        <v>644</v>
      </c>
      <c r="G148" s="1745"/>
      <c r="H148" s="1745"/>
      <c r="I148" s="1745"/>
      <c r="J148" s="1745"/>
      <c r="K148" s="1745"/>
      <c r="L148" s="1745"/>
      <c r="M148" s="1745"/>
      <c r="N148" s="1745"/>
      <c r="O148" s="1745"/>
      <c r="P148" s="1745"/>
      <c r="Q148" s="1745"/>
      <c r="R148" s="1745"/>
      <c r="S148" s="1745"/>
      <c r="T148" s="1745"/>
      <c r="U148" s="1745"/>
      <c r="V148" s="1745"/>
      <c r="W148" t="s">
        <v>2089</v>
      </c>
    </row>
    <row r="149" spans="1:23" ht="13.15" customHeight="1" x14ac:dyDescent="0.2">
      <c r="A149" s="2" t="s">
        <v>2196</v>
      </c>
      <c r="B149" s="2">
        <f t="shared" si="4"/>
        <v>2019</v>
      </c>
      <c r="C149" s="2" t="str">
        <f t="shared" si="5"/>
        <v>EC101</v>
      </c>
      <c r="D149" s="1747">
        <v>1040</v>
      </c>
      <c r="E149" s="2" t="s">
        <v>2173</v>
      </c>
      <c r="F149" s="1116" t="s">
        <v>1243</v>
      </c>
      <c r="G149" s="1745"/>
      <c r="H149" s="1745"/>
      <c r="I149" s="1745"/>
      <c r="J149" s="1745"/>
      <c r="K149" s="1745"/>
      <c r="L149" s="1745"/>
      <c r="M149" s="1745"/>
      <c r="N149" s="1745"/>
      <c r="O149" s="1745"/>
      <c r="P149" s="1745"/>
      <c r="Q149" s="1745"/>
      <c r="R149" s="1745"/>
      <c r="S149" s="1745"/>
      <c r="T149" s="1745"/>
      <c r="U149" s="1745"/>
      <c r="V149" s="1745"/>
      <c r="W149" t="s">
        <v>2089</v>
      </c>
    </row>
    <row r="150" spans="1:23" ht="13.15" customHeight="1" x14ac:dyDescent="0.2">
      <c r="A150" s="2" t="s">
        <v>2196</v>
      </c>
      <c r="B150" s="2">
        <f t="shared" si="4"/>
        <v>2019</v>
      </c>
      <c r="C150" s="2" t="str">
        <f t="shared" si="5"/>
        <v>EC101</v>
      </c>
      <c r="D150" s="1747">
        <v>1041</v>
      </c>
      <c r="E150" s="2" t="s">
        <v>2172</v>
      </c>
      <c r="F150" s="1116" t="s">
        <v>2198</v>
      </c>
      <c r="G150" s="1747"/>
      <c r="H150" s="1747"/>
      <c r="I150" s="1747"/>
      <c r="J150" s="1747"/>
      <c r="K150" s="1747"/>
      <c r="L150" s="1747"/>
      <c r="M150" s="1747"/>
      <c r="N150" s="1747"/>
      <c r="O150" s="1747"/>
      <c r="P150" s="1747"/>
      <c r="Q150" s="1747"/>
      <c r="R150" s="1747"/>
      <c r="S150" s="1747"/>
      <c r="T150" s="1747"/>
      <c r="U150" s="1747"/>
      <c r="V150" s="1747"/>
      <c r="W150" t="s">
        <v>2089</v>
      </c>
    </row>
    <row r="151" spans="1:23" ht="13.15" customHeight="1" x14ac:dyDescent="0.2">
      <c r="A151" s="2" t="s">
        <v>2196</v>
      </c>
      <c r="B151" s="2">
        <f t="shared" si="4"/>
        <v>2019</v>
      </c>
      <c r="C151" s="2" t="str">
        <f t="shared" si="5"/>
        <v>EC101</v>
      </c>
      <c r="D151" s="1747">
        <v>1042</v>
      </c>
      <c r="E151" s="2" t="s">
        <v>2172</v>
      </c>
      <c r="F151" s="1116" t="s">
        <v>2199</v>
      </c>
      <c r="G151" s="1747"/>
      <c r="H151" s="1747"/>
      <c r="I151" s="1747"/>
      <c r="J151" s="1747"/>
      <c r="K151" s="1747"/>
      <c r="L151" s="1747"/>
      <c r="M151" s="1747"/>
      <c r="N151" s="1747"/>
      <c r="O151" s="1747"/>
      <c r="P151" s="1747"/>
      <c r="Q151" s="1747"/>
      <c r="R151" s="1747"/>
      <c r="S151" s="1747"/>
      <c r="T151" s="1747"/>
      <c r="U151" s="1747"/>
      <c r="V151" s="1747"/>
      <c r="W151" t="s">
        <v>2089</v>
      </c>
    </row>
    <row r="152" spans="1:23" ht="13.15" customHeight="1" x14ac:dyDescent="0.2">
      <c r="A152" s="2" t="s">
        <v>2196</v>
      </c>
      <c r="B152" s="2">
        <f t="shared" si="4"/>
        <v>2019</v>
      </c>
      <c r="C152" s="2" t="str">
        <f t="shared" si="5"/>
        <v>EC101</v>
      </c>
      <c r="D152" s="1747">
        <v>1043</v>
      </c>
      <c r="E152" s="2" t="s">
        <v>2172</v>
      </c>
      <c r="F152" s="1116" t="s">
        <v>2200</v>
      </c>
      <c r="G152" s="1747"/>
      <c r="H152" s="1747"/>
      <c r="I152" s="1747"/>
      <c r="J152" s="1747"/>
      <c r="K152" s="1747"/>
      <c r="L152" s="1747"/>
      <c r="M152" s="1747"/>
      <c r="N152" s="1747"/>
      <c r="O152" s="1747"/>
      <c r="P152" s="1747"/>
      <c r="Q152" s="1747"/>
      <c r="R152" s="1747"/>
      <c r="S152" s="1747"/>
      <c r="T152" s="1747"/>
      <c r="U152" s="1747"/>
      <c r="V152" s="1747"/>
      <c r="W152" t="s">
        <v>2089</v>
      </c>
    </row>
    <row r="153" spans="1:23" ht="13.15" customHeight="1" x14ac:dyDescent="0.2">
      <c r="A153" s="2" t="s">
        <v>2196</v>
      </c>
      <c r="B153" s="2">
        <f t="shared" si="4"/>
        <v>2019</v>
      </c>
      <c r="C153" s="2" t="str">
        <f t="shared" si="5"/>
        <v>EC101</v>
      </c>
      <c r="D153" s="1747">
        <v>1044</v>
      </c>
      <c r="E153" s="2" t="s">
        <v>2172</v>
      </c>
      <c r="F153" s="1116" t="s">
        <v>2201</v>
      </c>
      <c r="G153" s="1747"/>
      <c r="H153" s="1747"/>
      <c r="I153" s="1747"/>
      <c r="J153" s="1747"/>
      <c r="K153" s="1747"/>
      <c r="L153" s="1747"/>
      <c r="M153" s="1747"/>
      <c r="N153" s="1747"/>
      <c r="O153" s="1747"/>
      <c r="P153" s="1747"/>
      <c r="Q153" s="1747"/>
      <c r="R153" s="1747"/>
      <c r="S153" s="1747"/>
      <c r="T153" s="1747"/>
      <c r="U153" s="1747"/>
      <c r="V153" s="1747"/>
      <c r="W153" t="s">
        <v>2089</v>
      </c>
    </row>
    <row r="154" spans="1:23" ht="13.15" customHeight="1" x14ac:dyDescent="0.2">
      <c r="A154" s="2" t="s">
        <v>2196</v>
      </c>
      <c r="B154" s="2">
        <f t="shared" si="4"/>
        <v>2019</v>
      </c>
      <c r="C154" s="2" t="str">
        <f t="shared" si="5"/>
        <v>EC101</v>
      </c>
      <c r="D154" s="1747">
        <v>1206</v>
      </c>
      <c r="E154" s="2" t="s">
        <v>2173</v>
      </c>
      <c r="F154" s="1116" t="s">
        <v>141</v>
      </c>
      <c r="G154" s="1745"/>
      <c r="H154" s="1745"/>
      <c r="I154" s="1745"/>
      <c r="J154" s="1745"/>
      <c r="K154" s="1745"/>
      <c r="L154" s="1745"/>
      <c r="M154" s="1745"/>
      <c r="N154" s="1745"/>
      <c r="O154" s="1745"/>
      <c r="P154" s="1745"/>
      <c r="Q154" s="1745"/>
      <c r="R154" s="1745"/>
      <c r="S154" s="1745"/>
      <c r="T154" s="1745"/>
      <c r="U154" s="1745"/>
      <c r="V154" s="1745"/>
      <c r="W154" t="s">
        <v>2089</v>
      </c>
    </row>
    <row r="155" spans="1:23" ht="13.15" customHeight="1" x14ac:dyDescent="0.2">
      <c r="A155" s="2" t="s">
        <v>2196</v>
      </c>
      <c r="B155" s="2">
        <f t="shared" si="4"/>
        <v>2019</v>
      </c>
      <c r="C155" s="2" t="str">
        <f t="shared" si="5"/>
        <v>EC101</v>
      </c>
      <c r="D155" s="1747">
        <v>1046</v>
      </c>
      <c r="E155" s="2" t="s">
        <v>2172</v>
      </c>
      <c r="F155" s="1116" t="s">
        <v>583</v>
      </c>
      <c r="G155" s="1747"/>
      <c r="H155" s="1747"/>
      <c r="I155" s="1747"/>
      <c r="J155" s="1747"/>
      <c r="K155" s="1747"/>
      <c r="L155" s="1747"/>
      <c r="M155" s="1747"/>
      <c r="N155" s="1747"/>
      <c r="O155" s="1747"/>
      <c r="P155" s="1747"/>
      <c r="Q155" s="1747"/>
      <c r="R155" s="1747"/>
      <c r="S155" s="1747"/>
      <c r="T155" s="1747"/>
      <c r="U155" s="1747"/>
      <c r="V155" s="1747"/>
      <c r="W155" t="s">
        <v>2089</v>
      </c>
    </row>
    <row r="156" spans="1:23" ht="13.15" customHeight="1" x14ac:dyDescent="0.2">
      <c r="A156" s="2" t="s">
        <v>2196</v>
      </c>
      <c r="B156" s="2">
        <f t="shared" si="4"/>
        <v>2019</v>
      </c>
      <c r="C156" s="2" t="str">
        <f t="shared" si="5"/>
        <v>EC101</v>
      </c>
      <c r="D156" s="1747">
        <v>1047</v>
      </c>
      <c r="E156" s="2" t="s">
        <v>2172</v>
      </c>
      <c r="F156" s="1116" t="s">
        <v>584</v>
      </c>
      <c r="G156" s="1747"/>
      <c r="H156" s="1747"/>
      <c r="I156" s="1747"/>
      <c r="J156" s="1747"/>
      <c r="K156" s="1747"/>
      <c r="L156" s="1747"/>
      <c r="M156" s="1747"/>
      <c r="N156" s="1747"/>
      <c r="O156" s="1747"/>
      <c r="P156" s="1747"/>
      <c r="Q156" s="1747"/>
      <c r="R156" s="1747"/>
      <c r="S156" s="1747"/>
      <c r="T156" s="1747"/>
      <c r="U156" s="1747"/>
      <c r="V156" s="1747"/>
      <c r="W156" t="s">
        <v>2089</v>
      </c>
    </row>
    <row r="157" spans="1:23" ht="13.15" customHeight="1" x14ac:dyDescent="0.2">
      <c r="A157" s="2" t="s">
        <v>2196</v>
      </c>
      <c r="B157" s="2">
        <f t="shared" si="4"/>
        <v>2019</v>
      </c>
      <c r="C157" s="2" t="str">
        <f t="shared" si="5"/>
        <v>EC101</v>
      </c>
      <c r="D157" s="1747">
        <v>1048</v>
      </c>
      <c r="E157" s="2" t="s">
        <v>2172</v>
      </c>
      <c r="F157" s="1116" t="s">
        <v>265</v>
      </c>
      <c r="G157" s="1747"/>
      <c r="H157" s="1747"/>
      <c r="I157" s="1747"/>
      <c r="J157" s="1747"/>
      <c r="K157" s="1747"/>
      <c r="L157" s="1747"/>
      <c r="M157" s="1747"/>
      <c r="N157" s="1747"/>
      <c r="O157" s="1747"/>
      <c r="P157" s="1747"/>
      <c r="Q157" s="1747"/>
      <c r="R157" s="1747"/>
      <c r="S157" s="1747"/>
      <c r="T157" s="1747"/>
      <c r="U157" s="1747"/>
      <c r="V157" s="1747"/>
      <c r="W157" t="s">
        <v>2089</v>
      </c>
    </row>
    <row r="158" spans="1:23" ht="13.15" customHeight="1" x14ac:dyDescent="0.2">
      <c r="A158" s="2" t="s">
        <v>2196</v>
      </c>
      <c r="B158" s="2">
        <f t="shared" si="4"/>
        <v>2019</v>
      </c>
      <c r="C158" s="2" t="str">
        <f t="shared" si="5"/>
        <v>EC101</v>
      </c>
      <c r="D158" s="1747">
        <v>1100</v>
      </c>
      <c r="E158" s="2" t="s">
        <v>2172</v>
      </c>
      <c r="F158" s="1748" t="s">
        <v>1366</v>
      </c>
      <c r="G158" s="1753"/>
      <c r="H158" s="1753"/>
      <c r="I158" s="1753"/>
      <c r="J158" s="1753"/>
      <c r="K158" s="1753"/>
      <c r="L158" s="1753"/>
      <c r="M158" s="1753"/>
      <c r="N158" s="1753"/>
      <c r="O158" s="1753"/>
      <c r="P158" s="1753"/>
      <c r="Q158" s="1753"/>
      <c r="R158" s="1753"/>
      <c r="S158" s="1753"/>
      <c r="T158" s="1753"/>
      <c r="U158" s="1753"/>
      <c r="V158" s="1753"/>
      <c r="W158" t="s">
        <v>2089</v>
      </c>
    </row>
    <row r="159" spans="1:23" ht="13.15" customHeight="1" x14ac:dyDescent="0.2">
      <c r="A159" s="2" t="s">
        <v>2196</v>
      </c>
      <c r="B159" s="2">
        <f t="shared" si="4"/>
        <v>2019</v>
      </c>
      <c r="C159" s="2" t="str">
        <f t="shared" si="5"/>
        <v>EC101</v>
      </c>
      <c r="D159" s="1747">
        <v>1101</v>
      </c>
      <c r="E159" s="2" t="s">
        <v>2173</v>
      </c>
      <c r="F159" s="1116" t="s">
        <v>2176</v>
      </c>
      <c r="G159" s="1745"/>
      <c r="H159" s="1745"/>
      <c r="I159" s="1745"/>
      <c r="J159" s="1745"/>
      <c r="K159" s="1745"/>
      <c r="L159" s="1745"/>
      <c r="M159" s="1745"/>
      <c r="N159" s="1745"/>
      <c r="O159" s="1745"/>
      <c r="P159" s="1745"/>
      <c r="Q159" s="1745"/>
      <c r="R159" s="1745"/>
      <c r="S159" s="1745"/>
      <c r="T159" s="1745"/>
      <c r="U159" s="1745"/>
      <c r="V159" s="1745"/>
      <c r="W159" t="s">
        <v>2089</v>
      </c>
    </row>
    <row r="160" spans="1:23" ht="13.15" customHeight="1" x14ac:dyDescent="0.2">
      <c r="A160" s="2" t="s">
        <v>2196</v>
      </c>
      <c r="B160" s="2">
        <f t="shared" si="4"/>
        <v>2019</v>
      </c>
      <c r="C160" s="2" t="str">
        <f t="shared" si="5"/>
        <v>EC101</v>
      </c>
      <c r="D160" s="1747">
        <v>1102</v>
      </c>
      <c r="E160" s="2" t="s">
        <v>2173</v>
      </c>
      <c r="F160" s="1116" t="s">
        <v>2177</v>
      </c>
      <c r="G160" s="1745"/>
      <c r="H160" s="1745"/>
      <c r="I160" s="1745"/>
      <c r="J160" s="1745"/>
      <c r="K160" s="1745"/>
      <c r="L160" s="1745"/>
      <c r="M160" s="1745"/>
      <c r="N160" s="1745"/>
      <c r="O160" s="1745"/>
      <c r="P160" s="1745"/>
      <c r="Q160" s="1745"/>
      <c r="R160" s="1745"/>
      <c r="S160" s="1745"/>
      <c r="T160" s="1745"/>
      <c r="U160" s="1745"/>
      <c r="V160" s="1745"/>
      <c r="W160" t="s">
        <v>2089</v>
      </c>
    </row>
    <row r="161" spans="1:23" ht="13.15" customHeight="1" x14ac:dyDescent="0.2">
      <c r="A161" s="2" t="s">
        <v>2196</v>
      </c>
      <c r="B161" s="2">
        <f t="shared" si="4"/>
        <v>2019</v>
      </c>
      <c r="C161" s="2" t="str">
        <f t="shared" si="5"/>
        <v>EC101</v>
      </c>
      <c r="D161" s="1747">
        <v>1103</v>
      </c>
      <c r="E161" s="2" t="s">
        <v>2173</v>
      </c>
      <c r="F161" s="1116" t="s">
        <v>2178</v>
      </c>
      <c r="G161" s="1745"/>
      <c r="H161" s="1745"/>
      <c r="I161" s="1745"/>
      <c r="J161" s="1745"/>
      <c r="K161" s="1745"/>
      <c r="L161" s="1745"/>
      <c r="M161" s="1745"/>
      <c r="N161" s="1745"/>
      <c r="O161" s="1745"/>
      <c r="P161" s="1745"/>
      <c r="Q161" s="1745"/>
      <c r="R161" s="1745"/>
      <c r="S161" s="1745"/>
      <c r="T161" s="1745"/>
      <c r="U161" s="1745"/>
      <c r="V161" s="1745"/>
      <c r="W161" t="s">
        <v>2089</v>
      </c>
    </row>
    <row r="162" spans="1:23" ht="13.15" customHeight="1" x14ac:dyDescent="0.2">
      <c r="A162" s="2" t="s">
        <v>2196</v>
      </c>
      <c r="B162" s="2">
        <f t="shared" si="4"/>
        <v>2019</v>
      </c>
      <c r="C162" s="2" t="str">
        <f t="shared" si="5"/>
        <v>EC101</v>
      </c>
      <c r="D162" s="1747">
        <v>1104</v>
      </c>
      <c r="E162" s="2" t="s">
        <v>2173</v>
      </c>
      <c r="F162" s="1116" t="s">
        <v>2202</v>
      </c>
      <c r="G162" s="1745"/>
      <c r="H162" s="1745"/>
      <c r="I162" s="1745"/>
      <c r="J162" s="1745"/>
      <c r="K162" s="1745"/>
      <c r="L162" s="1745"/>
      <c r="M162" s="1745"/>
      <c r="N162" s="1745"/>
      <c r="O162" s="1745"/>
      <c r="P162" s="1745"/>
      <c r="Q162" s="1745"/>
      <c r="R162" s="1745"/>
      <c r="S162" s="1745"/>
      <c r="T162" s="1745"/>
      <c r="U162" s="1745"/>
      <c r="V162" s="1745"/>
      <c r="W162" t="s">
        <v>2089</v>
      </c>
    </row>
    <row r="163" spans="1:23" ht="13.15" customHeight="1" x14ac:dyDescent="0.2">
      <c r="A163" s="2" t="s">
        <v>2196</v>
      </c>
      <c r="B163" s="2">
        <f t="shared" si="4"/>
        <v>2019</v>
      </c>
      <c r="C163" s="2" t="str">
        <f t="shared" si="5"/>
        <v>EC101</v>
      </c>
      <c r="D163" s="1747">
        <v>1105</v>
      </c>
      <c r="E163" s="2" t="s">
        <v>2173</v>
      </c>
      <c r="F163" s="1116" t="s">
        <v>2203</v>
      </c>
      <c r="G163" s="1745"/>
      <c r="H163" s="1745"/>
      <c r="I163" s="1745"/>
      <c r="J163" s="1745"/>
      <c r="K163" s="1745"/>
      <c r="L163" s="1745"/>
      <c r="M163" s="1745"/>
      <c r="N163" s="1745"/>
      <c r="O163" s="1745"/>
      <c r="P163" s="1745"/>
      <c r="Q163" s="1745"/>
      <c r="R163" s="1745"/>
      <c r="S163" s="1745"/>
      <c r="T163" s="1745"/>
      <c r="U163" s="1745"/>
      <c r="V163" s="1745"/>
      <c r="W163" t="s">
        <v>2089</v>
      </c>
    </row>
    <row r="164" spans="1:23" ht="13.15" customHeight="1" x14ac:dyDescent="0.2">
      <c r="A164" s="2" t="s">
        <v>2196</v>
      </c>
      <c r="B164" s="2">
        <f t="shared" si="4"/>
        <v>2019</v>
      </c>
      <c r="C164" s="2" t="str">
        <f t="shared" si="5"/>
        <v>EC101</v>
      </c>
      <c r="D164" s="1747">
        <v>1106</v>
      </c>
      <c r="E164" s="2" t="s">
        <v>2173</v>
      </c>
      <c r="F164" s="1116" t="s">
        <v>2181</v>
      </c>
      <c r="G164" s="1745"/>
      <c r="H164" s="1745"/>
      <c r="I164" s="1745"/>
      <c r="J164" s="1745"/>
      <c r="K164" s="1745"/>
      <c r="L164" s="1745"/>
      <c r="M164" s="1745"/>
      <c r="N164" s="1745"/>
      <c r="O164" s="1745"/>
      <c r="P164" s="1745"/>
      <c r="Q164" s="1745"/>
      <c r="R164" s="1745"/>
      <c r="S164" s="1745"/>
      <c r="T164" s="1745"/>
      <c r="U164" s="1745"/>
      <c r="V164" s="1745"/>
      <c r="W164" t="s">
        <v>2089</v>
      </c>
    </row>
    <row r="165" spans="1:23" ht="13.15" customHeight="1" x14ac:dyDescent="0.2">
      <c r="A165" s="2" t="s">
        <v>2196</v>
      </c>
      <c r="B165" s="2">
        <f t="shared" si="4"/>
        <v>2019</v>
      </c>
      <c r="C165" s="2" t="str">
        <f t="shared" si="5"/>
        <v>EC101</v>
      </c>
      <c r="D165" s="1747">
        <v>1107</v>
      </c>
      <c r="E165" s="2" t="s">
        <v>2173</v>
      </c>
      <c r="F165" s="2" t="s">
        <v>1367</v>
      </c>
      <c r="G165" s="1745"/>
      <c r="H165" s="1745"/>
      <c r="I165" s="1745"/>
      <c r="J165" s="1745"/>
      <c r="K165" s="1745"/>
      <c r="L165" s="1745"/>
      <c r="M165" s="1745"/>
      <c r="N165" s="1745"/>
      <c r="O165" s="1745"/>
      <c r="P165" s="1745"/>
      <c r="Q165" s="1745"/>
      <c r="R165" s="1745"/>
      <c r="S165" s="1745"/>
      <c r="T165" s="1745"/>
      <c r="U165" s="1745"/>
      <c r="V165" s="1745"/>
      <c r="W165" t="s">
        <v>2089</v>
      </c>
    </row>
    <row r="166" spans="1:23" ht="13.15" customHeight="1" x14ac:dyDescent="0.2">
      <c r="A166" s="2" t="s">
        <v>2196</v>
      </c>
      <c r="B166" s="2">
        <f t="shared" si="4"/>
        <v>2019</v>
      </c>
      <c r="C166" s="2" t="str">
        <f t="shared" si="5"/>
        <v>EC101</v>
      </c>
      <c r="D166" s="1747">
        <v>1108</v>
      </c>
      <c r="E166" s="2" t="s">
        <v>2173</v>
      </c>
      <c r="F166" s="1116" t="s">
        <v>2182</v>
      </c>
      <c r="G166" s="1745"/>
      <c r="H166" s="1745"/>
      <c r="I166" s="1745"/>
      <c r="J166" s="1745"/>
      <c r="K166" s="1745"/>
      <c r="L166" s="1745"/>
      <c r="M166" s="1745"/>
      <c r="N166" s="1745"/>
      <c r="O166" s="1745"/>
      <c r="P166" s="1745"/>
      <c r="Q166" s="1745"/>
      <c r="R166" s="1745"/>
      <c r="S166" s="1745"/>
      <c r="T166" s="1745"/>
      <c r="U166" s="1745"/>
      <c r="V166" s="1745"/>
      <c r="W166" t="s">
        <v>2089</v>
      </c>
    </row>
    <row r="167" spans="1:23" ht="13.15" customHeight="1" x14ac:dyDescent="0.2">
      <c r="A167" s="2" t="s">
        <v>2196</v>
      </c>
      <c r="B167" s="2">
        <f t="shared" si="4"/>
        <v>2019</v>
      </c>
      <c r="C167" s="2" t="str">
        <f t="shared" si="5"/>
        <v>EC101</v>
      </c>
      <c r="D167" s="1747">
        <v>1109</v>
      </c>
      <c r="E167" s="2" t="s">
        <v>2173</v>
      </c>
      <c r="F167" s="1116" t="s">
        <v>2183</v>
      </c>
      <c r="G167" s="1745"/>
      <c r="H167" s="1745"/>
      <c r="I167" s="1745"/>
      <c r="J167" s="1745"/>
      <c r="K167" s="1745"/>
      <c r="L167" s="1745"/>
      <c r="M167" s="1745"/>
      <c r="N167" s="1745"/>
      <c r="O167" s="1745"/>
      <c r="P167" s="1745"/>
      <c r="Q167" s="1745"/>
      <c r="R167" s="1745"/>
      <c r="S167" s="1745"/>
      <c r="T167" s="1745"/>
      <c r="U167" s="1745"/>
      <c r="V167" s="1745"/>
      <c r="W167" t="s">
        <v>2089</v>
      </c>
    </row>
    <row r="168" spans="1:23" ht="13.15" customHeight="1" x14ac:dyDescent="0.2">
      <c r="A168" s="2" t="s">
        <v>2196</v>
      </c>
      <c r="B168" s="2">
        <f t="shared" si="4"/>
        <v>2019</v>
      </c>
      <c r="C168" s="2" t="str">
        <f t="shared" si="5"/>
        <v>EC101</v>
      </c>
      <c r="D168" s="1747">
        <v>1110</v>
      </c>
      <c r="E168" s="2" t="s">
        <v>2173</v>
      </c>
      <c r="F168" s="1116" t="s">
        <v>2184</v>
      </c>
      <c r="G168" s="1745"/>
      <c r="H168" s="1745"/>
      <c r="I168" s="1745"/>
      <c r="J168" s="1745"/>
      <c r="K168" s="1745"/>
      <c r="L168" s="1745"/>
      <c r="M168" s="1745"/>
      <c r="N168" s="1745"/>
      <c r="O168" s="1745"/>
      <c r="P168" s="1745"/>
      <c r="Q168" s="1745"/>
      <c r="R168" s="1745"/>
      <c r="S168" s="1745"/>
      <c r="T168" s="1745"/>
      <c r="U168" s="1745"/>
      <c r="V168" s="1745"/>
      <c r="W168" t="s">
        <v>2089</v>
      </c>
    </row>
    <row r="169" spans="1:23" ht="13.15" customHeight="1" x14ac:dyDescent="0.2">
      <c r="A169" s="2" t="s">
        <v>2196</v>
      </c>
      <c r="B169" s="2">
        <f t="shared" si="4"/>
        <v>2019</v>
      </c>
      <c r="C169" s="2" t="str">
        <f t="shared" si="5"/>
        <v>EC101</v>
      </c>
      <c r="D169" s="1747">
        <v>1111</v>
      </c>
      <c r="E169" s="2" t="s">
        <v>2173</v>
      </c>
      <c r="F169" s="1116" t="s">
        <v>2204</v>
      </c>
      <c r="G169" s="1745"/>
      <c r="H169" s="1745"/>
      <c r="I169" s="1745"/>
      <c r="J169" s="1745"/>
      <c r="K169" s="1745"/>
      <c r="L169" s="1745"/>
      <c r="M169" s="1745"/>
      <c r="N169" s="1745"/>
      <c r="O169" s="1745"/>
      <c r="P169" s="1745"/>
      <c r="Q169" s="1745"/>
      <c r="R169" s="1745"/>
      <c r="S169" s="1745"/>
      <c r="T169" s="1745"/>
      <c r="U169" s="1745"/>
      <c r="V169" s="1745"/>
      <c r="W169" t="s">
        <v>2089</v>
      </c>
    </row>
    <row r="170" spans="1:23" ht="13.15" customHeight="1" x14ac:dyDescent="0.2">
      <c r="A170" s="2" t="s">
        <v>2196</v>
      </c>
      <c r="B170" s="2">
        <f t="shared" si="4"/>
        <v>2019</v>
      </c>
      <c r="C170" s="2" t="str">
        <f t="shared" si="5"/>
        <v>EC101</v>
      </c>
      <c r="D170" s="1747">
        <v>1200</v>
      </c>
      <c r="E170" s="2" t="s">
        <v>2172</v>
      </c>
      <c r="F170" s="1748" t="s">
        <v>1368</v>
      </c>
      <c r="G170" s="1745"/>
      <c r="H170" s="1745"/>
      <c r="I170" s="1745"/>
      <c r="J170" s="1745"/>
      <c r="K170" s="1745"/>
      <c r="L170" s="1745"/>
      <c r="M170" s="1745"/>
      <c r="N170" s="1745"/>
      <c r="O170" s="1745"/>
      <c r="P170" s="1745"/>
      <c r="Q170" s="1745"/>
      <c r="R170" s="1745"/>
      <c r="S170" s="1745"/>
      <c r="T170" s="1745"/>
      <c r="U170" s="1745"/>
      <c r="V170" s="1745"/>
      <c r="W170" t="s">
        <v>2089</v>
      </c>
    </row>
    <row r="171" spans="1:23" ht="13.15" customHeight="1" x14ac:dyDescent="0.2">
      <c r="A171" s="2" t="s">
        <v>2196</v>
      </c>
      <c r="B171" s="2">
        <f t="shared" si="4"/>
        <v>2019</v>
      </c>
      <c r="C171" s="2" t="str">
        <f t="shared" si="5"/>
        <v>EC101</v>
      </c>
      <c r="D171" s="1747">
        <v>1201</v>
      </c>
      <c r="E171" s="2" t="s">
        <v>2173</v>
      </c>
      <c r="F171" s="1116" t="s">
        <v>264</v>
      </c>
      <c r="G171" s="1754"/>
      <c r="H171" s="1754"/>
      <c r="I171" s="1754"/>
      <c r="J171" s="1754"/>
      <c r="K171" s="1754"/>
      <c r="L171" s="1754"/>
      <c r="M171" s="1754"/>
      <c r="N171" s="1754"/>
      <c r="O171" s="1754"/>
      <c r="P171" s="1754"/>
      <c r="Q171" s="1754"/>
      <c r="R171" s="1754"/>
      <c r="S171" s="1754"/>
      <c r="T171" s="1754"/>
      <c r="U171" s="1754"/>
      <c r="V171" s="1754"/>
      <c r="W171" t="s">
        <v>2089</v>
      </c>
    </row>
    <row r="172" spans="1:23" ht="13.15" customHeight="1" x14ac:dyDescent="0.2">
      <c r="A172" s="2" t="s">
        <v>2196</v>
      </c>
      <c r="B172" s="2">
        <f t="shared" si="4"/>
        <v>2019</v>
      </c>
      <c r="C172" s="2" t="str">
        <f t="shared" si="5"/>
        <v>EC101</v>
      </c>
      <c r="D172" s="1747">
        <v>1301</v>
      </c>
      <c r="E172" s="2" t="s">
        <v>2173</v>
      </c>
      <c r="F172" s="1116" t="s">
        <v>2187</v>
      </c>
      <c r="G172" s="1745"/>
      <c r="H172" s="1745"/>
      <c r="I172" s="1745"/>
      <c r="J172" s="1745"/>
      <c r="K172" s="1745"/>
      <c r="L172" s="1745"/>
      <c r="M172" s="1745"/>
      <c r="N172" s="1745"/>
      <c r="O172" s="1745"/>
      <c r="P172" s="1745"/>
      <c r="Q172" s="1745"/>
      <c r="R172" s="1745"/>
      <c r="S172" s="1745"/>
      <c r="T172" s="1745"/>
      <c r="U172" s="1745"/>
      <c r="V172" s="1745"/>
      <c r="W172" t="s">
        <v>2089</v>
      </c>
    </row>
    <row r="173" spans="1:23" ht="13.15" customHeight="1" x14ac:dyDescent="0.2">
      <c r="A173" s="2" t="s">
        <v>2196</v>
      </c>
      <c r="B173" s="2">
        <f t="shared" si="4"/>
        <v>2019</v>
      </c>
      <c r="C173" s="2" t="str">
        <f t="shared" si="5"/>
        <v>EC101</v>
      </c>
      <c r="D173" s="1747">
        <v>1302</v>
      </c>
      <c r="E173" s="2" t="s">
        <v>2173</v>
      </c>
      <c r="F173" s="1116" t="s">
        <v>2188</v>
      </c>
      <c r="G173" s="1745"/>
      <c r="H173" s="1745"/>
      <c r="I173" s="1745"/>
      <c r="J173" s="1745"/>
      <c r="K173" s="1745"/>
      <c r="L173" s="1745"/>
      <c r="M173" s="1745"/>
      <c r="N173" s="1745"/>
      <c r="O173" s="1745"/>
      <c r="P173" s="1745"/>
      <c r="Q173" s="1745"/>
      <c r="R173" s="1745"/>
      <c r="S173" s="1745"/>
      <c r="T173" s="1745"/>
      <c r="U173" s="1745"/>
      <c r="V173" s="1745"/>
      <c r="W173" t="s">
        <v>2089</v>
      </c>
    </row>
    <row r="174" spans="1:23" ht="13.15" customHeight="1" x14ac:dyDescent="0.2">
      <c r="A174" s="2" t="s">
        <v>2196</v>
      </c>
      <c r="B174" s="2">
        <f t="shared" si="4"/>
        <v>2019</v>
      </c>
      <c r="C174" s="2" t="str">
        <f t="shared" si="5"/>
        <v>EC101</v>
      </c>
      <c r="D174" s="1747">
        <v>1303</v>
      </c>
      <c r="E174" s="2" t="s">
        <v>826</v>
      </c>
      <c r="F174" s="1116" t="s">
        <v>1404</v>
      </c>
      <c r="G174" s="1752"/>
      <c r="H174" s="1752"/>
      <c r="I174" s="1752"/>
      <c r="J174" s="1752"/>
      <c r="K174" s="1752"/>
      <c r="L174" s="1752"/>
      <c r="M174" s="1752"/>
      <c r="N174" s="1752"/>
      <c r="O174" s="1752"/>
      <c r="P174" s="1752"/>
      <c r="Q174" s="1752"/>
      <c r="R174" s="1752"/>
      <c r="S174" s="1752"/>
      <c r="T174" s="1752"/>
      <c r="U174" s="1752"/>
      <c r="V174" s="1752"/>
      <c r="W174" t="s">
        <v>2089</v>
      </c>
    </row>
    <row r="175" spans="1:23" ht="13.15" customHeight="1" x14ac:dyDescent="0.2">
      <c r="A175" s="2" t="s">
        <v>2196</v>
      </c>
      <c r="B175" s="2">
        <f t="shared" si="4"/>
        <v>2019</v>
      </c>
      <c r="C175" s="2" t="str">
        <f t="shared" si="5"/>
        <v>EC101</v>
      </c>
      <c r="D175" s="1747">
        <v>1304</v>
      </c>
      <c r="E175" s="2" t="s">
        <v>2173</v>
      </c>
      <c r="F175" s="1116" t="s">
        <v>2189</v>
      </c>
      <c r="G175" s="1745"/>
      <c r="H175" s="1745"/>
      <c r="I175" s="1745"/>
      <c r="J175" s="1745"/>
      <c r="K175" s="1745"/>
      <c r="L175" s="1745"/>
      <c r="M175" s="1745"/>
      <c r="N175" s="1745"/>
      <c r="O175" s="1745"/>
      <c r="P175" s="1745"/>
      <c r="Q175" s="1745"/>
      <c r="R175" s="1745"/>
      <c r="S175" s="1745"/>
      <c r="T175" s="1745"/>
      <c r="U175" s="1745"/>
      <c r="V175" s="1745"/>
      <c r="W175" t="s">
        <v>2089</v>
      </c>
    </row>
    <row r="176" spans="1:23" ht="13.15" customHeight="1" x14ac:dyDescent="0.2">
      <c r="A176" s="2" t="s">
        <v>2196</v>
      </c>
      <c r="B176" s="2">
        <f t="shared" si="4"/>
        <v>2019</v>
      </c>
      <c r="C176" s="2" t="str">
        <f t="shared" si="5"/>
        <v>EC101</v>
      </c>
      <c r="D176" s="1747">
        <v>1305</v>
      </c>
      <c r="E176" s="2" t="s">
        <v>2173</v>
      </c>
      <c r="F176" s="1116" t="s">
        <v>2190</v>
      </c>
      <c r="G176" s="1745"/>
      <c r="H176" s="1745"/>
      <c r="I176" s="1745"/>
      <c r="J176" s="1745"/>
      <c r="K176" s="1745"/>
      <c r="L176" s="1745"/>
      <c r="M176" s="1745"/>
      <c r="N176" s="1745"/>
      <c r="O176" s="1745"/>
      <c r="P176" s="1745"/>
      <c r="Q176" s="1745"/>
      <c r="R176" s="1745"/>
      <c r="S176" s="1745"/>
      <c r="T176" s="1745"/>
      <c r="U176" s="1745"/>
      <c r="V176" s="1745"/>
      <c r="W176" t="s">
        <v>2089</v>
      </c>
    </row>
    <row r="177" spans="1:23" ht="13.15" customHeight="1" x14ac:dyDescent="0.2">
      <c r="A177" s="2" t="s">
        <v>2196</v>
      </c>
      <c r="B177" s="2">
        <f t="shared" si="4"/>
        <v>2019</v>
      </c>
      <c r="C177" s="2" t="str">
        <f t="shared" si="5"/>
        <v>EC101</v>
      </c>
      <c r="D177" s="1747">
        <v>1306</v>
      </c>
      <c r="E177" s="2" t="s">
        <v>2173</v>
      </c>
      <c r="F177" s="1116" t="s">
        <v>2191</v>
      </c>
      <c r="G177" s="1745"/>
      <c r="H177" s="1745"/>
      <c r="I177" s="1745"/>
      <c r="J177" s="1745"/>
      <c r="K177" s="1745"/>
      <c r="L177" s="1745"/>
      <c r="M177" s="1745"/>
      <c r="N177" s="1745"/>
      <c r="O177" s="1745"/>
      <c r="P177" s="1745"/>
      <c r="Q177" s="1745"/>
      <c r="R177" s="1745"/>
      <c r="S177" s="1745"/>
      <c r="T177" s="1745"/>
      <c r="U177" s="1745"/>
      <c r="V177" s="1745"/>
      <c r="W177" t="s">
        <v>2089</v>
      </c>
    </row>
    <row r="178" spans="1:23" ht="13.15" customHeight="1" x14ac:dyDescent="0.2">
      <c r="A178" s="2" t="s">
        <v>2196</v>
      </c>
      <c r="B178" s="2">
        <f t="shared" si="4"/>
        <v>2019</v>
      </c>
      <c r="C178" s="2" t="str">
        <f t="shared" si="5"/>
        <v>EC101</v>
      </c>
      <c r="D178" s="1747">
        <v>1307</v>
      </c>
      <c r="E178" s="2" t="s">
        <v>2173</v>
      </c>
      <c r="F178" s="1116" t="s">
        <v>2205</v>
      </c>
      <c r="G178" s="1745"/>
      <c r="H178" s="1745"/>
      <c r="I178" s="1745"/>
      <c r="J178" s="1745"/>
      <c r="K178" s="1745"/>
      <c r="L178" s="1745"/>
      <c r="M178" s="1745"/>
      <c r="N178" s="1745"/>
      <c r="O178" s="1745"/>
      <c r="P178" s="1745"/>
      <c r="Q178" s="1745"/>
      <c r="R178" s="1745"/>
      <c r="S178" s="1745"/>
      <c r="T178" s="1745"/>
      <c r="U178" s="1745"/>
      <c r="V178" s="1745"/>
      <c r="W178" t="s">
        <v>2089</v>
      </c>
    </row>
    <row r="179" spans="1:23" ht="13.15" customHeight="1" x14ac:dyDescent="0.2">
      <c r="A179" s="2" t="s">
        <v>2196</v>
      </c>
      <c r="B179" s="2">
        <f t="shared" si="4"/>
        <v>2019</v>
      </c>
      <c r="C179" s="2" t="str">
        <f t="shared" si="5"/>
        <v>EC101</v>
      </c>
      <c r="D179" s="1747">
        <v>1308</v>
      </c>
      <c r="E179" s="2" t="s">
        <v>2173</v>
      </c>
      <c r="F179" s="1116" t="s">
        <v>2206</v>
      </c>
      <c r="G179" s="1745"/>
      <c r="H179" s="1745"/>
      <c r="I179" s="1745"/>
      <c r="J179" s="1745"/>
      <c r="K179" s="1745"/>
      <c r="L179" s="1745"/>
      <c r="M179" s="1745"/>
      <c r="N179" s="1745"/>
      <c r="O179" s="1745"/>
      <c r="P179" s="1745"/>
      <c r="Q179" s="1745"/>
      <c r="R179" s="1745"/>
      <c r="S179" s="1745"/>
      <c r="T179" s="1745"/>
      <c r="U179" s="1745"/>
      <c r="V179" s="1745"/>
      <c r="W179" t="s">
        <v>2089</v>
      </c>
    </row>
    <row r="180" spans="1:23" ht="13.15" customHeight="1" x14ac:dyDescent="0.2">
      <c r="A180" s="2" t="s">
        <v>2196</v>
      </c>
      <c r="B180" s="2">
        <f t="shared" si="4"/>
        <v>2019</v>
      </c>
      <c r="C180" s="2" t="str">
        <f t="shared" si="5"/>
        <v>EC101</v>
      </c>
      <c r="D180" s="1747">
        <v>1309</v>
      </c>
      <c r="E180" s="2" t="s">
        <v>2173</v>
      </c>
      <c r="F180" s="1116" t="s">
        <v>2207</v>
      </c>
      <c r="G180" s="1745"/>
      <c r="H180" s="1745"/>
      <c r="I180" s="1745"/>
      <c r="J180" s="1745"/>
      <c r="K180" s="1745"/>
      <c r="L180" s="1745"/>
      <c r="M180" s="1745"/>
      <c r="N180" s="1745"/>
      <c r="O180" s="1745"/>
      <c r="P180" s="1745"/>
      <c r="Q180" s="1745"/>
      <c r="R180" s="1745"/>
      <c r="S180" s="1745"/>
      <c r="T180" s="1745"/>
      <c r="U180" s="1745"/>
      <c r="V180" s="1745"/>
      <c r="W180" t="s">
        <v>2089</v>
      </c>
    </row>
    <row r="181" spans="1:23" ht="13.15" customHeight="1" x14ac:dyDescent="0.2">
      <c r="A181" s="2" t="s">
        <v>2196</v>
      </c>
      <c r="B181" s="2">
        <f t="shared" si="4"/>
        <v>2019</v>
      </c>
      <c r="C181" s="2" t="str">
        <f t="shared" si="5"/>
        <v>EC101</v>
      </c>
      <c r="D181" s="1747">
        <v>1310</v>
      </c>
      <c r="E181" s="2" t="s">
        <v>2173</v>
      </c>
      <c r="F181" s="2" t="s">
        <v>2195</v>
      </c>
      <c r="G181" s="1745"/>
      <c r="H181" s="1745"/>
      <c r="I181" s="1745"/>
      <c r="J181" s="1745"/>
      <c r="K181" s="1745"/>
      <c r="L181" s="1745"/>
      <c r="M181" s="1745"/>
      <c r="N181" s="1745"/>
      <c r="O181" s="1745"/>
      <c r="P181" s="1745"/>
      <c r="Q181" s="1745"/>
      <c r="R181" s="1745"/>
      <c r="S181" s="1745"/>
      <c r="T181" s="1745"/>
      <c r="U181" s="1745"/>
      <c r="V181" s="1745"/>
      <c r="W181" t="s">
        <v>2089</v>
      </c>
    </row>
    <row r="182" spans="1:23" ht="13.15" customHeight="1" x14ac:dyDescent="0.2">
      <c r="A182" s="2" t="s">
        <v>2196</v>
      </c>
      <c r="B182" s="2">
        <f t="shared" si="4"/>
        <v>2019</v>
      </c>
      <c r="C182" s="2" t="str">
        <f t="shared" si="5"/>
        <v>EC101</v>
      </c>
      <c r="D182" s="1747"/>
      <c r="E182" s="2"/>
      <c r="F182" s="2"/>
      <c r="G182" s="1745"/>
      <c r="H182" s="1745"/>
      <c r="I182" s="1745"/>
      <c r="J182" s="1745"/>
      <c r="K182" s="1745"/>
      <c r="L182" s="1745"/>
      <c r="M182" s="1745"/>
      <c r="N182" s="1745"/>
      <c r="O182" s="1745"/>
      <c r="P182" s="2"/>
      <c r="Q182" s="2"/>
      <c r="R182" s="2"/>
      <c r="S182" s="2"/>
      <c r="T182" s="2"/>
      <c r="U182" s="2"/>
      <c r="V182" s="2"/>
      <c r="W182" t="s">
        <v>2089</v>
      </c>
    </row>
    <row r="183" spans="1:23" ht="13.15" customHeight="1" x14ac:dyDescent="0.2">
      <c r="A183" s="2" t="s">
        <v>2196</v>
      </c>
      <c r="B183" s="2">
        <f t="shared" si="4"/>
        <v>2019</v>
      </c>
      <c r="C183" s="2" t="str">
        <f t="shared" si="5"/>
        <v>EC101</v>
      </c>
      <c r="D183" s="1747"/>
      <c r="E183" s="2"/>
      <c r="F183" s="2"/>
      <c r="G183" s="1745"/>
      <c r="H183" s="1745"/>
      <c r="I183" s="1745"/>
      <c r="J183" s="1745"/>
      <c r="K183" s="1745"/>
      <c r="L183" s="1745"/>
      <c r="M183" s="1745"/>
      <c r="N183" s="1745"/>
      <c r="O183" s="1745"/>
      <c r="P183" s="2"/>
      <c r="Q183" s="2"/>
      <c r="R183" s="2"/>
      <c r="S183" s="2"/>
      <c r="T183" s="2"/>
      <c r="U183" s="2"/>
      <c r="V183" s="2"/>
      <c r="W183" t="s">
        <v>2089</v>
      </c>
    </row>
    <row r="184" spans="1:23" ht="13.15" customHeight="1" x14ac:dyDescent="0.2">
      <c r="A184" s="2" t="s">
        <v>2196</v>
      </c>
      <c r="B184" s="2">
        <f t="shared" si="4"/>
        <v>2019</v>
      </c>
      <c r="C184" s="2" t="str">
        <f t="shared" si="5"/>
        <v>EC101</v>
      </c>
      <c r="D184" s="1747"/>
      <c r="E184" s="2"/>
      <c r="F184" s="2"/>
      <c r="G184" s="1745"/>
      <c r="H184" s="1745"/>
      <c r="I184" s="1745"/>
      <c r="J184" s="1745"/>
      <c r="K184" s="1745"/>
      <c r="L184" s="1745"/>
      <c r="M184" s="1745"/>
      <c r="N184" s="1745"/>
      <c r="O184" s="1745"/>
      <c r="P184" s="2"/>
      <c r="Q184" s="2"/>
      <c r="R184" s="2"/>
      <c r="S184" s="2"/>
      <c r="T184" s="2"/>
      <c r="U184" s="2"/>
      <c r="V184" s="2"/>
      <c r="W184" t="s">
        <v>2089</v>
      </c>
    </row>
    <row r="185" spans="1:23" ht="13.15" customHeight="1" x14ac:dyDescent="0.2">
      <c r="A185" s="2" t="s">
        <v>2196</v>
      </c>
      <c r="B185" s="2">
        <f t="shared" si="4"/>
        <v>2019</v>
      </c>
      <c r="C185" s="2" t="str">
        <f t="shared" si="5"/>
        <v>EC101</v>
      </c>
      <c r="D185" s="1747"/>
      <c r="E185" s="2"/>
      <c r="F185" s="2"/>
      <c r="G185" s="1745"/>
      <c r="H185" s="1745"/>
      <c r="I185" s="1745"/>
      <c r="J185" s="1745"/>
      <c r="K185" s="1745"/>
      <c r="L185" s="1745"/>
      <c r="M185" s="1745"/>
      <c r="N185" s="1745"/>
      <c r="O185" s="1745"/>
      <c r="P185" s="2"/>
      <c r="Q185" s="2"/>
      <c r="R185" s="2"/>
      <c r="S185" s="2"/>
      <c r="T185" s="2"/>
      <c r="U185" s="2"/>
      <c r="V185" s="2"/>
      <c r="W185" t="s">
        <v>2089</v>
      </c>
    </row>
    <row r="186" spans="1:23" ht="13.15" customHeight="1" x14ac:dyDescent="0.2">
      <c r="A186" s="2" t="s">
        <v>2196</v>
      </c>
      <c r="B186" s="2">
        <f t="shared" si="4"/>
        <v>2019</v>
      </c>
      <c r="C186" s="2" t="str">
        <f t="shared" si="5"/>
        <v>EC101</v>
      </c>
      <c r="D186" s="1747">
        <v>1000</v>
      </c>
      <c r="E186" s="2" t="s">
        <v>2172</v>
      </c>
      <c r="F186" s="1748" t="s">
        <v>653</v>
      </c>
      <c r="G186" s="1745"/>
      <c r="H186" s="1745"/>
      <c r="I186" s="1745"/>
      <c r="J186" s="1745"/>
      <c r="K186" s="1745"/>
      <c r="L186" s="1745"/>
      <c r="M186" s="1745"/>
      <c r="N186" s="1745"/>
      <c r="O186" s="1745"/>
      <c r="P186" s="2"/>
      <c r="Q186" s="2"/>
      <c r="R186" s="2"/>
      <c r="S186" s="2"/>
      <c r="T186" s="2"/>
      <c r="U186" s="2"/>
      <c r="V186" s="2"/>
      <c r="W186" t="s">
        <v>2089</v>
      </c>
    </row>
    <row r="187" spans="1:23" ht="13.15" customHeight="1" x14ac:dyDescent="0.2">
      <c r="A187" s="2" t="s">
        <v>2196</v>
      </c>
      <c r="B187" s="2">
        <f t="shared" si="4"/>
        <v>2019</v>
      </c>
      <c r="C187" s="2" t="str">
        <f t="shared" si="5"/>
        <v>EC101</v>
      </c>
      <c r="D187" s="1747">
        <v>1020</v>
      </c>
      <c r="E187" s="2" t="s">
        <v>2173</v>
      </c>
      <c r="F187" s="1116" t="s">
        <v>350</v>
      </c>
      <c r="G187" s="1745"/>
      <c r="H187" s="1745"/>
      <c r="I187" s="1745"/>
      <c r="J187" s="1745"/>
      <c r="K187" s="1745"/>
      <c r="L187" s="1745"/>
      <c r="M187" s="1745"/>
      <c r="N187" s="1745"/>
      <c r="O187" s="1745"/>
      <c r="P187" s="1745"/>
      <c r="Q187" s="1745"/>
      <c r="R187" s="1745"/>
      <c r="S187" s="1745"/>
      <c r="T187" s="1745"/>
      <c r="U187" s="1745"/>
      <c r="V187" s="1745"/>
      <c r="W187" t="s">
        <v>2089</v>
      </c>
    </row>
    <row r="188" spans="1:23" ht="13.15" customHeight="1" x14ac:dyDescent="0.2">
      <c r="A188" s="2" t="s">
        <v>2196</v>
      </c>
      <c r="B188" s="2">
        <f t="shared" si="4"/>
        <v>2019</v>
      </c>
      <c r="C188" s="2" t="str">
        <f t="shared" si="5"/>
        <v>EC101</v>
      </c>
      <c r="D188" s="1747">
        <v>1021</v>
      </c>
      <c r="E188" s="2" t="s">
        <v>2173</v>
      </c>
      <c r="F188" s="1116" t="s">
        <v>1241</v>
      </c>
      <c r="G188" s="1745"/>
      <c r="H188" s="1745"/>
      <c r="I188" s="1745"/>
      <c r="J188" s="1745"/>
      <c r="K188" s="1745"/>
      <c r="L188" s="1745"/>
      <c r="M188" s="1745"/>
      <c r="N188" s="1745"/>
      <c r="O188" s="1745"/>
      <c r="P188" s="1745"/>
      <c r="Q188" s="1745"/>
      <c r="R188" s="1745"/>
      <c r="S188" s="1745"/>
      <c r="T188" s="1745"/>
      <c r="U188" s="1745"/>
      <c r="V188" s="1745"/>
      <c r="W188" t="s">
        <v>2089</v>
      </c>
    </row>
    <row r="189" spans="1:23" ht="13.15" customHeight="1" x14ac:dyDescent="0.2">
      <c r="A189" s="2" t="s">
        <v>2196</v>
      </c>
      <c r="B189" s="2">
        <f t="shared" si="4"/>
        <v>2019</v>
      </c>
      <c r="C189" s="2" t="str">
        <f t="shared" si="5"/>
        <v>EC101</v>
      </c>
      <c r="D189" s="1747">
        <v>1022</v>
      </c>
      <c r="E189" s="2" t="s">
        <v>2173</v>
      </c>
      <c r="F189" s="1116" t="s">
        <v>352</v>
      </c>
      <c r="G189" s="1745"/>
      <c r="H189" s="1745"/>
      <c r="I189" s="1745"/>
      <c r="J189" s="1745"/>
      <c r="K189" s="1745"/>
      <c r="L189" s="1745"/>
      <c r="M189" s="1745"/>
      <c r="N189" s="1745"/>
      <c r="O189" s="1745"/>
      <c r="P189" s="1745"/>
      <c r="Q189" s="1745"/>
      <c r="R189" s="1745"/>
      <c r="S189" s="1745"/>
      <c r="T189" s="1745"/>
      <c r="U189" s="1745"/>
      <c r="V189" s="1745"/>
      <c r="W189" t="s">
        <v>2089</v>
      </c>
    </row>
    <row r="190" spans="1:23" ht="13.15" customHeight="1" x14ac:dyDescent="0.2">
      <c r="A190" s="2" t="s">
        <v>2196</v>
      </c>
      <c r="B190" s="2">
        <f t="shared" si="4"/>
        <v>2019</v>
      </c>
      <c r="C190" s="2" t="str">
        <f t="shared" si="5"/>
        <v>EC101</v>
      </c>
      <c r="D190" s="1747">
        <v>1023</v>
      </c>
      <c r="E190" s="2" t="s">
        <v>2173</v>
      </c>
      <c r="F190" s="1116" t="s">
        <v>645</v>
      </c>
      <c r="G190" s="1745"/>
      <c r="H190" s="1745"/>
      <c r="I190" s="1745"/>
      <c r="J190" s="1745"/>
      <c r="K190" s="1745"/>
      <c r="L190" s="1745"/>
      <c r="M190" s="1745"/>
      <c r="N190" s="1745"/>
      <c r="O190" s="1745"/>
      <c r="P190" s="1745"/>
      <c r="Q190" s="1745"/>
      <c r="R190" s="1745"/>
      <c r="S190" s="1745"/>
      <c r="T190" s="1745"/>
      <c r="U190" s="1745"/>
      <c r="V190" s="1745"/>
      <c r="W190" t="s">
        <v>2089</v>
      </c>
    </row>
    <row r="191" spans="1:23" ht="13.15" customHeight="1" x14ac:dyDescent="0.2">
      <c r="A191" s="2" t="s">
        <v>2196</v>
      </c>
      <c r="B191" s="2">
        <f t="shared" si="4"/>
        <v>2019</v>
      </c>
      <c r="C191" s="2" t="str">
        <f t="shared" si="5"/>
        <v>EC101</v>
      </c>
      <c r="D191" s="1747">
        <v>1030</v>
      </c>
      <c r="E191" s="2" t="s">
        <v>2173</v>
      </c>
      <c r="F191" s="1116" t="s">
        <v>2197</v>
      </c>
      <c r="G191" s="1745"/>
      <c r="H191" s="1745"/>
      <c r="I191" s="1745"/>
      <c r="J191" s="1745"/>
      <c r="K191" s="1745"/>
      <c r="L191" s="1745"/>
      <c r="M191" s="1745"/>
      <c r="N191" s="1745"/>
      <c r="O191" s="1745"/>
      <c r="P191" s="1745"/>
      <c r="Q191" s="1745"/>
      <c r="R191" s="1745"/>
      <c r="S191" s="1745"/>
      <c r="T191" s="1745"/>
      <c r="U191" s="1745"/>
      <c r="V191" s="1745"/>
      <c r="W191" t="s">
        <v>2089</v>
      </c>
    </row>
    <row r="192" spans="1:23" ht="13.15" customHeight="1" x14ac:dyDescent="0.2">
      <c r="A192" s="2" t="s">
        <v>2196</v>
      </c>
      <c r="B192" s="2">
        <f t="shared" si="4"/>
        <v>2019</v>
      </c>
      <c r="C192" s="2" t="str">
        <f t="shared" si="5"/>
        <v>EC101</v>
      </c>
      <c r="D192" s="1747">
        <v>1024</v>
      </c>
      <c r="E192" s="2" t="s">
        <v>2173</v>
      </c>
      <c r="F192" s="1116" t="s">
        <v>646</v>
      </c>
      <c r="G192" s="1745"/>
      <c r="H192" s="1745"/>
      <c r="I192" s="1745"/>
      <c r="J192" s="1745"/>
      <c r="K192" s="1745"/>
      <c r="L192" s="1745"/>
      <c r="M192" s="1745"/>
      <c r="N192" s="1745"/>
      <c r="O192" s="1745"/>
      <c r="P192" s="1745"/>
      <c r="Q192" s="1745"/>
      <c r="R192" s="1745"/>
      <c r="S192" s="1745"/>
      <c r="T192" s="1745"/>
      <c r="U192" s="1745"/>
      <c r="V192" s="1745"/>
      <c r="W192" t="s">
        <v>2089</v>
      </c>
    </row>
    <row r="193" spans="1:23" ht="13.15" customHeight="1" x14ac:dyDescent="0.2">
      <c r="A193" s="2" t="s">
        <v>2196</v>
      </c>
      <c r="B193" s="2">
        <f t="shared" si="4"/>
        <v>2019</v>
      </c>
      <c r="C193" s="2" t="str">
        <f t="shared" si="5"/>
        <v>EC101</v>
      </c>
      <c r="D193" s="1747">
        <v>1025</v>
      </c>
      <c r="E193" s="2" t="s">
        <v>2173</v>
      </c>
      <c r="F193" s="1116" t="s">
        <v>316</v>
      </c>
      <c r="G193" s="1745"/>
      <c r="H193" s="1745"/>
      <c r="I193" s="1745"/>
      <c r="J193" s="1745"/>
      <c r="K193" s="1745"/>
      <c r="L193" s="1745"/>
      <c r="M193" s="1745"/>
      <c r="N193" s="1745"/>
      <c r="O193" s="1745"/>
      <c r="P193" s="1745"/>
      <c r="Q193" s="1745"/>
      <c r="R193" s="1745"/>
      <c r="S193" s="1745"/>
      <c r="T193" s="1745"/>
      <c r="U193" s="1745"/>
      <c r="V193" s="1745"/>
      <c r="W193" t="s">
        <v>2089</v>
      </c>
    </row>
    <row r="194" spans="1:23" ht="13.15" customHeight="1" x14ac:dyDescent="0.2">
      <c r="A194" s="2" t="s">
        <v>2196</v>
      </c>
      <c r="B194" s="2">
        <f t="shared" ref="B194:B257" si="6">+MTREF</f>
        <v>2019</v>
      </c>
      <c r="C194" s="2" t="str">
        <f t="shared" ref="C194:C257" si="7">LEFT(muni,(FIND(" ",muni,1)-1))</f>
        <v>EC101</v>
      </c>
      <c r="D194" s="1747">
        <v>1026</v>
      </c>
      <c r="E194" s="2" t="s">
        <v>2173</v>
      </c>
      <c r="F194" s="1116" t="s">
        <v>317</v>
      </c>
      <c r="G194" s="1745"/>
      <c r="H194" s="1745"/>
      <c r="I194" s="1745"/>
      <c r="J194" s="1745"/>
      <c r="K194" s="1745"/>
      <c r="L194" s="1745"/>
      <c r="M194" s="1745"/>
      <c r="N194" s="1745"/>
      <c r="O194" s="1745"/>
      <c r="P194" s="1745"/>
      <c r="Q194" s="1745"/>
      <c r="R194" s="1745"/>
      <c r="S194" s="1745"/>
      <c r="T194" s="1745"/>
      <c r="U194" s="1745"/>
      <c r="V194" s="1745"/>
      <c r="W194" t="s">
        <v>2089</v>
      </c>
    </row>
    <row r="195" spans="1:23" ht="13.15" customHeight="1" x14ac:dyDescent="0.2">
      <c r="A195" s="2" t="s">
        <v>2196</v>
      </c>
      <c r="B195" s="2">
        <f t="shared" si="6"/>
        <v>2019</v>
      </c>
      <c r="C195" s="2" t="str">
        <f t="shared" si="7"/>
        <v>EC101</v>
      </c>
      <c r="D195" s="1747">
        <v>1027</v>
      </c>
      <c r="E195" s="2" t="s">
        <v>2173</v>
      </c>
      <c r="F195" s="1116" t="s">
        <v>318</v>
      </c>
      <c r="G195" s="1745"/>
      <c r="H195" s="1745"/>
      <c r="I195" s="1745"/>
      <c r="J195" s="1745"/>
      <c r="K195" s="1745"/>
      <c r="L195" s="1745"/>
      <c r="M195" s="1745"/>
      <c r="N195" s="1745"/>
      <c r="O195" s="1745"/>
      <c r="P195" s="1745"/>
      <c r="Q195" s="1745"/>
      <c r="R195" s="1745"/>
      <c r="S195" s="1745"/>
      <c r="T195" s="1745"/>
      <c r="U195" s="1745"/>
      <c r="V195" s="1745"/>
      <c r="W195" t="s">
        <v>2089</v>
      </c>
    </row>
    <row r="196" spans="1:23" ht="13.15" customHeight="1" x14ac:dyDescent="0.2">
      <c r="A196" s="2" t="s">
        <v>2196</v>
      </c>
      <c r="B196" s="2">
        <f t="shared" si="6"/>
        <v>2019</v>
      </c>
      <c r="C196" s="2" t="str">
        <f t="shared" si="7"/>
        <v>EC101</v>
      </c>
      <c r="D196" s="1747">
        <v>1028</v>
      </c>
      <c r="E196" s="2" t="s">
        <v>2173</v>
      </c>
      <c r="F196" s="1116" t="s">
        <v>655</v>
      </c>
      <c r="G196" s="1745"/>
      <c r="H196" s="1745"/>
      <c r="I196" s="1745"/>
      <c r="J196" s="1745"/>
      <c r="K196" s="1745"/>
      <c r="L196" s="1745"/>
      <c r="M196" s="1745"/>
      <c r="N196" s="1745"/>
      <c r="O196" s="1745"/>
      <c r="P196" s="1745"/>
      <c r="Q196" s="1745"/>
      <c r="R196" s="1745"/>
      <c r="S196" s="1745"/>
      <c r="T196" s="1745"/>
      <c r="U196" s="1745"/>
      <c r="V196" s="1745"/>
      <c r="W196" t="s">
        <v>2089</v>
      </c>
    </row>
    <row r="197" spans="1:23" ht="13.15" customHeight="1" x14ac:dyDescent="0.2">
      <c r="A197" s="2" t="s">
        <v>2196</v>
      </c>
      <c r="B197" s="2">
        <f t="shared" si="6"/>
        <v>2019</v>
      </c>
      <c r="C197" s="2" t="str">
        <f t="shared" si="7"/>
        <v>EC101</v>
      </c>
      <c r="D197" s="1747">
        <v>1029</v>
      </c>
      <c r="E197" s="2" t="s">
        <v>2173</v>
      </c>
      <c r="F197" s="1116" t="s">
        <v>644</v>
      </c>
      <c r="G197" s="1745"/>
      <c r="H197" s="1745"/>
      <c r="I197" s="1745"/>
      <c r="J197" s="1745"/>
      <c r="K197" s="1745"/>
      <c r="L197" s="1745"/>
      <c r="M197" s="1745"/>
      <c r="N197" s="1745"/>
      <c r="O197" s="1745"/>
      <c r="P197" s="1745"/>
      <c r="Q197" s="1745"/>
      <c r="R197" s="1745"/>
      <c r="S197" s="1745"/>
      <c r="T197" s="1745"/>
      <c r="U197" s="1745"/>
      <c r="V197" s="1745"/>
      <c r="W197" t="s">
        <v>2089</v>
      </c>
    </row>
    <row r="198" spans="1:23" ht="13.15" customHeight="1" x14ac:dyDescent="0.2">
      <c r="A198" s="2" t="s">
        <v>2196</v>
      </c>
      <c r="B198" s="2">
        <f t="shared" si="6"/>
        <v>2019</v>
      </c>
      <c r="C198" s="2" t="str">
        <f t="shared" si="7"/>
        <v>EC101</v>
      </c>
      <c r="D198" s="1747">
        <v>1040</v>
      </c>
      <c r="E198" s="2" t="s">
        <v>2173</v>
      </c>
      <c r="F198" s="1116" t="s">
        <v>1243</v>
      </c>
      <c r="G198" s="1745"/>
      <c r="H198" s="1745"/>
      <c r="I198" s="1745"/>
      <c r="J198" s="1745"/>
      <c r="K198" s="1745"/>
      <c r="L198" s="1745"/>
      <c r="M198" s="1745"/>
      <c r="N198" s="1745"/>
      <c r="O198" s="1745"/>
      <c r="P198" s="1745"/>
      <c r="Q198" s="1745"/>
      <c r="R198" s="1745"/>
      <c r="S198" s="1745"/>
      <c r="T198" s="1745"/>
      <c r="U198" s="1745"/>
      <c r="V198" s="1745"/>
      <c r="W198" t="s">
        <v>2089</v>
      </c>
    </row>
    <row r="199" spans="1:23" ht="13.15" customHeight="1" x14ac:dyDescent="0.2">
      <c r="A199" s="2" t="s">
        <v>2196</v>
      </c>
      <c r="B199" s="2">
        <f t="shared" si="6"/>
        <v>2019</v>
      </c>
      <c r="C199" s="2" t="str">
        <f t="shared" si="7"/>
        <v>EC101</v>
      </c>
      <c r="D199" s="1747">
        <v>1041</v>
      </c>
      <c r="E199" s="2" t="s">
        <v>2172</v>
      </c>
      <c r="F199" s="1116" t="s">
        <v>2198</v>
      </c>
      <c r="G199" s="1747"/>
      <c r="H199" s="1747"/>
      <c r="I199" s="1747"/>
      <c r="J199" s="1747"/>
      <c r="K199" s="1747"/>
      <c r="L199" s="1747"/>
      <c r="M199" s="1747"/>
      <c r="N199" s="1747"/>
      <c r="O199" s="1747"/>
      <c r="P199" s="1747"/>
      <c r="Q199" s="1747"/>
      <c r="R199" s="1747"/>
      <c r="S199" s="1747"/>
      <c r="T199" s="1747"/>
      <c r="U199" s="1747"/>
      <c r="V199" s="1747"/>
      <c r="W199" t="s">
        <v>2089</v>
      </c>
    </row>
    <row r="200" spans="1:23" ht="13.15" customHeight="1" x14ac:dyDescent="0.2">
      <c r="A200" s="2" t="s">
        <v>2196</v>
      </c>
      <c r="B200" s="2">
        <f t="shared" si="6"/>
        <v>2019</v>
      </c>
      <c r="C200" s="2" t="str">
        <f t="shared" si="7"/>
        <v>EC101</v>
      </c>
      <c r="D200" s="1747">
        <v>1042</v>
      </c>
      <c r="E200" s="2" t="s">
        <v>2172</v>
      </c>
      <c r="F200" s="1116" t="s">
        <v>2199</v>
      </c>
      <c r="G200" s="1747"/>
      <c r="H200" s="1747"/>
      <c r="I200" s="1747"/>
      <c r="J200" s="1747"/>
      <c r="K200" s="1747"/>
      <c r="L200" s="1747"/>
      <c r="M200" s="1747"/>
      <c r="N200" s="1747"/>
      <c r="O200" s="1747"/>
      <c r="P200" s="1747"/>
      <c r="Q200" s="1747"/>
      <c r="R200" s="1747"/>
      <c r="S200" s="1747"/>
      <c r="T200" s="1747"/>
      <c r="U200" s="1747"/>
      <c r="V200" s="1747"/>
      <c r="W200" t="s">
        <v>2089</v>
      </c>
    </row>
    <row r="201" spans="1:23" ht="13.15" customHeight="1" x14ac:dyDescent="0.2">
      <c r="A201" s="2" t="s">
        <v>2196</v>
      </c>
      <c r="B201" s="2">
        <f t="shared" si="6"/>
        <v>2019</v>
      </c>
      <c r="C201" s="2" t="str">
        <f t="shared" si="7"/>
        <v>EC101</v>
      </c>
      <c r="D201" s="1747">
        <v>1043</v>
      </c>
      <c r="E201" s="2" t="s">
        <v>2172</v>
      </c>
      <c r="F201" s="1116" t="s">
        <v>2200</v>
      </c>
      <c r="G201" s="1747"/>
      <c r="H201" s="1747"/>
      <c r="I201" s="1747"/>
      <c r="J201" s="1747"/>
      <c r="K201" s="1747"/>
      <c r="L201" s="1747"/>
      <c r="M201" s="1747"/>
      <c r="N201" s="1747"/>
      <c r="O201" s="1747"/>
      <c r="P201" s="1747"/>
      <c r="Q201" s="1747"/>
      <c r="R201" s="1747"/>
      <c r="S201" s="1747"/>
      <c r="T201" s="1747"/>
      <c r="U201" s="1747"/>
      <c r="V201" s="1747"/>
      <c r="W201" t="s">
        <v>2089</v>
      </c>
    </row>
    <row r="202" spans="1:23" ht="13.15" customHeight="1" x14ac:dyDescent="0.2">
      <c r="A202" s="2" t="s">
        <v>2196</v>
      </c>
      <c r="B202" s="2">
        <f t="shared" si="6"/>
        <v>2019</v>
      </c>
      <c r="C202" s="2" t="str">
        <f t="shared" si="7"/>
        <v>EC101</v>
      </c>
      <c r="D202" s="1747">
        <v>1044</v>
      </c>
      <c r="E202" s="2" t="s">
        <v>2172</v>
      </c>
      <c r="F202" s="1116" t="s">
        <v>2201</v>
      </c>
      <c r="G202" s="1747"/>
      <c r="H202" s="1747"/>
      <c r="I202" s="1747"/>
      <c r="J202" s="1747"/>
      <c r="K202" s="1747"/>
      <c r="L202" s="1747"/>
      <c r="M202" s="1747"/>
      <c r="N202" s="1747"/>
      <c r="O202" s="1747"/>
      <c r="P202" s="1747"/>
      <c r="Q202" s="1747"/>
      <c r="R202" s="1747"/>
      <c r="S202" s="1747"/>
      <c r="T202" s="1747"/>
      <c r="U202" s="1747"/>
      <c r="V202" s="1747"/>
      <c r="W202" t="s">
        <v>2089</v>
      </c>
    </row>
    <row r="203" spans="1:23" ht="13.15" customHeight="1" x14ac:dyDescent="0.2">
      <c r="A203" s="2" t="s">
        <v>2196</v>
      </c>
      <c r="B203" s="2">
        <f t="shared" si="6"/>
        <v>2019</v>
      </c>
      <c r="C203" s="2" t="str">
        <f t="shared" si="7"/>
        <v>EC101</v>
      </c>
      <c r="D203" s="1747">
        <v>1206</v>
      </c>
      <c r="E203" s="2" t="s">
        <v>2173</v>
      </c>
      <c r="F203" s="1116" t="s">
        <v>141</v>
      </c>
      <c r="G203" s="1745"/>
      <c r="H203" s="1745"/>
      <c r="I203" s="1745"/>
      <c r="J203" s="1745"/>
      <c r="K203" s="1745"/>
      <c r="L203" s="1745"/>
      <c r="M203" s="1745"/>
      <c r="N203" s="1745"/>
      <c r="O203" s="1745"/>
      <c r="P203" s="1745"/>
      <c r="Q203" s="1745"/>
      <c r="R203" s="1745"/>
      <c r="S203" s="1745"/>
      <c r="T203" s="1745"/>
      <c r="U203" s="1745"/>
      <c r="V203" s="1745"/>
      <c r="W203" t="s">
        <v>2089</v>
      </c>
    </row>
    <row r="204" spans="1:23" ht="13.15" customHeight="1" x14ac:dyDescent="0.2">
      <c r="A204" s="2" t="s">
        <v>2196</v>
      </c>
      <c r="B204" s="2">
        <f t="shared" si="6"/>
        <v>2019</v>
      </c>
      <c r="C204" s="2" t="str">
        <f t="shared" si="7"/>
        <v>EC101</v>
      </c>
      <c r="D204" s="1747">
        <v>1046</v>
      </c>
      <c r="E204" s="2" t="s">
        <v>2172</v>
      </c>
      <c r="F204" s="1116" t="s">
        <v>583</v>
      </c>
      <c r="G204" s="1747"/>
      <c r="H204" s="1747"/>
      <c r="I204" s="1747"/>
      <c r="J204" s="1747"/>
      <c r="K204" s="1747"/>
      <c r="L204" s="1747"/>
      <c r="M204" s="1747"/>
      <c r="N204" s="1747"/>
      <c r="O204" s="1747"/>
      <c r="P204" s="1747"/>
      <c r="Q204" s="1747"/>
      <c r="R204" s="1747"/>
      <c r="S204" s="1747"/>
      <c r="T204" s="1747"/>
      <c r="U204" s="1747"/>
      <c r="V204" s="1747"/>
      <c r="W204" t="s">
        <v>2089</v>
      </c>
    </row>
    <row r="205" spans="1:23" ht="13.15" customHeight="1" x14ac:dyDescent="0.2">
      <c r="A205" s="2" t="s">
        <v>2196</v>
      </c>
      <c r="B205" s="2">
        <f t="shared" si="6"/>
        <v>2019</v>
      </c>
      <c r="C205" s="2" t="str">
        <f t="shared" si="7"/>
        <v>EC101</v>
      </c>
      <c r="D205" s="1747">
        <v>1047</v>
      </c>
      <c r="E205" s="2" t="s">
        <v>2172</v>
      </c>
      <c r="F205" s="1116" t="s">
        <v>584</v>
      </c>
      <c r="G205" s="1747"/>
      <c r="H205" s="1747"/>
      <c r="I205" s="1747"/>
      <c r="J205" s="1747"/>
      <c r="K205" s="1747"/>
      <c r="L205" s="1747"/>
      <c r="M205" s="1747"/>
      <c r="N205" s="1747"/>
      <c r="O205" s="1747"/>
      <c r="P205" s="1747"/>
      <c r="Q205" s="1747"/>
      <c r="R205" s="1747"/>
      <c r="S205" s="1747"/>
      <c r="T205" s="1747"/>
      <c r="U205" s="1747"/>
      <c r="V205" s="1747"/>
      <c r="W205" t="s">
        <v>2089</v>
      </c>
    </row>
    <row r="206" spans="1:23" ht="13.15" customHeight="1" x14ac:dyDescent="0.2">
      <c r="A206" s="2" t="s">
        <v>2196</v>
      </c>
      <c r="B206" s="2">
        <f t="shared" si="6"/>
        <v>2019</v>
      </c>
      <c r="C206" s="2" t="str">
        <f t="shared" si="7"/>
        <v>EC101</v>
      </c>
      <c r="D206" s="1747">
        <v>1048</v>
      </c>
      <c r="E206" s="2" t="s">
        <v>2172</v>
      </c>
      <c r="F206" s="1116" t="s">
        <v>265</v>
      </c>
      <c r="G206" s="1747"/>
      <c r="H206" s="1747"/>
      <c r="I206" s="1747"/>
      <c r="J206" s="1747"/>
      <c r="K206" s="1747"/>
      <c r="L206" s="1747"/>
      <c r="M206" s="1747"/>
      <c r="N206" s="1747"/>
      <c r="O206" s="1747"/>
      <c r="P206" s="1747"/>
      <c r="Q206" s="1747"/>
      <c r="R206" s="1747"/>
      <c r="S206" s="1747"/>
      <c r="T206" s="1747"/>
      <c r="U206" s="1747"/>
      <c r="V206" s="1747"/>
      <c r="W206" t="s">
        <v>2089</v>
      </c>
    </row>
    <row r="207" spans="1:23" ht="13.15" customHeight="1" x14ac:dyDescent="0.2">
      <c r="A207" s="2" t="s">
        <v>2196</v>
      </c>
      <c r="B207" s="2">
        <f t="shared" si="6"/>
        <v>2019</v>
      </c>
      <c r="C207" s="2" t="str">
        <f t="shared" si="7"/>
        <v>EC101</v>
      </c>
      <c r="D207" s="1747">
        <v>1100</v>
      </c>
      <c r="E207" s="2" t="s">
        <v>2172</v>
      </c>
      <c r="F207" s="1748" t="s">
        <v>1366</v>
      </c>
      <c r="G207" s="1753"/>
      <c r="H207" s="1753"/>
      <c r="I207" s="1753"/>
      <c r="J207" s="1753"/>
      <c r="K207" s="1753"/>
      <c r="L207" s="1753"/>
      <c r="M207" s="1753"/>
      <c r="N207" s="1753"/>
      <c r="O207" s="1753"/>
      <c r="P207" s="1753"/>
      <c r="Q207" s="1753"/>
      <c r="R207" s="1753"/>
      <c r="S207" s="1753"/>
      <c r="T207" s="1753"/>
      <c r="U207" s="1753"/>
      <c r="V207" s="1753"/>
      <c r="W207" t="s">
        <v>2089</v>
      </c>
    </row>
    <row r="208" spans="1:23" ht="13.15" customHeight="1" x14ac:dyDescent="0.2">
      <c r="A208" s="2" t="s">
        <v>2196</v>
      </c>
      <c r="B208" s="2">
        <f t="shared" si="6"/>
        <v>2019</v>
      </c>
      <c r="C208" s="2" t="str">
        <f t="shared" si="7"/>
        <v>EC101</v>
      </c>
      <c r="D208" s="1747">
        <v>1101</v>
      </c>
      <c r="E208" s="2" t="s">
        <v>2173</v>
      </c>
      <c r="F208" s="1116" t="s">
        <v>2176</v>
      </c>
      <c r="G208" s="1745"/>
      <c r="H208" s="1745"/>
      <c r="I208" s="1745"/>
      <c r="J208" s="1745"/>
      <c r="K208" s="1745"/>
      <c r="L208" s="1745"/>
      <c r="M208" s="1745"/>
      <c r="N208" s="1745"/>
      <c r="O208" s="1745"/>
      <c r="P208" s="1745"/>
      <c r="Q208" s="1745"/>
      <c r="R208" s="1745"/>
      <c r="S208" s="1745"/>
      <c r="T208" s="1745"/>
      <c r="U208" s="1745"/>
      <c r="V208" s="1745"/>
      <c r="W208" t="s">
        <v>2089</v>
      </c>
    </row>
    <row r="209" spans="1:23" ht="13.15" customHeight="1" x14ac:dyDescent="0.2">
      <c r="A209" s="2" t="s">
        <v>2196</v>
      </c>
      <c r="B209" s="2">
        <f t="shared" si="6"/>
        <v>2019</v>
      </c>
      <c r="C209" s="2" t="str">
        <f t="shared" si="7"/>
        <v>EC101</v>
      </c>
      <c r="D209" s="1747">
        <v>1102</v>
      </c>
      <c r="E209" s="2" t="s">
        <v>2173</v>
      </c>
      <c r="F209" s="1116" t="s">
        <v>2177</v>
      </c>
      <c r="G209" s="1745"/>
      <c r="H209" s="1745"/>
      <c r="I209" s="1745"/>
      <c r="J209" s="1745"/>
      <c r="K209" s="1745"/>
      <c r="L209" s="1745"/>
      <c r="M209" s="1745"/>
      <c r="N209" s="1745"/>
      <c r="O209" s="1745"/>
      <c r="P209" s="1745"/>
      <c r="Q209" s="1745"/>
      <c r="R209" s="1745"/>
      <c r="S209" s="1745"/>
      <c r="T209" s="1745"/>
      <c r="U209" s="1745"/>
      <c r="V209" s="1745"/>
      <c r="W209" t="s">
        <v>2089</v>
      </c>
    </row>
    <row r="210" spans="1:23" ht="13.15" customHeight="1" x14ac:dyDescent="0.2">
      <c r="A210" s="2" t="s">
        <v>2196</v>
      </c>
      <c r="B210" s="2">
        <f t="shared" si="6"/>
        <v>2019</v>
      </c>
      <c r="C210" s="2" t="str">
        <f t="shared" si="7"/>
        <v>EC101</v>
      </c>
      <c r="D210" s="1747">
        <v>1103</v>
      </c>
      <c r="E210" s="2" t="s">
        <v>2173</v>
      </c>
      <c r="F210" s="1116" t="s">
        <v>2178</v>
      </c>
      <c r="G210" s="1745"/>
      <c r="H210" s="1745"/>
      <c r="I210" s="1745"/>
      <c r="J210" s="1745"/>
      <c r="K210" s="1745"/>
      <c r="L210" s="1745"/>
      <c r="M210" s="1745"/>
      <c r="N210" s="1745"/>
      <c r="O210" s="1745"/>
      <c r="P210" s="1745"/>
      <c r="Q210" s="1745"/>
      <c r="R210" s="1745"/>
      <c r="S210" s="1745"/>
      <c r="T210" s="1745"/>
      <c r="U210" s="1745"/>
      <c r="V210" s="1745"/>
      <c r="W210" t="s">
        <v>2089</v>
      </c>
    </row>
    <row r="211" spans="1:23" ht="13.15" customHeight="1" x14ac:dyDescent="0.2">
      <c r="A211" s="2" t="s">
        <v>2196</v>
      </c>
      <c r="B211" s="2">
        <f t="shared" si="6"/>
        <v>2019</v>
      </c>
      <c r="C211" s="2" t="str">
        <f t="shared" si="7"/>
        <v>EC101</v>
      </c>
      <c r="D211" s="1747">
        <v>1104</v>
      </c>
      <c r="E211" s="2" t="s">
        <v>2173</v>
      </c>
      <c r="F211" s="1116" t="s">
        <v>2202</v>
      </c>
      <c r="G211" s="1745"/>
      <c r="H211" s="1745"/>
      <c r="I211" s="1745"/>
      <c r="J211" s="1745"/>
      <c r="K211" s="1745"/>
      <c r="L211" s="1745"/>
      <c r="M211" s="1745"/>
      <c r="N211" s="1745"/>
      <c r="O211" s="1745"/>
      <c r="P211" s="1745"/>
      <c r="Q211" s="1745"/>
      <c r="R211" s="1745"/>
      <c r="S211" s="1745"/>
      <c r="T211" s="1745"/>
      <c r="U211" s="1745"/>
      <c r="V211" s="1745"/>
      <c r="W211" t="s">
        <v>2089</v>
      </c>
    </row>
    <row r="212" spans="1:23" ht="13.15" customHeight="1" x14ac:dyDescent="0.2">
      <c r="A212" s="2" t="s">
        <v>2196</v>
      </c>
      <c r="B212" s="2">
        <f t="shared" si="6"/>
        <v>2019</v>
      </c>
      <c r="C212" s="2" t="str">
        <f t="shared" si="7"/>
        <v>EC101</v>
      </c>
      <c r="D212" s="1747">
        <v>1105</v>
      </c>
      <c r="E212" s="2" t="s">
        <v>2173</v>
      </c>
      <c r="F212" s="1116" t="s">
        <v>2203</v>
      </c>
      <c r="G212" s="1745"/>
      <c r="H212" s="1745"/>
      <c r="I212" s="1745"/>
      <c r="J212" s="1745"/>
      <c r="K212" s="1745"/>
      <c r="L212" s="1745"/>
      <c r="M212" s="1745"/>
      <c r="N212" s="1745"/>
      <c r="O212" s="1745"/>
      <c r="P212" s="1745"/>
      <c r="Q212" s="1745"/>
      <c r="R212" s="1745"/>
      <c r="S212" s="1745"/>
      <c r="T212" s="1745"/>
      <c r="U212" s="1745"/>
      <c r="V212" s="1745"/>
      <c r="W212" t="s">
        <v>2089</v>
      </c>
    </row>
    <row r="213" spans="1:23" ht="13.15" customHeight="1" x14ac:dyDescent="0.2">
      <c r="A213" s="2" t="s">
        <v>2196</v>
      </c>
      <c r="B213" s="2">
        <f t="shared" si="6"/>
        <v>2019</v>
      </c>
      <c r="C213" s="2" t="str">
        <f t="shared" si="7"/>
        <v>EC101</v>
      </c>
      <c r="D213" s="1747">
        <v>1106</v>
      </c>
      <c r="E213" s="2" t="s">
        <v>2173</v>
      </c>
      <c r="F213" s="1116" t="s">
        <v>2181</v>
      </c>
      <c r="G213" s="1745"/>
      <c r="H213" s="1745"/>
      <c r="I213" s="1745"/>
      <c r="J213" s="1745"/>
      <c r="K213" s="1745"/>
      <c r="L213" s="1745"/>
      <c r="M213" s="1745"/>
      <c r="N213" s="1745"/>
      <c r="O213" s="1745"/>
      <c r="P213" s="1745"/>
      <c r="Q213" s="1745"/>
      <c r="R213" s="1745"/>
      <c r="S213" s="1745"/>
      <c r="T213" s="1745"/>
      <c r="U213" s="1745"/>
      <c r="V213" s="1745"/>
      <c r="W213" t="s">
        <v>2089</v>
      </c>
    </row>
    <row r="214" spans="1:23" ht="13.15" customHeight="1" x14ac:dyDescent="0.2">
      <c r="A214" s="2" t="s">
        <v>2196</v>
      </c>
      <c r="B214" s="2">
        <f t="shared" si="6"/>
        <v>2019</v>
      </c>
      <c r="C214" s="2" t="str">
        <f t="shared" si="7"/>
        <v>EC101</v>
      </c>
      <c r="D214" s="1747">
        <v>1107</v>
      </c>
      <c r="E214" s="2" t="s">
        <v>2173</v>
      </c>
      <c r="F214" s="2" t="s">
        <v>1367</v>
      </c>
      <c r="G214" s="1745"/>
      <c r="H214" s="1745"/>
      <c r="I214" s="1745"/>
      <c r="J214" s="1745"/>
      <c r="K214" s="1745"/>
      <c r="L214" s="1745"/>
      <c r="M214" s="1745"/>
      <c r="N214" s="1745"/>
      <c r="O214" s="1745"/>
      <c r="P214" s="1745"/>
      <c r="Q214" s="1745"/>
      <c r="R214" s="1745"/>
      <c r="S214" s="1745"/>
      <c r="T214" s="1745"/>
      <c r="U214" s="1745"/>
      <c r="V214" s="1745"/>
      <c r="W214" t="s">
        <v>2089</v>
      </c>
    </row>
    <row r="215" spans="1:23" ht="13.15" customHeight="1" x14ac:dyDescent="0.2">
      <c r="A215" s="2" t="s">
        <v>2196</v>
      </c>
      <c r="B215" s="2">
        <f t="shared" si="6"/>
        <v>2019</v>
      </c>
      <c r="C215" s="2" t="str">
        <f t="shared" si="7"/>
        <v>EC101</v>
      </c>
      <c r="D215" s="1747">
        <v>1108</v>
      </c>
      <c r="E215" s="2" t="s">
        <v>2173</v>
      </c>
      <c r="F215" s="1116" t="s">
        <v>2182</v>
      </c>
      <c r="G215" s="1745"/>
      <c r="H215" s="1745"/>
      <c r="I215" s="1745"/>
      <c r="J215" s="1745"/>
      <c r="K215" s="1745"/>
      <c r="L215" s="1745"/>
      <c r="M215" s="1745"/>
      <c r="N215" s="1745"/>
      <c r="O215" s="1745"/>
      <c r="P215" s="1745"/>
      <c r="Q215" s="1745"/>
      <c r="R215" s="1745"/>
      <c r="S215" s="1745"/>
      <c r="T215" s="1745"/>
      <c r="U215" s="1745"/>
      <c r="V215" s="1745"/>
      <c r="W215" t="s">
        <v>2089</v>
      </c>
    </row>
    <row r="216" spans="1:23" ht="13.15" customHeight="1" x14ac:dyDescent="0.2">
      <c r="A216" s="2" t="s">
        <v>2196</v>
      </c>
      <c r="B216" s="2">
        <f t="shared" si="6"/>
        <v>2019</v>
      </c>
      <c r="C216" s="2" t="str">
        <f t="shared" si="7"/>
        <v>EC101</v>
      </c>
      <c r="D216" s="1747">
        <v>1109</v>
      </c>
      <c r="E216" s="2" t="s">
        <v>2173</v>
      </c>
      <c r="F216" s="1116" t="s">
        <v>2183</v>
      </c>
      <c r="G216" s="1745"/>
      <c r="H216" s="1745"/>
      <c r="I216" s="1745"/>
      <c r="J216" s="1745"/>
      <c r="K216" s="1745"/>
      <c r="L216" s="1745"/>
      <c r="M216" s="1745"/>
      <c r="N216" s="1745"/>
      <c r="O216" s="1745"/>
      <c r="P216" s="1745"/>
      <c r="Q216" s="1745"/>
      <c r="R216" s="1745"/>
      <c r="S216" s="1745"/>
      <c r="T216" s="1745"/>
      <c r="U216" s="1745"/>
      <c r="V216" s="1745"/>
      <c r="W216" t="s">
        <v>2089</v>
      </c>
    </row>
    <row r="217" spans="1:23" ht="13.15" customHeight="1" x14ac:dyDescent="0.2">
      <c r="A217" s="2" t="s">
        <v>2196</v>
      </c>
      <c r="B217" s="2">
        <f t="shared" si="6"/>
        <v>2019</v>
      </c>
      <c r="C217" s="2" t="str">
        <f t="shared" si="7"/>
        <v>EC101</v>
      </c>
      <c r="D217" s="1747">
        <v>1110</v>
      </c>
      <c r="E217" s="2" t="s">
        <v>2173</v>
      </c>
      <c r="F217" s="1116" t="s">
        <v>2184</v>
      </c>
      <c r="G217" s="1745"/>
      <c r="H217" s="1745"/>
      <c r="I217" s="1745"/>
      <c r="J217" s="1745"/>
      <c r="K217" s="1745"/>
      <c r="L217" s="1745"/>
      <c r="M217" s="1745"/>
      <c r="N217" s="1745"/>
      <c r="O217" s="1745"/>
      <c r="P217" s="1745"/>
      <c r="Q217" s="1745"/>
      <c r="R217" s="1745"/>
      <c r="S217" s="1745"/>
      <c r="T217" s="1745"/>
      <c r="U217" s="1745"/>
      <c r="V217" s="1745"/>
      <c r="W217" t="s">
        <v>2089</v>
      </c>
    </row>
    <row r="218" spans="1:23" ht="13.15" customHeight="1" x14ac:dyDescent="0.2">
      <c r="A218" s="2" t="s">
        <v>2196</v>
      </c>
      <c r="B218" s="2">
        <f t="shared" si="6"/>
        <v>2019</v>
      </c>
      <c r="C218" s="2" t="str">
        <f t="shared" si="7"/>
        <v>EC101</v>
      </c>
      <c r="D218" s="1747">
        <v>1111</v>
      </c>
      <c r="E218" s="2" t="s">
        <v>2173</v>
      </c>
      <c r="F218" s="1116" t="s">
        <v>2204</v>
      </c>
      <c r="G218" s="1745"/>
      <c r="H218" s="1745"/>
      <c r="I218" s="1745"/>
      <c r="J218" s="1745"/>
      <c r="K218" s="1745"/>
      <c r="L218" s="1745"/>
      <c r="M218" s="1745"/>
      <c r="N218" s="1745"/>
      <c r="O218" s="1745"/>
      <c r="P218" s="1745"/>
      <c r="Q218" s="1745"/>
      <c r="R218" s="1745"/>
      <c r="S218" s="1745"/>
      <c r="T218" s="1745"/>
      <c r="U218" s="1745"/>
      <c r="V218" s="1745"/>
      <c r="W218" t="s">
        <v>2089</v>
      </c>
    </row>
    <row r="219" spans="1:23" ht="13.15" customHeight="1" x14ac:dyDescent="0.2">
      <c r="A219" s="2" t="s">
        <v>2196</v>
      </c>
      <c r="B219" s="2">
        <f t="shared" si="6"/>
        <v>2019</v>
      </c>
      <c r="C219" s="2" t="str">
        <f t="shared" si="7"/>
        <v>EC101</v>
      </c>
      <c r="D219" s="1747">
        <v>1200</v>
      </c>
      <c r="E219" s="2" t="s">
        <v>2172</v>
      </c>
      <c r="F219" s="1748" t="s">
        <v>1368</v>
      </c>
      <c r="G219" s="1745"/>
      <c r="H219" s="1745"/>
      <c r="I219" s="1745"/>
      <c r="J219" s="1745"/>
      <c r="K219" s="1745"/>
      <c r="L219" s="1745"/>
      <c r="M219" s="1745"/>
      <c r="N219" s="1745"/>
      <c r="O219" s="1745"/>
      <c r="P219" s="1745"/>
      <c r="Q219" s="1745"/>
      <c r="R219" s="1745"/>
      <c r="S219" s="1745"/>
      <c r="T219" s="1745"/>
      <c r="U219" s="1745"/>
      <c r="V219" s="1745"/>
      <c r="W219" t="s">
        <v>2089</v>
      </c>
    </row>
    <row r="220" spans="1:23" ht="13.15" customHeight="1" x14ac:dyDescent="0.2">
      <c r="A220" s="2" t="s">
        <v>2196</v>
      </c>
      <c r="B220" s="2">
        <f t="shared" si="6"/>
        <v>2019</v>
      </c>
      <c r="C220" s="2" t="str">
        <f t="shared" si="7"/>
        <v>EC101</v>
      </c>
      <c r="D220" s="1747">
        <v>1201</v>
      </c>
      <c r="E220" s="2" t="s">
        <v>2173</v>
      </c>
      <c r="F220" s="1116" t="s">
        <v>264</v>
      </c>
      <c r="G220" s="1754"/>
      <c r="H220" s="1754"/>
      <c r="I220" s="1754"/>
      <c r="J220" s="1754"/>
      <c r="K220" s="1754"/>
      <c r="L220" s="1754"/>
      <c r="M220" s="1754"/>
      <c r="N220" s="1754"/>
      <c r="O220" s="1754"/>
      <c r="P220" s="1754"/>
      <c r="Q220" s="1754"/>
      <c r="R220" s="1754"/>
      <c r="S220" s="1754"/>
      <c r="T220" s="1754"/>
      <c r="U220" s="1754"/>
      <c r="V220" s="1754"/>
      <c r="W220" t="s">
        <v>2089</v>
      </c>
    </row>
    <row r="221" spans="1:23" ht="13.15" customHeight="1" x14ac:dyDescent="0.2">
      <c r="A221" s="2" t="s">
        <v>2196</v>
      </c>
      <c r="B221" s="2">
        <f t="shared" si="6"/>
        <v>2019</v>
      </c>
      <c r="C221" s="2" t="str">
        <f t="shared" si="7"/>
        <v>EC101</v>
      </c>
      <c r="D221" s="1747">
        <v>1301</v>
      </c>
      <c r="E221" s="2" t="s">
        <v>2173</v>
      </c>
      <c r="F221" s="1116" t="s">
        <v>2187</v>
      </c>
      <c r="G221" s="1745"/>
      <c r="H221" s="1745"/>
      <c r="I221" s="1745"/>
      <c r="J221" s="1745"/>
      <c r="K221" s="1745"/>
      <c r="L221" s="1745"/>
      <c r="M221" s="1745"/>
      <c r="N221" s="1745"/>
      <c r="O221" s="1745"/>
      <c r="P221" s="1745"/>
      <c r="Q221" s="1745"/>
      <c r="R221" s="1745"/>
      <c r="S221" s="1745"/>
      <c r="T221" s="1745"/>
      <c r="U221" s="1745"/>
      <c r="V221" s="1745"/>
      <c r="W221" t="s">
        <v>2089</v>
      </c>
    </row>
    <row r="222" spans="1:23" ht="13.15" customHeight="1" x14ac:dyDescent="0.2">
      <c r="A222" s="2" t="s">
        <v>2196</v>
      </c>
      <c r="B222" s="2">
        <f t="shared" si="6"/>
        <v>2019</v>
      </c>
      <c r="C222" s="2" t="str">
        <f t="shared" si="7"/>
        <v>EC101</v>
      </c>
      <c r="D222" s="1747">
        <v>1302</v>
      </c>
      <c r="E222" s="2" t="s">
        <v>2173</v>
      </c>
      <c r="F222" s="1116" t="s">
        <v>2188</v>
      </c>
      <c r="G222" s="1745"/>
      <c r="H222" s="1745"/>
      <c r="I222" s="1745"/>
      <c r="J222" s="1745"/>
      <c r="K222" s="1745"/>
      <c r="L222" s="1745"/>
      <c r="M222" s="1745"/>
      <c r="N222" s="1745"/>
      <c r="O222" s="1745"/>
      <c r="P222" s="1745"/>
      <c r="Q222" s="1745"/>
      <c r="R222" s="1745"/>
      <c r="S222" s="1745"/>
      <c r="T222" s="1745"/>
      <c r="U222" s="1745"/>
      <c r="V222" s="1745"/>
      <c r="W222" t="s">
        <v>2089</v>
      </c>
    </row>
    <row r="223" spans="1:23" ht="13.15" customHeight="1" x14ac:dyDescent="0.2">
      <c r="A223" s="2" t="s">
        <v>2196</v>
      </c>
      <c r="B223" s="2">
        <f t="shared" si="6"/>
        <v>2019</v>
      </c>
      <c r="C223" s="2" t="str">
        <f t="shared" si="7"/>
        <v>EC101</v>
      </c>
      <c r="D223" s="1747">
        <v>1303</v>
      </c>
      <c r="E223" s="2" t="s">
        <v>826</v>
      </c>
      <c r="F223" s="1116" t="s">
        <v>1404</v>
      </c>
      <c r="G223" s="1752"/>
      <c r="H223" s="1752"/>
      <c r="I223" s="1752"/>
      <c r="J223" s="1752"/>
      <c r="K223" s="1752"/>
      <c r="L223" s="1752"/>
      <c r="M223" s="1752"/>
      <c r="N223" s="1752"/>
      <c r="O223" s="1752"/>
      <c r="P223" s="1752"/>
      <c r="Q223" s="1752"/>
      <c r="R223" s="1752"/>
      <c r="S223" s="1752"/>
      <c r="T223" s="1752"/>
      <c r="U223" s="1752"/>
      <c r="V223" s="1752"/>
      <c r="W223" t="s">
        <v>2089</v>
      </c>
    </row>
    <row r="224" spans="1:23" ht="13.15" customHeight="1" x14ac:dyDescent="0.2">
      <c r="A224" s="2" t="s">
        <v>2196</v>
      </c>
      <c r="B224" s="2">
        <f t="shared" si="6"/>
        <v>2019</v>
      </c>
      <c r="C224" s="2" t="str">
        <f t="shared" si="7"/>
        <v>EC101</v>
      </c>
      <c r="D224" s="1747">
        <v>1304</v>
      </c>
      <c r="E224" s="2" t="s">
        <v>2173</v>
      </c>
      <c r="F224" s="1116" t="s">
        <v>2189</v>
      </c>
      <c r="G224" s="1745"/>
      <c r="H224" s="1745"/>
      <c r="I224" s="1745"/>
      <c r="J224" s="1745"/>
      <c r="K224" s="1745"/>
      <c r="L224" s="1745"/>
      <c r="M224" s="1745"/>
      <c r="N224" s="1745"/>
      <c r="O224" s="1745"/>
      <c r="P224" s="1745"/>
      <c r="Q224" s="1745"/>
      <c r="R224" s="1745"/>
      <c r="S224" s="1745"/>
      <c r="T224" s="1745"/>
      <c r="U224" s="1745"/>
      <c r="V224" s="1745"/>
      <c r="W224" t="s">
        <v>2089</v>
      </c>
    </row>
    <row r="225" spans="1:23" ht="13.15" customHeight="1" x14ac:dyDescent="0.2">
      <c r="A225" s="2" t="s">
        <v>2196</v>
      </c>
      <c r="B225" s="2">
        <f t="shared" si="6"/>
        <v>2019</v>
      </c>
      <c r="C225" s="2" t="str">
        <f t="shared" si="7"/>
        <v>EC101</v>
      </c>
      <c r="D225" s="1747">
        <v>1305</v>
      </c>
      <c r="E225" s="2" t="s">
        <v>2173</v>
      </c>
      <c r="F225" s="1116" t="s">
        <v>2190</v>
      </c>
      <c r="G225" s="1745"/>
      <c r="H225" s="1745"/>
      <c r="I225" s="1745"/>
      <c r="J225" s="1745"/>
      <c r="K225" s="1745"/>
      <c r="L225" s="1745"/>
      <c r="M225" s="1745"/>
      <c r="N225" s="1745"/>
      <c r="O225" s="1745"/>
      <c r="P225" s="1745"/>
      <c r="Q225" s="1745"/>
      <c r="R225" s="1745"/>
      <c r="S225" s="1745"/>
      <c r="T225" s="1745"/>
      <c r="U225" s="1745"/>
      <c r="V225" s="1745"/>
      <c r="W225" t="s">
        <v>2089</v>
      </c>
    </row>
    <row r="226" spans="1:23" ht="13.15" customHeight="1" x14ac:dyDescent="0.2">
      <c r="A226" s="2" t="s">
        <v>2196</v>
      </c>
      <c r="B226" s="2">
        <f t="shared" si="6"/>
        <v>2019</v>
      </c>
      <c r="C226" s="2" t="str">
        <f t="shared" si="7"/>
        <v>EC101</v>
      </c>
      <c r="D226" s="1747">
        <v>1306</v>
      </c>
      <c r="E226" s="2" t="s">
        <v>2173</v>
      </c>
      <c r="F226" s="1116" t="s">
        <v>2191</v>
      </c>
      <c r="G226" s="1745"/>
      <c r="H226" s="1745"/>
      <c r="I226" s="1745"/>
      <c r="J226" s="1745"/>
      <c r="K226" s="1745"/>
      <c r="L226" s="1745"/>
      <c r="M226" s="1745"/>
      <c r="N226" s="1745"/>
      <c r="O226" s="1745"/>
      <c r="P226" s="1745"/>
      <c r="Q226" s="1745"/>
      <c r="R226" s="1745"/>
      <c r="S226" s="1745"/>
      <c r="T226" s="1745"/>
      <c r="U226" s="1745"/>
      <c r="V226" s="1745"/>
      <c r="W226" t="s">
        <v>2089</v>
      </c>
    </row>
    <row r="227" spans="1:23" ht="13.15" customHeight="1" x14ac:dyDescent="0.2">
      <c r="A227" s="2" t="s">
        <v>2196</v>
      </c>
      <c r="B227" s="2">
        <f t="shared" si="6"/>
        <v>2019</v>
      </c>
      <c r="C227" s="2" t="str">
        <f t="shared" si="7"/>
        <v>EC101</v>
      </c>
      <c r="D227" s="1747">
        <v>1307</v>
      </c>
      <c r="E227" s="2" t="s">
        <v>2173</v>
      </c>
      <c r="F227" s="1116" t="s">
        <v>2205</v>
      </c>
      <c r="G227" s="1745"/>
      <c r="H227" s="1745"/>
      <c r="I227" s="1745"/>
      <c r="J227" s="1745"/>
      <c r="K227" s="1745"/>
      <c r="L227" s="1745"/>
      <c r="M227" s="1745"/>
      <c r="N227" s="1745"/>
      <c r="O227" s="1745"/>
      <c r="P227" s="1745"/>
      <c r="Q227" s="1745"/>
      <c r="R227" s="1745"/>
      <c r="S227" s="1745"/>
      <c r="T227" s="1745"/>
      <c r="U227" s="1745"/>
      <c r="V227" s="1745"/>
      <c r="W227" t="s">
        <v>2089</v>
      </c>
    </row>
    <row r="228" spans="1:23" ht="13.15" customHeight="1" x14ac:dyDescent="0.2">
      <c r="A228" s="2" t="s">
        <v>2196</v>
      </c>
      <c r="B228" s="2">
        <f t="shared" si="6"/>
        <v>2019</v>
      </c>
      <c r="C228" s="2" t="str">
        <f t="shared" si="7"/>
        <v>EC101</v>
      </c>
      <c r="D228" s="1747">
        <v>1308</v>
      </c>
      <c r="E228" s="2" t="s">
        <v>2173</v>
      </c>
      <c r="F228" s="1116" t="s">
        <v>2206</v>
      </c>
      <c r="G228" s="1745"/>
      <c r="H228" s="1745"/>
      <c r="I228" s="1745"/>
      <c r="J228" s="1745"/>
      <c r="K228" s="1745"/>
      <c r="L228" s="1745"/>
      <c r="M228" s="1745"/>
      <c r="N228" s="1745"/>
      <c r="O228" s="1745"/>
      <c r="P228" s="1745"/>
      <c r="Q228" s="1745"/>
      <c r="R228" s="1745"/>
      <c r="S228" s="1745"/>
      <c r="T228" s="1745"/>
      <c r="U228" s="1745"/>
      <c r="V228" s="1745"/>
      <c r="W228" t="s">
        <v>2089</v>
      </c>
    </row>
    <row r="229" spans="1:23" ht="13.15" customHeight="1" x14ac:dyDescent="0.2">
      <c r="A229" s="2" t="s">
        <v>2196</v>
      </c>
      <c r="B229" s="2">
        <f t="shared" si="6"/>
        <v>2019</v>
      </c>
      <c r="C229" s="2" t="str">
        <f t="shared" si="7"/>
        <v>EC101</v>
      </c>
      <c r="D229" s="1747">
        <v>1309</v>
      </c>
      <c r="E229" s="2" t="s">
        <v>2173</v>
      </c>
      <c r="F229" s="1116" t="s">
        <v>2207</v>
      </c>
      <c r="G229" s="1745"/>
      <c r="H229" s="1745"/>
      <c r="I229" s="1745"/>
      <c r="J229" s="1745"/>
      <c r="K229" s="1745"/>
      <c r="L229" s="1745"/>
      <c r="M229" s="1745"/>
      <c r="N229" s="1745"/>
      <c r="O229" s="1745"/>
      <c r="P229" s="1745"/>
      <c r="Q229" s="1745"/>
      <c r="R229" s="1745"/>
      <c r="S229" s="1745"/>
      <c r="T229" s="1745"/>
      <c r="U229" s="1745"/>
      <c r="V229" s="1745"/>
      <c r="W229" t="s">
        <v>2089</v>
      </c>
    </row>
    <row r="230" spans="1:23" ht="13.15" customHeight="1" x14ac:dyDescent="0.2">
      <c r="A230" s="2" t="s">
        <v>2196</v>
      </c>
      <c r="B230" s="2">
        <f t="shared" si="6"/>
        <v>2019</v>
      </c>
      <c r="C230" s="2" t="str">
        <f t="shared" si="7"/>
        <v>EC101</v>
      </c>
      <c r="D230" s="1747">
        <v>1310</v>
      </c>
      <c r="E230" s="2" t="s">
        <v>2173</v>
      </c>
      <c r="F230" s="2" t="s">
        <v>2195</v>
      </c>
      <c r="G230" s="1745"/>
      <c r="H230" s="1745"/>
      <c r="I230" s="1745"/>
      <c r="J230" s="1745"/>
      <c r="K230" s="1745"/>
      <c r="L230" s="1745"/>
      <c r="M230" s="1745"/>
      <c r="N230" s="1745"/>
      <c r="O230" s="1745"/>
      <c r="P230" s="1745"/>
      <c r="Q230" s="1745"/>
      <c r="R230" s="1745"/>
      <c r="S230" s="1745"/>
      <c r="T230" s="1745"/>
      <c r="U230" s="1745"/>
      <c r="V230" s="1745"/>
      <c r="W230" t="s">
        <v>2089</v>
      </c>
    </row>
    <row r="231" spans="1:23" ht="13.15" customHeight="1" x14ac:dyDescent="0.2">
      <c r="A231" s="2" t="s">
        <v>2208</v>
      </c>
      <c r="B231" s="2">
        <f t="shared" si="6"/>
        <v>2019</v>
      </c>
      <c r="C231" s="2" t="str">
        <f t="shared" si="7"/>
        <v>EC101</v>
      </c>
      <c r="D231" s="1744">
        <v>1000</v>
      </c>
      <c r="E231" s="2">
        <v>1</v>
      </c>
      <c r="F231" s="1755" t="s">
        <v>2209</v>
      </c>
      <c r="G231" s="1754"/>
      <c r="H231" s="1754"/>
      <c r="I231" s="1754"/>
      <c r="J231" s="1754"/>
      <c r="K231" s="1754"/>
      <c r="L231" s="1754"/>
      <c r="M231" s="1754"/>
      <c r="N231" s="2"/>
      <c r="W231" t="s">
        <v>2089</v>
      </c>
    </row>
    <row r="232" spans="1:23" ht="13.15" customHeight="1" x14ac:dyDescent="0.2">
      <c r="A232" s="2" t="s">
        <v>2208</v>
      </c>
      <c r="B232" s="2">
        <f t="shared" si="6"/>
        <v>2019</v>
      </c>
      <c r="C232" s="2" t="str">
        <f t="shared" si="7"/>
        <v>EC101</v>
      </c>
      <c r="D232" s="1747">
        <v>1001</v>
      </c>
      <c r="E232" s="2">
        <v>2</v>
      </c>
      <c r="F232" s="1756" t="s">
        <v>1860</v>
      </c>
      <c r="G232" s="1754"/>
      <c r="H232" s="1754"/>
      <c r="I232" s="1754"/>
      <c r="J232" s="1754"/>
      <c r="K232" s="1754"/>
      <c r="L232" s="1754"/>
      <c r="M232" s="1754"/>
      <c r="N232" s="2"/>
      <c r="W232" t="s">
        <v>2089</v>
      </c>
    </row>
    <row r="233" spans="1:23" ht="13.15" customHeight="1" x14ac:dyDescent="0.2">
      <c r="A233" s="2" t="s">
        <v>2208</v>
      </c>
      <c r="B233" s="2">
        <f t="shared" si="6"/>
        <v>2019</v>
      </c>
      <c r="C233" s="2" t="str">
        <f t="shared" si="7"/>
        <v>EC101</v>
      </c>
      <c r="D233" s="1747">
        <v>1002</v>
      </c>
      <c r="E233" s="2">
        <v>3</v>
      </c>
      <c r="F233" s="1756" t="s">
        <v>1861</v>
      </c>
      <c r="G233" s="1754"/>
      <c r="H233" s="1754"/>
      <c r="I233" s="1754"/>
      <c r="J233" s="1754"/>
      <c r="K233" s="1754"/>
      <c r="L233" s="1754"/>
      <c r="M233" s="1754"/>
      <c r="N233" s="2"/>
      <c r="W233" t="s">
        <v>2089</v>
      </c>
    </row>
    <row r="234" spans="1:23" ht="13.15" customHeight="1" x14ac:dyDescent="0.2">
      <c r="A234" s="2" t="s">
        <v>2208</v>
      </c>
      <c r="B234" s="2">
        <f t="shared" si="6"/>
        <v>2019</v>
      </c>
      <c r="C234" s="2" t="str">
        <f t="shared" si="7"/>
        <v>EC101</v>
      </c>
      <c r="D234" s="1747">
        <v>1003</v>
      </c>
      <c r="E234" s="2">
        <v>4</v>
      </c>
      <c r="F234" s="1756" t="s">
        <v>1862</v>
      </c>
      <c r="G234" s="1754"/>
      <c r="H234" s="1754"/>
      <c r="I234" s="1754"/>
      <c r="J234" s="1754"/>
      <c r="K234" s="1754"/>
      <c r="L234" s="1754"/>
      <c r="M234" s="1754"/>
      <c r="N234" s="2"/>
      <c r="W234" t="s">
        <v>2089</v>
      </c>
    </row>
    <row r="235" spans="1:23" ht="13.15" customHeight="1" x14ac:dyDescent="0.2">
      <c r="A235" s="2" t="s">
        <v>2208</v>
      </c>
      <c r="B235" s="2">
        <f t="shared" si="6"/>
        <v>2019</v>
      </c>
      <c r="C235" s="2" t="str">
        <f t="shared" si="7"/>
        <v>EC101</v>
      </c>
      <c r="D235" s="1747">
        <v>1004</v>
      </c>
      <c r="E235" s="2">
        <v>5</v>
      </c>
      <c r="F235" s="1756" t="s">
        <v>1863</v>
      </c>
      <c r="G235" s="1754"/>
      <c r="H235" s="1754"/>
      <c r="I235" s="1754"/>
      <c r="J235" s="1754"/>
      <c r="K235" s="1754"/>
      <c r="L235" s="1754"/>
      <c r="M235" s="1754"/>
      <c r="N235" s="2"/>
      <c r="W235" t="s">
        <v>2089</v>
      </c>
    </row>
    <row r="236" spans="1:23" ht="13.15" customHeight="1" x14ac:dyDescent="0.2">
      <c r="A236" s="2" t="s">
        <v>2208</v>
      </c>
      <c r="B236" s="2">
        <f t="shared" si="6"/>
        <v>2019</v>
      </c>
      <c r="C236" s="2" t="str">
        <f t="shared" si="7"/>
        <v>EC101</v>
      </c>
      <c r="D236" s="1747">
        <v>1005</v>
      </c>
      <c r="E236" s="2">
        <v>6</v>
      </c>
      <c r="F236" s="1756" t="s">
        <v>1864</v>
      </c>
      <c r="G236" s="1754"/>
      <c r="H236" s="1754"/>
      <c r="I236" s="1754"/>
      <c r="J236" s="1754"/>
      <c r="K236" s="1754"/>
      <c r="L236" s="1754"/>
      <c r="M236" s="1754"/>
      <c r="N236" s="2"/>
      <c r="W236" t="s">
        <v>2089</v>
      </c>
    </row>
    <row r="237" spans="1:23" ht="13.15" customHeight="1" x14ac:dyDescent="0.2">
      <c r="A237" s="2" t="s">
        <v>2208</v>
      </c>
      <c r="B237" s="2">
        <f t="shared" si="6"/>
        <v>2019</v>
      </c>
      <c r="C237" s="2" t="str">
        <f t="shared" si="7"/>
        <v>EC101</v>
      </c>
      <c r="D237" s="1747">
        <v>1006</v>
      </c>
      <c r="E237" s="2">
        <v>7</v>
      </c>
      <c r="F237" s="1756" t="s">
        <v>1865</v>
      </c>
      <c r="G237" s="1754"/>
      <c r="H237" s="1754"/>
      <c r="I237" s="1754"/>
      <c r="J237" s="1754"/>
      <c r="K237" s="1754"/>
      <c r="L237" s="1754"/>
      <c r="M237" s="1754"/>
      <c r="N237" s="2"/>
      <c r="W237" t="s">
        <v>2089</v>
      </c>
    </row>
    <row r="238" spans="1:23" ht="13.15" customHeight="1" x14ac:dyDescent="0.2">
      <c r="A238" s="2" t="s">
        <v>2208</v>
      </c>
      <c r="B238" s="2">
        <f t="shared" si="6"/>
        <v>2019</v>
      </c>
      <c r="C238" s="2" t="str">
        <f t="shared" si="7"/>
        <v>EC101</v>
      </c>
      <c r="D238" s="1747">
        <v>1007</v>
      </c>
      <c r="E238" s="2">
        <v>8</v>
      </c>
      <c r="F238" s="1756" t="s">
        <v>1866</v>
      </c>
      <c r="G238" s="1754"/>
      <c r="H238" s="1754"/>
      <c r="I238" s="1754"/>
      <c r="J238" s="1754"/>
      <c r="K238" s="1754"/>
      <c r="L238" s="1754"/>
      <c r="M238" s="1754"/>
      <c r="N238" s="2"/>
      <c r="W238" t="s">
        <v>2089</v>
      </c>
    </row>
    <row r="239" spans="1:23" ht="13.15" customHeight="1" x14ac:dyDescent="0.2">
      <c r="A239" s="2" t="s">
        <v>2208</v>
      </c>
      <c r="B239" s="2">
        <f t="shared" si="6"/>
        <v>2019</v>
      </c>
      <c r="C239" s="2" t="str">
        <f t="shared" si="7"/>
        <v>EC101</v>
      </c>
      <c r="D239" s="1747">
        <v>1008</v>
      </c>
      <c r="E239" s="2">
        <v>9</v>
      </c>
      <c r="F239" s="1756" t="s">
        <v>1867</v>
      </c>
      <c r="G239" s="1754"/>
      <c r="H239" s="1754"/>
      <c r="I239" s="1754"/>
      <c r="J239" s="1754"/>
      <c r="K239" s="1754"/>
      <c r="L239" s="1754"/>
      <c r="M239" s="1754"/>
      <c r="N239" s="2"/>
      <c r="W239" t="s">
        <v>2089</v>
      </c>
    </row>
    <row r="240" spans="1:23" ht="13.15" customHeight="1" x14ac:dyDescent="0.2">
      <c r="A240" s="2" t="s">
        <v>2208</v>
      </c>
      <c r="B240" s="2">
        <f t="shared" si="6"/>
        <v>2019</v>
      </c>
      <c r="C240" s="2" t="str">
        <f t="shared" si="7"/>
        <v>EC101</v>
      </c>
      <c r="D240" s="1747">
        <v>1009</v>
      </c>
      <c r="E240" s="2">
        <v>10</v>
      </c>
      <c r="F240" s="1756" t="s">
        <v>1868</v>
      </c>
      <c r="G240" s="1754"/>
      <c r="H240" s="1754"/>
      <c r="I240" s="1754"/>
      <c r="J240" s="1754"/>
      <c r="K240" s="1754"/>
      <c r="L240" s="1754"/>
      <c r="M240" s="1754"/>
      <c r="N240" s="2"/>
      <c r="W240" t="s">
        <v>2089</v>
      </c>
    </row>
    <row r="241" spans="1:23" ht="13.15" customHeight="1" x14ac:dyDescent="0.2">
      <c r="A241" s="2" t="s">
        <v>2208</v>
      </c>
      <c r="B241" s="2">
        <f t="shared" si="6"/>
        <v>2019</v>
      </c>
      <c r="C241" s="2" t="str">
        <f t="shared" si="7"/>
        <v>EC101</v>
      </c>
      <c r="D241" s="1747">
        <v>1010</v>
      </c>
      <c r="E241" s="2">
        <v>11</v>
      </c>
      <c r="F241" s="1756" t="s">
        <v>1869</v>
      </c>
      <c r="G241" s="1754"/>
      <c r="H241" s="1754"/>
      <c r="I241" s="1754"/>
      <c r="J241" s="1754"/>
      <c r="K241" s="1754"/>
      <c r="L241" s="1754"/>
      <c r="M241" s="1754"/>
      <c r="N241" s="2"/>
      <c r="W241" t="s">
        <v>2089</v>
      </c>
    </row>
    <row r="242" spans="1:23" ht="13.15" customHeight="1" x14ac:dyDescent="0.2">
      <c r="A242" s="2" t="s">
        <v>2208</v>
      </c>
      <c r="B242" s="2">
        <f t="shared" si="6"/>
        <v>2019</v>
      </c>
      <c r="C242" s="2" t="str">
        <f t="shared" si="7"/>
        <v>EC101</v>
      </c>
      <c r="D242" s="1747">
        <v>1011</v>
      </c>
      <c r="E242" s="2">
        <v>12</v>
      </c>
      <c r="F242" s="1756" t="s">
        <v>1870</v>
      </c>
      <c r="G242" s="1754"/>
      <c r="H242" s="1754"/>
      <c r="I242" s="1754"/>
      <c r="J242" s="1754"/>
      <c r="K242" s="1754"/>
      <c r="L242" s="1754"/>
      <c r="M242" s="1754"/>
      <c r="N242" s="2"/>
      <c r="W242" t="s">
        <v>2089</v>
      </c>
    </row>
    <row r="243" spans="1:23" ht="13.15" customHeight="1" x14ac:dyDescent="0.2">
      <c r="A243" s="2" t="s">
        <v>2208</v>
      </c>
      <c r="B243" s="2">
        <f t="shared" si="6"/>
        <v>2019</v>
      </c>
      <c r="C243" s="2" t="str">
        <f t="shared" si="7"/>
        <v>EC101</v>
      </c>
      <c r="D243" s="1747">
        <v>1012</v>
      </c>
      <c r="E243" s="2">
        <v>13</v>
      </c>
      <c r="F243" s="1756" t="s">
        <v>1871</v>
      </c>
      <c r="G243" s="1754"/>
      <c r="H243" s="1754"/>
      <c r="I243" s="1754"/>
      <c r="J243" s="1754"/>
      <c r="K243" s="1754"/>
      <c r="L243" s="1754"/>
      <c r="M243" s="1754"/>
      <c r="N243" s="2"/>
      <c r="W243" t="s">
        <v>2089</v>
      </c>
    </row>
    <row r="244" spans="1:23" ht="13.15" customHeight="1" x14ac:dyDescent="0.2">
      <c r="A244" s="2" t="s">
        <v>2208</v>
      </c>
      <c r="B244" s="2">
        <f t="shared" si="6"/>
        <v>2019</v>
      </c>
      <c r="C244" s="2" t="str">
        <f t="shared" si="7"/>
        <v>EC101</v>
      </c>
      <c r="D244" s="1747">
        <v>1013</v>
      </c>
      <c r="E244" s="2">
        <v>14</v>
      </c>
      <c r="F244" s="1756" t="s">
        <v>1872</v>
      </c>
      <c r="G244" s="1754"/>
      <c r="H244" s="1754"/>
      <c r="I244" s="1754"/>
      <c r="J244" s="1754"/>
      <c r="K244" s="1754"/>
      <c r="L244" s="1754"/>
      <c r="M244" s="1754"/>
      <c r="N244" s="2"/>
      <c r="W244" t="s">
        <v>2089</v>
      </c>
    </row>
    <row r="245" spans="1:23" ht="13.15" customHeight="1" x14ac:dyDescent="0.2">
      <c r="A245" s="2" t="s">
        <v>2208</v>
      </c>
      <c r="B245" s="2">
        <f t="shared" si="6"/>
        <v>2019</v>
      </c>
      <c r="C245" s="2" t="str">
        <f t="shared" si="7"/>
        <v>EC101</v>
      </c>
      <c r="D245" s="1747">
        <v>1014</v>
      </c>
      <c r="E245" s="2">
        <v>15</v>
      </c>
      <c r="F245" s="1756" t="s">
        <v>1873</v>
      </c>
      <c r="G245" s="1754"/>
      <c r="H245" s="1754"/>
      <c r="I245" s="1754"/>
      <c r="J245" s="1754"/>
      <c r="K245" s="1754"/>
      <c r="L245" s="1754"/>
      <c r="M245" s="1754"/>
      <c r="N245" s="2"/>
      <c r="W245" t="s">
        <v>2089</v>
      </c>
    </row>
    <row r="246" spans="1:23" ht="13.15" customHeight="1" x14ac:dyDescent="0.2">
      <c r="A246" s="2" t="s">
        <v>2208</v>
      </c>
      <c r="B246" s="2">
        <f t="shared" si="6"/>
        <v>2019</v>
      </c>
      <c r="C246" s="2" t="str">
        <f t="shared" si="7"/>
        <v>EC101</v>
      </c>
      <c r="D246" s="1747">
        <v>1015</v>
      </c>
      <c r="E246" s="2">
        <v>16</v>
      </c>
      <c r="F246" s="1756" t="s">
        <v>1874</v>
      </c>
      <c r="G246" s="1754"/>
      <c r="H246" s="1754"/>
      <c r="I246" s="1754"/>
      <c r="J246" s="1754"/>
      <c r="K246" s="1754"/>
      <c r="L246" s="1754"/>
      <c r="M246" s="1754"/>
      <c r="N246" s="2"/>
      <c r="W246" t="s">
        <v>2089</v>
      </c>
    </row>
    <row r="247" spans="1:23" ht="13.15" customHeight="1" x14ac:dyDescent="0.2">
      <c r="A247" s="2" t="s">
        <v>2208</v>
      </c>
      <c r="B247" s="2">
        <f t="shared" si="6"/>
        <v>2019</v>
      </c>
      <c r="C247" s="2" t="str">
        <f t="shared" si="7"/>
        <v>EC101</v>
      </c>
      <c r="D247" s="1747">
        <v>1016</v>
      </c>
      <c r="E247" s="2">
        <v>17</v>
      </c>
      <c r="F247" s="1756" t="s">
        <v>1875</v>
      </c>
      <c r="G247" s="1754"/>
      <c r="H247" s="1754"/>
      <c r="I247" s="1754"/>
      <c r="J247" s="1754"/>
      <c r="K247" s="1754"/>
      <c r="L247" s="1754"/>
      <c r="M247" s="1754"/>
      <c r="N247" s="2"/>
      <c r="W247" t="s">
        <v>2089</v>
      </c>
    </row>
    <row r="248" spans="1:23" ht="13.15" customHeight="1" x14ac:dyDescent="0.2">
      <c r="A248" s="2" t="s">
        <v>2208</v>
      </c>
      <c r="B248" s="2">
        <f t="shared" si="6"/>
        <v>2019</v>
      </c>
      <c r="C248" s="2" t="str">
        <f t="shared" si="7"/>
        <v>EC101</v>
      </c>
      <c r="D248" s="1747">
        <v>1017</v>
      </c>
      <c r="E248" s="2">
        <v>18</v>
      </c>
      <c r="F248" s="1756" t="s">
        <v>1876</v>
      </c>
      <c r="G248" s="1754"/>
      <c r="H248" s="1754"/>
      <c r="I248" s="1754"/>
      <c r="J248" s="1754"/>
      <c r="K248" s="1754"/>
      <c r="L248" s="1754"/>
      <c r="M248" s="1754"/>
      <c r="N248" s="2"/>
      <c r="W248" t="s">
        <v>2089</v>
      </c>
    </row>
    <row r="249" spans="1:23" ht="13.15" customHeight="1" x14ac:dyDescent="0.2">
      <c r="A249" s="2" t="s">
        <v>2208</v>
      </c>
      <c r="B249" s="2">
        <f t="shared" si="6"/>
        <v>2019</v>
      </c>
      <c r="C249" s="2" t="str">
        <f t="shared" si="7"/>
        <v>EC101</v>
      </c>
      <c r="D249" s="1747">
        <v>1018</v>
      </c>
      <c r="E249" s="2">
        <v>19</v>
      </c>
      <c r="F249" s="1756" t="s">
        <v>354</v>
      </c>
      <c r="G249" s="1754"/>
      <c r="H249" s="1754"/>
      <c r="I249" s="1754"/>
      <c r="J249" s="1754"/>
      <c r="K249" s="1754"/>
      <c r="L249" s="1754"/>
      <c r="M249" s="1754"/>
      <c r="N249" s="2"/>
      <c r="W249" t="s">
        <v>2089</v>
      </c>
    </row>
    <row r="250" spans="1:23" ht="13.15" customHeight="1" x14ac:dyDescent="0.2">
      <c r="A250" s="2" t="s">
        <v>2208</v>
      </c>
      <c r="B250" s="2">
        <f t="shared" si="6"/>
        <v>2019</v>
      </c>
      <c r="C250" s="2" t="str">
        <f t="shared" si="7"/>
        <v>EC101</v>
      </c>
      <c r="D250" s="1747">
        <v>1019</v>
      </c>
      <c r="E250" s="2">
        <v>20</v>
      </c>
      <c r="F250" s="1756" t="s">
        <v>1877</v>
      </c>
      <c r="G250" s="1754"/>
      <c r="H250" s="1754"/>
      <c r="I250" s="1754"/>
      <c r="J250" s="1754"/>
      <c r="K250" s="1754"/>
      <c r="L250" s="1754"/>
      <c r="M250" s="1754"/>
      <c r="N250" s="2"/>
      <c r="W250" t="s">
        <v>2089</v>
      </c>
    </row>
    <row r="251" spans="1:23" ht="13.15" customHeight="1" x14ac:dyDescent="0.2">
      <c r="A251" s="2" t="s">
        <v>2208</v>
      </c>
      <c r="B251" s="2">
        <f t="shared" si="6"/>
        <v>2019</v>
      </c>
      <c r="C251" s="2" t="str">
        <f t="shared" si="7"/>
        <v>EC101</v>
      </c>
      <c r="D251" s="1747">
        <v>1020</v>
      </c>
      <c r="E251" s="2">
        <v>21</v>
      </c>
      <c r="F251" s="1756" t="s">
        <v>1878</v>
      </c>
      <c r="G251" s="1754"/>
      <c r="H251" s="1754"/>
      <c r="I251" s="1754"/>
      <c r="J251" s="1754"/>
      <c r="K251" s="1754"/>
      <c r="L251" s="1754"/>
      <c r="M251" s="1754"/>
      <c r="N251" s="2"/>
      <c r="W251" t="s">
        <v>2089</v>
      </c>
    </row>
    <row r="252" spans="1:23" ht="13.15" customHeight="1" x14ac:dyDescent="0.2">
      <c r="A252" s="2" t="s">
        <v>2208</v>
      </c>
      <c r="B252" s="2">
        <f t="shared" si="6"/>
        <v>2019</v>
      </c>
      <c r="C252" s="2" t="str">
        <f t="shared" si="7"/>
        <v>EC101</v>
      </c>
      <c r="D252" s="1747">
        <v>1021</v>
      </c>
      <c r="E252" s="2">
        <v>22</v>
      </c>
      <c r="F252" s="1756" t="s">
        <v>1879</v>
      </c>
      <c r="G252" s="1754"/>
      <c r="H252" s="1754"/>
      <c r="I252" s="1754"/>
      <c r="J252" s="1754"/>
      <c r="K252" s="1754"/>
      <c r="L252" s="1754"/>
      <c r="M252" s="1754"/>
      <c r="N252" s="2"/>
      <c r="W252" t="s">
        <v>2089</v>
      </c>
    </row>
    <row r="253" spans="1:23" ht="13.15" customHeight="1" x14ac:dyDescent="0.2">
      <c r="A253" s="2" t="s">
        <v>2208</v>
      </c>
      <c r="B253" s="2">
        <f t="shared" si="6"/>
        <v>2019</v>
      </c>
      <c r="C253" s="2" t="str">
        <f t="shared" si="7"/>
        <v>EC101</v>
      </c>
      <c r="D253" s="1747"/>
      <c r="E253" s="2"/>
      <c r="F253" s="1756"/>
      <c r="G253" s="1757"/>
      <c r="H253" s="1757"/>
      <c r="I253" s="1757"/>
      <c r="J253" s="1757"/>
      <c r="K253" s="1757"/>
      <c r="L253" s="1757"/>
      <c r="M253" s="1757"/>
      <c r="N253" s="2"/>
      <c r="W253" t="s">
        <v>2089</v>
      </c>
    </row>
    <row r="254" spans="1:23" ht="13.15" customHeight="1" x14ac:dyDescent="0.2">
      <c r="A254" s="2" t="s">
        <v>2208</v>
      </c>
      <c r="B254" s="2">
        <f t="shared" si="6"/>
        <v>2019</v>
      </c>
      <c r="C254" s="2" t="str">
        <f t="shared" si="7"/>
        <v>EC101</v>
      </c>
      <c r="D254" s="1747">
        <v>1030</v>
      </c>
      <c r="E254" s="2">
        <v>23</v>
      </c>
      <c r="F254" s="1755" t="s">
        <v>2210</v>
      </c>
      <c r="G254" s="1757"/>
      <c r="H254" s="1757"/>
      <c r="I254" s="1757"/>
      <c r="J254" s="1757"/>
      <c r="K254" s="1757"/>
      <c r="L254" s="1757"/>
      <c r="M254" s="1757"/>
      <c r="N254" s="2"/>
      <c r="W254" t="s">
        <v>2089</v>
      </c>
    </row>
    <row r="255" spans="1:23" ht="13.15" customHeight="1" x14ac:dyDescent="0.2">
      <c r="A255" s="2" t="s">
        <v>2208</v>
      </c>
      <c r="B255" s="2">
        <f t="shared" si="6"/>
        <v>2019</v>
      </c>
      <c r="C255" s="2" t="str">
        <f t="shared" si="7"/>
        <v>EC101</v>
      </c>
      <c r="D255" s="1747">
        <v>1031</v>
      </c>
      <c r="E255" s="2">
        <v>24</v>
      </c>
      <c r="F255" s="1758" t="s">
        <v>1860</v>
      </c>
      <c r="G255" s="1757"/>
      <c r="H255" s="1757"/>
      <c r="I255" s="1757"/>
      <c r="J255" s="1757"/>
      <c r="K255" s="1757"/>
      <c r="L255" s="1757"/>
      <c r="M255" s="1757"/>
      <c r="N255" s="2"/>
      <c r="W255" t="s">
        <v>2089</v>
      </c>
    </row>
    <row r="256" spans="1:23" ht="13.15" customHeight="1" x14ac:dyDescent="0.2">
      <c r="A256" s="2" t="s">
        <v>2208</v>
      </c>
      <c r="B256" s="2">
        <f t="shared" si="6"/>
        <v>2019</v>
      </c>
      <c r="C256" s="2" t="str">
        <f t="shared" si="7"/>
        <v>EC101</v>
      </c>
      <c r="D256" s="1747">
        <v>1032</v>
      </c>
      <c r="E256" s="2">
        <v>25</v>
      </c>
      <c r="F256" s="1756" t="s">
        <v>1915</v>
      </c>
      <c r="G256" s="1757"/>
      <c r="H256" s="1757"/>
      <c r="I256" s="1757"/>
      <c r="J256" s="1757"/>
      <c r="K256" s="1757"/>
      <c r="L256" s="1757"/>
      <c r="M256" s="1757"/>
      <c r="N256" s="2"/>
      <c r="W256" t="s">
        <v>2089</v>
      </c>
    </row>
    <row r="257" spans="1:23" ht="13.15" customHeight="1" x14ac:dyDescent="0.2">
      <c r="A257" s="2" t="s">
        <v>2208</v>
      </c>
      <c r="B257" s="2">
        <f t="shared" si="6"/>
        <v>2019</v>
      </c>
      <c r="C257" s="2" t="str">
        <f t="shared" si="7"/>
        <v>EC101</v>
      </c>
      <c r="D257" s="1747">
        <v>1033</v>
      </c>
      <c r="E257" s="2">
        <v>26</v>
      </c>
      <c r="F257" s="1759" t="s">
        <v>1881</v>
      </c>
      <c r="G257" s="1757"/>
      <c r="H257" s="1757"/>
      <c r="I257" s="1757"/>
      <c r="J257" s="1757"/>
      <c r="K257" s="1757"/>
      <c r="L257" s="1757"/>
      <c r="M257" s="1757"/>
      <c r="N257" s="2"/>
      <c r="W257" t="s">
        <v>2089</v>
      </c>
    </row>
    <row r="258" spans="1:23" ht="13.15" customHeight="1" x14ac:dyDescent="0.2">
      <c r="A258" s="2" t="s">
        <v>2208</v>
      </c>
      <c r="B258" s="2">
        <f t="shared" ref="B258:B321" si="8">+MTREF</f>
        <v>2019</v>
      </c>
      <c r="C258" s="2" t="str">
        <f t="shared" ref="C258:C321" si="9">LEFT(muni,(FIND(" ",muni,1)-1))</f>
        <v>EC101</v>
      </c>
      <c r="D258" s="1747">
        <v>1034</v>
      </c>
      <c r="E258" s="2">
        <v>27</v>
      </c>
      <c r="F258" s="1759" t="s">
        <v>1882</v>
      </c>
      <c r="G258" s="1757"/>
      <c r="H258" s="1757"/>
      <c r="I258" s="1757"/>
      <c r="J258" s="1757"/>
      <c r="K258" s="1757"/>
      <c r="L258" s="1757"/>
      <c r="M258" s="1757"/>
      <c r="N258" s="2"/>
      <c r="W258" t="s">
        <v>2089</v>
      </c>
    </row>
    <row r="259" spans="1:23" ht="13.15" customHeight="1" x14ac:dyDescent="0.2">
      <c r="A259" s="2" t="s">
        <v>2208</v>
      </c>
      <c r="B259" s="2">
        <f t="shared" si="8"/>
        <v>2019</v>
      </c>
      <c r="C259" s="2" t="str">
        <f t="shared" si="9"/>
        <v>EC101</v>
      </c>
      <c r="D259" s="1747">
        <v>1035</v>
      </c>
      <c r="E259" s="2">
        <v>28</v>
      </c>
      <c r="F259" s="1759" t="s">
        <v>1883</v>
      </c>
      <c r="G259" s="1757"/>
      <c r="H259" s="1757"/>
      <c r="I259" s="1757"/>
      <c r="J259" s="1757"/>
      <c r="K259" s="1757"/>
      <c r="L259" s="1757"/>
      <c r="M259" s="1757"/>
      <c r="N259" s="2"/>
      <c r="W259" t="s">
        <v>2089</v>
      </c>
    </row>
    <row r="260" spans="1:23" ht="13.15" customHeight="1" x14ac:dyDescent="0.2">
      <c r="A260" s="2" t="s">
        <v>2208</v>
      </c>
      <c r="B260" s="2">
        <f t="shared" si="8"/>
        <v>2019</v>
      </c>
      <c r="C260" s="2" t="str">
        <f t="shared" si="9"/>
        <v>EC101</v>
      </c>
      <c r="D260" s="1747">
        <v>1036</v>
      </c>
      <c r="E260" s="2">
        <v>29</v>
      </c>
      <c r="F260" s="1759" t="s">
        <v>1884</v>
      </c>
      <c r="G260" s="1757"/>
      <c r="H260" s="1757"/>
      <c r="I260" s="1757"/>
      <c r="J260" s="1757"/>
      <c r="K260" s="1757"/>
      <c r="L260" s="1757"/>
      <c r="M260" s="1757"/>
      <c r="N260" s="2"/>
      <c r="W260" t="s">
        <v>2089</v>
      </c>
    </row>
    <row r="261" spans="1:23" ht="13.15" customHeight="1" x14ac:dyDescent="0.2">
      <c r="A261" s="2" t="s">
        <v>2208</v>
      </c>
      <c r="B261" s="2">
        <f t="shared" si="8"/>
        <v>2019</v>
      </c>
      <c r="C261" s="2" t="str">
        <f t="shared" si="9"/>
        <v>EC101</v>
      </c>
      <c r="D261" s="1747">
        <v>1037</v>
      </c>
      <c r="E261" s="2">
        <v>30</v>
      </c>
      <c r="F261" s="1759" t="s">
        <v>1885</v>
      </c>
      <c r="G261" s="1757"/>
      <c r="H261" s="1757"/>
      <c r="I261" s="1757"/>
      <c r="J261" s="1757"/>
      <c r="K261" s="1757"/>
      <c r="L261" s="1757"/>
      <c r="M261" s="1757"/>
      <c r="N261" s="2"/>
      <c r="W261" t="s">
        <v>2089</v>
      </c>
    </row>
    <row r="262" spans="1:23" ht="13.15" customHeight="1" x14ac:dyDescent="0.2">
      <c r="A262" s="2" t="s">
        <v>2208</v>
      </c>
      <c r="B262" s="2">
        <f t="shared" si="8"/>
        <v>2019</v>
      </c>
      <c r="C262" s="2" t="str">
        <f t="shared" si="9"/>
        <v>EC101</v>
      </c>
      <c r="D262" s="1747">
        <v>1038</v>
      </c>
      <c r="E262" s="2">
        <v>31</v>
      </c>
      <c r="F262" s="1116" t="s">
        <v>2021</v>
      </c>
      <c r="G262" s="1757"/>
      <c r="H262" s="1757"/>
      <c r="I262" s="1757"/>
      <c r="J262" s="1757"/>
      <c r="K262" s="1757"/>
      <c r="L262" s="1757"/>
      <c r="M262" s="1757"/>
      <c r="N262" s="2"/>
      <c r="W262" t="s">
        <v>2089</v>
      </c>
    </row>
    <row r="263" spans="1:23" ht="13.15" customHeight="1" x14ac:dyDescent="0.2">
      <c r="A263" s="2" t="s">
        <v>2208</v>
      </c>
      <c r="B263" s="2">
        <f t="shared" si="8"/>
        <v>2019</v>
      </c>
      <c r="C263" s="2" t="str">
        <f t="shared" si="9"/>
        <v>EC101</v>
      </c>
      <c r="D263" s="1747"/>
      <c r="E263" s="2"/>
      <c r="F263" s="1760"/>
      <c r="G263" s="1757"/>
      <c r="H263" s="1757"/>
      <c r="I263" s="1757"/>
      <c r="J263" s="1757"/>
      <c r="K263" s="1757"/>
      <c r="L263" s="1757"/>
      <c r="M263" s="1757"/>
      <c r="N263" s="2"/>
      <c r="W263" t="s">
        <v>2089</v>
      </c>
    </row>
    <row r="264" spans="1:23" ht="13.15" customHeight="1" x14ac:dyDescent="0.2">
      <c r="A264" s="2" t="s">
        <v>2208</v>
      </c>
      <c r="B264" s="2">
        <f t="shared" si="8"/>
        <v>2019</v>
      </c>
      <c r="C264" s="2" t="str">
        <f t="shared" si="9"/>
        <v>EC101</v>
      </c>
      <c r="D264" s="1747">
        <v>1100</v>
      </c>
      <c r="E264" s="2">
        <v>32</v>
      </c>
      <c r="F264" s="1755" t="s">
        <v>1886</v>
      </c>
      <c r="G264" s="1757"/>
      <c r="H264" s="1757"/>
      <c r="I264" s="1757"/>
      <c r="J264" s="1757"/>
      <c r="K264" s="1757"/>
      <c r="L264" s="1757"/>
      <c r="M264" s="1757"/>
      <c r="N264" s="2"/>
      <c r="W264" t="s">
        <v>2089</v>
      </c>
    </row>
    <row r="265" spans="1:23" ht="13.15" customHeight="1" x14ac:dyDescent="0.2">
      <c r="A265" s="2" t="s">
        <v>2208</v>
      </c>
      <c r="B265" s="2">
        <f t="shared" si="8"/>
        <v>2019</v>
      </c>
      <c r="C265" s="2" t="str">
        <f t="shared" si="9"/>
        <v>EC101</v>
      </c>
      <c r="D265" s="1747">
        <v>1101</v>
      </c>
      <c r="E265" s="2">
        <v>33</v>
      </c>
      <c r="F265" s="1758" t="s">
        <v>1887</v>
      </c>
      <c r="G265" s="1757"/>
      <c r="H265" s="1757"/>
      <c r="I265" s="1757"/>
      <c r="J265" s="1757"/>
      <c r="K265" s="1757"/>
      <c r="L265" s="1757"/>
      <c r="M265" s="1757"/>
      <c r="N265" s="2"/>
      <c r="W265" t="s">
        <v>2089</v>
      </c>
    </row>
    <row r="266" spans="1:23" ht="13.15" customHeight="1" x14ac:dyDescent="0.2">
      <c r="A266" s="2" t="s">
        <v>2208</v>
      </c>
      <c r="B266" s="2">
        <f t="shared" si="8"/>
        <v>2019</v>
      </c>
      <c r="C266" s="2" t="str">
        <f t="shared" si="9"/>
        <v>EC101</v>
      </c>
      <c r="D266" s="1747">
        <v>1102</v>
      </c>
      <c r="E266" s="2">
        <v>34</v>
      </c>
      <c r="F266" s="1756" t="s">
        <v>2211</v>
      </c>
      <c r="G266" s="1757"/>
      <c r="H266" s="1757"/>
      <c r="I266" s="1757"/>
      <c r="J266" s="1757"/>
      <c r="K266" s="1757"/>
      <c r="L266" s="1757"/>
      <c r="M266" s="1757"/>
      <c r="N266" s="2"/>
      <c r="W266" t="s">
        <v>2089</v>
      </c>
    </row>
    <row r="267" spans="1:23" ht="13.15" customHeight="1" x14ac:dyDescent="0.2">
      <c r="A267" s="2" t="s">
        <v>2208</v>
      </c>
      <c r="B267" s="2">
        <f t="shared" si="8"/>
        <v>2019</v>
      </c>
      <c r="C267" s="2" t="str">
        <f t="shared" si="9"/>
        <v>EC101</v>
      </c>
      <c r="D267" s="1747">
        <v>1103</v>
      </c>
      <c r="E267" s="2">
        <v>35</v>
      </c>
      <c r="F267" s="1756" t="s">
        <v>2212</v>
      </c>
      <c r="G267" s="1757"/>
      <c r="H267" s="1757"/>
      <c r="I267" s="1757"/>
      <c r="J267" s="1757"/>
      <c r="K267" s="1757"/>
      <c r="L267" s="1757"/>
      <c r="M267" s="1757"/>
      <c r="N267" s="2"/>
      <c r="W267" t="s">
        <v>2089</v>
      </c>
    </row>
    <row r="268" spans="1:23" ht="13.15" customHeight="1" x14ac:dyDescent="0.2">
      <c r="A268" s="2" t="s">
        <v>2208</v>
      </c>
      <c r="B268" s="2">
        <f t="shared" si="8"/>
        <v>2019</v>
      </c>
      <c r="C268" s="2" t="str">
        <f t="shared" si="9"/>
        <v>EC101</v>
      </c>
      <c r="D268" s="1747">
        <v>1104</v>
      </c>
      <c r="E268" s="2">
        <v>36</v>
      </c>
      <c r="F268" s="1756" t="s">
        <v>2213</v>
      </c>
      <c r="G268" s="1757"/>
      <c r="H268" s="1757"/>
      <c r="I268" s="1757"/>
      <c r="J268" s="1757"/>
      <c r="K268" s="1757"/>
      <c r="L268" s="1757"/>
      <c r="M268" s="1757"/>
      <c r="N268" s="2"/>
      <c r="W268" t="s">
        <v>2089</v>
      </c>
    </row>
    <row r="269" spans="1:23" ht="13.15" customHeight="1" x14ac:dyDescent="0.2">
      <c r="A269" s="2" t="s">
        <v>2208</v>
      </c>
      <c r="B269" s="2">
        <f t="shared" si="8"/>
        <v>2019</v>
      </c>
      <c r="C269" s="2" t="str">
        <f t="shared" si="9"/>
        <v>EC101</v>
      </c>
      <c r="D269" s="1747">
        <v>1105</v>
      </c>
      <c r="E269" s="2">
        <v>37</v>
      </c>
      <c r="F269" s="1759" t="s">
        <v>1891</v>
      </c>
      <c r="G269" s="1757"/>
      <c r="H269" s="1757"/>
      <c r="I269" s="1757"/>
      <c r="J269" s="1757"/>
      <c r="K269" s="1757"/>
      <c r="L269" s="1757"/>
      <c r="M269" s="1757"/>
      <c r="N269" s="2"/>
      <c r="W269" t="s">
        <v>2089</v>
      </c>
    </row>
    <row r="270" spans="1:23" ht="13.15" customHeight="1" x14ac:dyDescent="0.2">
      <c r="A270" s="2" t="s">
        <v>2208</v>
      </c>
      <c r="B270" s="2">
        <f t="shared" si="8"/>
        <v>2019</v>
      </c>
      <c r="C270" s="2" t="str">
        <f t="shared" si="9"/>
        <v>EC101</v>
      </c>
      <c r="D270" s="1747">
        <v>1106</v>
      </c>
      <c r="E270" s="2">
        <v>38</v>
      </c>
      <c r="F270" s="1759" t="s">
        <v>1893</v>
      </c>
      <c r="G270" s="1757"/>
      <c r="H270" s="1757"/>
      <c r="I270" s="1757"/>
      <c r="J270" s="1757"/>
      <c r="K270" s="1757"/>
      <c r="L270" s="1757"/>
      <c r="M270" s="1757"/>
      <c r="N270" s="2"/>
      <c r="W270" t="s">
        <v>2089</v>
      </c>
    </row>
    <row r="271" spans="1:23" ht="13.15" customHeight="1" x14ac:dyDescent="0.2">
      <c r="A271" s="2" t="s">
        <v>2208</v>
      </c>
      <c r="B271" s="2">
        <f t="shared" si="8"/>
        <v>2019</v>
      </c>
      <c r="C271" s="2" t="str">
        <f t="shared" si="9"/>
        <v>EC101</v>
      </c>
      <c r="D271" s="1747">
        <v>1107</v>
      </c>
      <c r="E271" s="2">
        <v>39</v>
      </c>
      <c r="F271" s="1759" t="s">
        <v>1895</v>
      </c>
      <c r="G271" s="1757"/>
      <c r="H271" s="1757"/>
      <c r="I271" s="1757"/>
      <c r="J271" s="1757"/>
      <c r="K271" s="1757"/>
      <c r="L271" s="1757"/>
      <c r="M271" s="1757"/>
      <c r="N271" s="2"/>
      <c r="W271" t="s">
        <v>2089</v>
      </c>
    </row>
    <row r="272" spans="1:23" ht="13.15" customHeight="1" x14ac:dyDescent="0.2">
      <c r="A272" s="2" t="s">
        <v>2208</v>
      </c>
      <c r="B272" s="2">
        <f t="shared" si="8"/>
        <v>2019</v>
      </c>
      <c r="C272" s="2" t="str">
        <f t="shared" si="9"/>
        <v>EC101</v>
      </c>
      <c r="D272" s="1747">
        <v>1108</v>
      </c>
      <c r="E272" s="2">
        <v>40</v>
      </c>
      <c r="F272" s="1759" t="s">
        <v>1896</v>
      </c>
      <c r="G272" s="1757"/>
      <c r="H272" s="1757"/>
      <c r="I272" s="1757"/>
      <c r="J272" s="1757"/>
      <c r="K272" s="1757"/>
      <c r="L272" s="1757"/>
      <c r="M272" s="1757"/>
      <c r="N272" s="2"/>
      <c r="W272" t="s">
        <v>2089</v>
      </c>
    </row>
    <row r="273" spans="1:23" ht="13.15" customHeight="1" x14ac:dyDescent="0.2">
      <c r="A273" s="2" t="s">
        <v>2208</v>
      </c>
      <c r="B273" s="2">
        <f t="shared" si="8"/>
        <v>2019</v>
      </c>
      <c r="C273" s="2" t="str">
        <f t="shared" si="9"/>
        <v>EC101</v>
      </c>
      <c r="D273" s="1747">
        <v>1109</v>
      </c>
      <c r="E273" s="2">
        <v>41</v>
      </c>
      <c r="F273" s="1759" t="s">
        <v>1897</v>
      </c>
      <c r="G273" s="1757"/>
      <c r="H273" s="1757"/>
      <c r="I273" s="1757"/>
      <c r="J273" s="1757"/>
      <c r="K273" s="1757"/>
      <c r="L273" s="1757"/>
      <c r="M273" s="1757"/>
      <c r="N273" s="2"/>
      <c r="W273" t="s">
        <v>2089</v>
      </c>
    </row>
    <row r="274" spans="1:23" ht="13.15" customHeight="1" x14ac:dyDescent="0.2">
      <c r="A274" s="2" t="s">
        <v>2208</v>
      </c>
      <c r="B274" s="2">
        <f t="shared" si="8"/>
        <v>2019</v>
      </c>
      <c r="C274" s="2" t="str">
        <f t="shared" si="9"/>
        <v>EC101</v>
      </c>
      <c r="D274" s="1747">
        <v>1110</v>
      </c>
      <c r="E274" s="2">
        <v>42</v>
      </c>
      <c r="F274" s="1116" t="s">
        <v>246</v>
      </c>
      <c r="G274" s="1757"/>
      <c r="H274" s="1757"/>
      <c r="I274" s="1757"/>
      <c r="J274" s="1757"/>
      <c r="K274" s="1757"/>
      <c r="L274" s="1757"/>
      <c r="M274" s="1757"/>
      <c r="N274" s="2"/>
      <c r="W274" t="s">
        <v>2089</v>
      </c>
    </row>
    <row r="275" spans="1:23" ht="13.15" customHeight="1" x14ac:dyDescent="0.2">
      <c r="A275" s="2" t="s">
        <v>2208</v>
      </c>
      <c r="B275" s="2">
        <f t="shared" si="8"/>
        <v>2019</v>
      </c>
      <c r="C275" s="2" t="str">
        <f t="shared" si="9"/>
        <v>EC101</v>
      </c>
      <c r="D275" s="1747"/>
      <c r="E275" s="2"/>
      <c r="F275" s="2"/>
      <c r="G275" s="1757"/>
      <c r="H275" s="1757"/>
      <c r="I275" s="1757"/>
      <c r="J275" s="1757"/>
      <c r="K275" s="1757"/>
      <c r="L275" s="1757"/>
      <c r="M275" s="1757"/>
      <c r="N275" s="2"/>
      <c r="W275" t="s">
        <v>2089</v>
      </c>
    </row>
    <row r="276" spans="1:23" ht="13.15" customHeight="1" x14ac:dyDescent="0.2">
      <c r="A276" s="2" t="s">
        <v>2208</v>
      </c>
      <c r="B276" s="2">
        <f t="shared" si="8"/>
        <v>2019</v>
      </c>
      <c r="C276" s="2" t="str">
        <f t="shared" si="9"/>
        <v>EC101</v>
      </c>
      <c r="D276" s="1747">
        <v>1200</v>
      </c>
      <c r="E276" s="2">
        <v>43</v>
      </c>
      <c r="F276" s="1755" t="s">
        <v>1898</v>
      </c>
      <c r="G276" s="1757"/>
      <c r="H276" s="1757"/>
      <c r="I276" s="1757"/>
      <c r="J276" s="1757"/>
      <c r="K276" s="1757"/>
      <c r="L276" s="1757"/>
      <c r="M276" s="1757"/>
      <c r="N276" s="2"/>
      <c r="W276" t="s">
        <v>2089</v>
      </c>
    </row>
    <row r="277" spans="1:23" ht="13.15" customHeight="1" x14ac:dyDescent="0.2">
      <c r="A277" s="2" t="s">
        <v>2208</v>
      </c>
      <c r="B277" s="2">
        <f t="shared" si="8"/>
        <v>2019</v>
      </c>
      <c r="C277" s="2" t="str">
        <f t="shared" si="9"/>
        <v>EC101</v>
      </c>
      <c r="D277" s="1747">
        <v>1201</v>
      </c>
      <c r="E277" s="2">
        <v>44</v>
      </c>
      <c r="F277" s="1758" t="s">
        <v>1887</v>
      </c>
      <c r="G277" s="1757"/>
      <c r="H277" s="1757"/>
      <c r="I277" s="1757"/>
      <c r="J277" s="1757"/>
      <c r="K277" s="1757"/>
      <c r="L277" s="1757"/>
      <c r="M277" s="1757"/>
      <c r="N277" s="2"/>
      <c r="W277" t="s">
        <v>2089</v>
      </c>
    </row>
    <row r="278" spans="1:23" ht="13.15" customHeight="1" x14ac:dyDescent="0.2">
      <c r="A278" s="2" t="s">
        <v>2208</v>
      </c>
      <c r="B278" s="2">
        <f t="shared" si="8"/>
        <v>2019</v>
      </c>
      <c r="C278" s="2" t="str">
        <f t="shared" si="9"/>
        <v>EC101</v>
      </c>
      <c r="D278" s="1747">
        <v>1202</v>
      </c>
      <c r="E278" s="2">
        <v>45</v>
      </c>
      <c r="F278" s="1756" t="s">
        <v>2211</v>
      </c>
      <c r="G278" s="1757"/>
      <c r="H278" s="1757"/>
      <c r="I278" s="1757"/>
      <c r="J278" s="1757"/>
      <c r="K278" s="1757"/>
      <c r="L278" s="1757"/>
      <c r="M278" s="1757"/>
      <c r="N278" s="2"/>
      <c r="W278" t="s">
        <v>2089</v>
      </c>
    </row>
    <row r="279" spans="1:23" ht="13.15" customHeight="1" x14ac:dyDescent="0.2">
      <c r="A279" s="2" t="s">
        <v>2208</v>
      </c>
      <c r="B279" s="2">
        <f t="shared" si="8"/>
        <v>2019</v>
      </c>
      <c r="C279" s="2" t="str">
        <f t="shared" si="9"/>
        <v>EC101</v>
      </c>
      <c r="D279" s="1747">
        <v>1203</v>
      </c>
      <c r="E279" s="2">
        <v>46</v>
      </c>
      <c r="F279" s="1756" t="s">
        <v>2212</v>
      </c>
      <c r="G279" s="1757"/>
      <c r="H279" s="1757"/>
      <c r="I279" s="1757"/>
      <c r="J279" s="1757"/>
      <c r="K279" s="1757"/>
      <c r="L279" s="1757"/>
      <c r="M279" s="1757"/>
      <c r="N279" s="2"/>
      <c r="W279" t="s">
        <v>2089</v>
      </c>
    </row>
    <row r="280" spans="1:23" ht="13.15" customHeight="1" x14ac:dyDescent="0.2">
      <c r="A280" s="2" t="s">
        <v>2208</v>
      </c>
      <c r="B280" s="2">
        <f t="shared" si="8"/>
        <v>2019</v>
      </c>
      <c r="C280" s="2" t="str">
        <f t="shared" si="9"/>
        <v>EC101</v>
      </c>
      <c r="D280" s="1747">
        <v>1204</v>
      </c>
      <c r="E280" s="2">
        <v>47</v>
      </c>
      <c r="F280" s="1756" t="s">
        <v>2214</v>
      </c>
      <c r="G280" s="1757"/>
      <c r="H280" s="1757"/>
      <c r="I280" s="1757"/>
      <c r="J280" s="1757"/>
      <c r="K280" s="1757"/>
      <c r="L280" s="1757"/>
      <c r="M280" s="1757"/>
      <c r="N280" s="2"/>
      <c r="W280" t="s">
        <v>2089</v>
      </c>
    </row>
    <row r="281" spans="1:23" ht="13.15" customHeight="1" x14ac:dyDescent="0.2">
      <c r="A281" s="2" t="s">
        <v>2208</v>
      </c>
      <c r="B281" s="2">
        <f t="shared" si="8"/>
        <v>2019</v>
      </c>
      <c r="C281" s="2" t="str">
        <f t="shared" si="9"/>
        <v>EC101</v>
      </c>
      <c r="D281" s="1747">
        <v>1205</v>
      </c>
      <c r="E281" s="2">
        <v>48</v>
      </c>
      <c r="F281" s="1756" t="s">
        <v>1900</v>
      </c>
      <c r="G281" s="1757"/>
      <c r="H281" s="1757"/>
      <c r="I281" s="1757"/>
      <c r="J281" s="1757"/>
      <c r="K281" s="1757"/>
      <c r="L281" s="1757"/>
      <c r="M281" s="1757"/>
      <c r="N281" s="2"/>
      <c r="W281" t="s">
        <v>2089</v>
      </c>
    </row>
    <row r="282" spans="1:23" ht="13.15" customHeight="1" x14ac:dyDescent="0.2">
      <c r="A282" s="2" t="s">
        <v>2208</v>
      </c>
      <c r="B282" s="2">
        <f t="shared" si="8"/>
        <v>2019</v>
      </c>
      <c r="C282" s="2" t="str">
        <f t="shared" si="9"/>
        <v>EC101</v>
      </c>
      <c r="D282" s="1747">
        <v>1206</v>
      </c>
      <c r="E282" s="2">
        <v>49</v>
      </c>
      <c r="F282" s="1756" t="s">
        <v>1902</v>
      </c>
      <c r="G282" s="1757"/>
      <c r="H282" s="1757"/>
      <c r="I282" s="1757"/>
      <c r="J282" s="1757"/>
      <c r="K282" s="1757"/>
      <c r="L282" s="1757"/>
      <c r="M282" s="1757"/>
      <c r="N282" s="2"/>
      <c r="W282" t="s">
        <v>2089</v>
      </c>
    </row>
    <row r="283" spans="1:23" ht="13.15" customHeight="1" x14ac:dyDescent="0.2">
      <c r="A283" s="2" t="s">
        <v>2208</v>
      </c>
      <c r="B283" s="2">
        <f t="shared" si="8"/>
        <v>2019</v>
      </c>
      <c r="C283" s="2" t="str">
        <f t="shared" si="9"/>
        <v>EC101</v>
      </c>
      <c r="D283" s="1747">
        <v>1207</v>
      </c>
      <c r="E283" s="2">
        <v>50</v>
      </c>
      <c r="F283" s="1756" t="s">
        <v>1903</v>
      </c>
      <c r="G283" s="1757"/>
      <c r="H283" s="1757"/>
      <c r="I283" s="1757"/>
      <c r="J283" s="1757"/>
      <c r="K283" s="1757"/>
      <c r="L283" s="1757"/>
      <c r="M283" s="1757"/>
      <c r="N283" s="2"/>
      <c r="W283" t="s">
        <v>2089</v>
      </c>
    </row>
    <row r="284" spans="1:23" ht="13.15" customHeight="1" x14ac:dyDescent="0.2">
      <c r="A284" s="2" t="s">
        <v>2208</v>
      </c>
      <c r="B284" s="2">
        <f t="shared" si="8"/>
        <v>2019</v>
      </c>
      <c r="C284" s="2" t="str">
        <f t="shared" si="9"/>
        <v>EC101</v>
      </c>
      <c r="D284" s="1747">
        <v>1208</v>
      </c>
      <c r="E284" s="2">
        <v>51</v>
      </c>
      <c r="F284" s="1756" t="s">
        <v>1904</v>
      </c>
      <c r="G284" s="1757"/>
      <c r="H284" s="1757"/>
      <c r="I284" s="1757"/>
      <c r="J284" s="1757"/>
      <c r="K284" s="1757"/>
      <c r="L284" s="1757"/>
      <c r="M284" s="1757"/>
      <c r="N284" s="2"/>
      <c r="W284" t="s">
        <v>2089</v>
      </c>
    </row>
    <row r="285" spans="1:23" ht="13.15" customHeight="1" x14ac:dyDescent="0.2">
      <c r="A285" s="2" t="s">
        <v>2208</v>
      </c>
      <c r="B285" s="2">
        <f t="shared" si="8"/>
        <v>2019</v>
      </c>
      <c r="C285" s="2" t="str">
        <f t="shared" si="9"/>
        <v>EC101</v>
      </c>
      <c r="D285" s="1747">
        <v>1209</v>
      </c>
      <c r="E285" s="2">
        <v>52</v>
      </c>
      <c r="F285" s="1116" t="s">
        <v>246</v>
      </c>
      <c r="G285" s="1757"/>
      <c r="H285" s="1757"/>
      <c r="I285" s="1757"/>
      <c r="J285" s="1757"/>
      <c r="K285" s="1757"/>
      <c r="L285" s="1757"/>
      <c r="M285" s="1757"/>
      <c r="N285" s="2"/>
      <c r="W285" t="s">
        <v>2089</v>
      </c>
    </row>
    <row r="286" spans="1:23" ht="13.15" customHeight="1" x14ac:dyDescent="0.2">
      <c r="A286" s="2" t="s">
        <v>2208</v>
      </c>
      <c r="B286" s="2">
        <f t="shared" si="8"/>
        <v>2019</v>
      </c>
      <c r="C286" s="2" t="str">
        <f t="shared" si="9"/>
        <v>EC101</v>
      </c>
      <c r="D286" s="1747"/>
      <c r="E286" s="2"/>
      <c r="F286" s="1756"/>
      <c r="G286" s="1757"/>
      <c r="H286" s="1757"/>
      <c r="I286" s="1757"/>
      <c r="J286" s="1757"/>
      <c r="K286" s="1757"/>
      <c r="L286" s="1757"/>
      <c r="M286" s="1757"/>
      <c r="N286" s="2"/>
      <c r="W286" t="s">
        <v>2089</v>
      </c>
    </row>
    <row r="287" spans="1:23" ht="13.15" customHeight="1" x14ac:dyDescent="0.2">
      <c r="A287" s="2" t="s">
        <v>2208</v>
      </c>
      <c r="B287" s="2">
        <f t="shared" si="8"/>
        <v>2019</v>
      </c>
      <c r="C287" s="2" t="str">
        <f t="shared" si="9"/>
        <v>EC101</v>
      </c>
      <c r="D287" s="1747">
        <v>1300</v>
      </c>
      <c r="E287" s="2">
        <v>53</v>
      </c>
      <c r="F287" s="1755" t="s">
        <v>1905</v>
      </c>
      <c r="G287" s="1757"/>
      <c r="H287" s="1757"/>
      <c r="I287" s="1757"/>
      <c r="J287" s="1757"/>
      <c r="K287" s="1757"/>
      <c r="L287" s="1757"/>
      <c r="M287" s="1757"/>
      <c r="N287" s="2"/>
      <c r="W287" t="s">
        <v>2089</v>
      </c>
    </row>
    <row r="288" spans="1:23" ht="13.15" customHeight="1" x14ac:dyDescent="0.2">
      <c r="A288" s="2" t="s">
        <v>2208</v>
      </c>
      <c r="B288" s="2">
        <f t="shared" si="8"/>
        <v>2019</v>
      </c>
      <c r="C288" s="2" t="str">
        <f t="shared" si="9"/>
        <v>EC101</v>
      </c>
      <c r="D288" s="1747">
        <v>1301</v>
      </c>
      <c r="E288" s="2">
        <v>54</v>
      </c>
      <c r="F288" s="1758" t="s">
        <v>1887</v>
      </c>
      <c r="G288" s="1757"/>
      <c r="H288" s="1757"/>
      <c r="I288" s="1757"/>
      <c r="J288" s="1757"/>
      <c r="K288" s="1757"/>
      <c r="L288" s="1757"/>
      <c r="M288" s="1757"/>
      <c r="N288" s="2"/>
      <c r="W288" t="s">
        <v>2089</v>
      </c>
    </row>
    <row r="289" spans="1:23" ht="13.15" customHeight="1" x14ac:dyDescent="0.2">
      <c r="A289" s="2" t="s">
        <v>2208</v>
      </c>
      <c r="B289" s="2">
        <f t="shared" si="8"/>
        <v>2019</v>
      </c>
      <c r="C289" s="2" t="str">
        <f t="shared" si="9"/>
        <v>EC101</v>
      </c>
      <c r="D289" s="1747">
        <v>1302</v>
      </c>
      <c r="E289" s="2">
        <v>55</v>
      </c>
      <c r="F289" s="1756" t="s">
        <v>2211</v>
      </c>
      <c r="G289" s="1757"/>
      <c r="H289" s="1757"/>
      <c r="I289" s="1757"/>
      <c r="J289" s="1757"/>
      <c r="K289" s="1757"/>
      <c r="L289" s="1757"/>
      <c r="M289" s="1757"/>
      <c r="N289" s="2"/>
      <c r="W289" t="s">
        <v>2089</v>
      </c>
    </row>
    <row r="290" spans="1:23" ht="13.15" customHeight="1" x14ac:dyDescent="0.2">
      <c r="A290" s="2" t="s">
        <v>2208</v>
      </c>
      <c r="B290" s="2">
        <f t="shared" si="8"/>
        <v>2019</v>
      </c>
      <c r="C290" s="2" t="str">
        <f t="shared" si="9"/>
        <v>EC101</v>
      </c>
      <c r="D290" s="1747">
        <v>1303</v>
      </c>
      <c r="E290" s="2">
        <v>56</v>
      </c>
      <c r="F290" s="1756" t="s">
        <v>2212</v>
      </c>
      <c r="G290" s="1757"/>
      <c r="H290" s="1757"/>
      <c r="I290" s="1757"/>
      <c r="J290" s="1757"/>
      <c r="K290" s="1757"/>
      <c r="L290" s="1757"/>
      <c r="M290" s="1757"/>
      <c r="N290" s="2"/>
      <c r="W290" t="s">
        <v>2089</v>
      </c>
    </row>
    <row r="291" spans="1:23" ht="13.15" customHeight="1" x14ac:dyDescent="0.2">
      <c r="A291" s="2" t="s">
        <v>2208</v>
      </c>
      <c r="B291" s="2">
        <f t="shared" si="8"/>
        <v>2019</v>
      </c>
      <c r="C291" s="2" t="str">
        <f t="shared" si="9"/>
        <v>EC101</v>
      </c>
      <c r="D291" s="1747">
        <v>1304</v>
      </c>
      <c r="E291" s="2">
        <v>57</v>
      </c>
      <c r="F291" s="1761" t="s">
        <v>1907</v>
      </c>
      <c r="G291" s="1757"/>
      <c r="H291" s="1757"/>
      <c r="I291" s="1757"/>
      <c r="J291" s="1757"/>
      <c r="K291" s="1757"/>
      <c r="L291" s="1757"/>
      <c r="M291" s="1757"/>
      <c r="N291" s="2"/>
      <c r="W291" t="s">
        <v>2089</v>
      </c>
    </row>
    <row r="292" spans="1:23" ht="13.15" customHeight="1" x14ac:dyDescent="0.2">
      <c r="A292" s="2" t="s">
        <v>2208</v>
      </c>
      <c r="B292" s="2">
        <f t="shared" si="8"/>
        <v>2019</v>
      </c>
      <c r="C292" s="2" t="str">
        <f t="shared" si="9"/>
        <v>EC101</v>
      </c>
      <c r="D292" s="1747">
        <v>1305</v>
      </c>
      <c r="E292" s="2">
        <v>58</v>
      </c>
      <c r="F292" s="1756" t="s">
        <v>1928</v>
      </c>
      <c r="G292" s="1757"/>
      <c r="H292" s="1757"/>
      <c r="I292" s="1757"/>
      <c r="J292" s="1757"/>
      <c r="K292" s="1757"/>
      <c r="L292" s="1757"/>
      <c r="M292" s="1757"/>
      <c r="N292" s="2"/>
      <c r="W292" t="s">
        <v>2089</v>
      </c>
    </row>
    <row r="293" spans="1:23" ht="13.15" customHeight="1" x14ac:dyDescent="0.2">
      <c r="A293" s="2" t="s">
        <v>2208</v>
      </c>
      <c r="B293" s="2">
        <f t="shared" si="8"/>
        <v>2019</v>
      </c>
      <c r="C293" s="2" t="str">
        <f t="shared" si="9"/>
        <v>EC101</v>
      </c>
      <c r="D293" s="1747">
        <v>1306</v>
      </c>
      <c r="E293" s="2">
        <v>59</v>
      </c>
      <c r="F293" s="1756" t="s">
        <v>1929</v>
      </c>
      <c r="G293" s="1757"/>
      <c r="H293" s="1757"/>
      <c r="I293" s="1757"/>
      <c r="J293" s="1757"/>
      <c r="K293" s="1757"/>
      <c r="L293" s="1757"/>
      <c r="M293" s="1757"/>
      <c r="N293" s="2"/>
      <c r="W293" t="s">
        <v>2089</v>
      </c>
    </row>
    <row r="294" spans="1:23" ht="13.15" customHeight="1" x14ac:dyDescent="0.2">
      <c r="A294" s="2" t="s">
        <v>2208</v>
      </c>
      <c r="B294" s="2">
        <f t="shared" si="8"/>
        <v>2019</v>
      </c>
      <c r="C294" s="2" t="str">
        <f t="shared" si="9"/>
        <v>EC101</v>
      </c>
      <c r="D294" s="1747">
        <v>1307</v>
      </c>
      <c r="E294" s="2">
        <v>60</v>
      </c>
      <c r="F294" s="1756" t="s">
        <v>2215</v>
      </c>
      <c r="G294" s="1757"/>
      <c r="H294" s="1757"/>
      <c r="I294" s="1757"/>
      <c r="J294" s="1757"/>
      <c r="K294" s="1757"/>
      <c r="L294" s="1757"/>
      <c r="M294" s="1757"/>
      <c r="N294" s="2"/>
      <c r="W294" t="s">
        <v>2089</v>
      </c>
    </row>
    <row r="295" spans="1:23" ht="13.15" customHeight="1" x14ac:dyDescent="0.2">
      <c r="A295" s="2" t="s">
        <v>2208</v>
      </c>
      <c r="B295" s="2">
        <f t="shared" si="8"/>
        <v>2019</v>
      </c>
      <c r="C295" s="2" t="str">
        <f t="shared" si="9"/>
        <v>EC101</v>
      </c>
      <c r="D295" s="1747">
        <v>1308</v>
      </c>
      <c r="E295" s="2">
        <v>61</v>
      </c>
      <c r="F295" s="1756" t="s">
        <v>2216</v>
      </c>
      <c r="G295" s="1757"/>
      <c r="H295" s="1757"/>
      <c r="I295" s="1757"/>
      <c r="J295" s="1757"/>
      <c r="K295" s="1757"/>
      <c r="L295" s="1757"/>
      <c r="M295" s="1757"/>
      <c r="N295" s="2"/>
      <c r="W295" t="s">
        <v>2089</v>
      </c>
    </row>
    <row r="296" spans="1:23" ht="13.15" customHeight="1" x14ac:dyDescent="0.2">
      <c r="A296" s="2" t="s">
        <v>2208</v>
      </c>
      <c r="B296" s="2">
        <f t="shared" si="8"/>
        <v>2019</v>
      </c>
      <c r="C296" s="2" t="str">
        <f t="shared" si="9"/>
        <v>EC101</v>
      </c>
      <c r="D296" s="1747">
        <v>1309</v>
      </c>
      <c r="E296" s="2">
        <v>62</v>
      </c>
      <c r="F296" s="1756" t="s">
        <v>1932</v>
      </c>
      <c r="G296" s="1757"/>
      <c r="H296" s="1757"/>
      <c r="I296" s="1757"/>
      <c r="J296" s="1757"/>
      <c r="K296" s="1757"/>
      <c r="L296" s="1757"/>
      <c r="M296" s="1757"/>
      <c r="N296" s="2"/>
      <c r="W296" t="s">
        <v>2089</v>
      </c>
    </row>
    <row r="297" spans="1:23" ht="13.15" customHeight="1" x14ac:dyDescent="0.2">
      <c r="A297" s="2" t="s">
        <v>2208</v>
      </c>
      <c r="B297" s="2">
        <f t="shared" si="8"/>
        <v>2019</v>
      </c>
      <c r="C297" s="2" t="str">
        <f t="shared" si="9"/>
        <v>EC101</v>
      </c>
      <c r="D297" s="1747">
        <v>1310</v>
      </c>
      <c r="E297" s="2">
        <v>63</v>
      </c>
      <c r="F297" s="1756" t="s">
        <v>1933</v>
      </c>
      <c r="G297" s="1757"/>
      <c r="H297" s="1757"/>
      <c r="I297" s="1757"/>
      <c r="J297" s="1757"/>
      <c r="K297" s="1757"/>
      <c r="L297" s="1757"/>
      <c r="M297" s="1757"/>
      <c r="N297" s="2"/>
      <c r="W297" t="s">
        <v>2089</v>
      </c>
    </row>
    <row r="298" spans="1:23" ht="13.15" customHeight="1" x14ac:dyDescent="0.2">
      <c r="A298" s="2" t="s">
        <v>2208</v>
      </c>
      <c r="B298" s="2">
        <f t="shared" si="8"/>
        <v>2019</v>
      </c>
      <c r="C298" s="2" t="str">
        <f t="shared" si="9"/>
        <v>EC101</v>
      </c>
      <c r="D298" s="1747">
        <v>1311</v>
      </c>
      <c r="E298" s="2">
        <v>64</v>
      </c>
      <c r="F298" s="1756" t="s">
        <v>1934</v>
      </c>
      <c r="G298" s="1757"/>
      <c r="H298" s="1757"/>
      <c r="I298" s="1757"/>
      <c r="J298" s="1757"/>
      <c r="K298" s="1757"/>
      <c r="L298" s="1757"/>
      <c r="M298" s="1757"/>
      <c r="N298" s="2"/>
      <c r="W298" t="s">
        <v>2089</v>
      </c>
    </row>
    <row r="299" spans="1:23" ht="13.15" customHeight="1" x14ac:dyDescent="0.2">
      <c r="A299" s="2" t="s">
        <v>2208</v>
      </c>
      <c r="B299" s="2">
        <f t="shared" si="8"/>
        <v>2019</v>
      </c>
      <c r="C299" s="2" t="str">
        <f t="shared" si="9"/>
        <v>EC101</v>
      </c>
      <c r="D299" s="1747">
        <v>1312</v>
      </c>
      <c r="E299" s="2">
        <v>65</v>
      </c>
      <c r="F299" s="1756" t="s">
        <v>1935</v>
      </c>
      <c r="G299" s="1757"/>
      <c r="H299" s="1757"/>
      <c r="I299" s="1757"/>
      <c r="J299" s="1757"/>
      <c r="K299" s="1757"/>
      <c r="L299" s="1757"/>
      <c r="M299" s="1757"/>
      <c r="N299" s="2"/>
      <c r="W299" t="s">
        <v>2089</v>
      </c>
    </row>
    <row r="300" spans="1:23" ht="13.15" customHeight="1" x14ac:dyDescent="0.2">
      <c r="A300" s="2" t="s">
        <v>2208</v>
      </c>
      <c r="B300" s="2">
        <f t="shared" si="8"/>
        <v>2019</v>
      </c>
      <c r="C300" s="2" t="str">
        <f t="shared" si="9"/>
        <v>EC101</v>
      </c>
      <c r="D300" s="1747">
        <v>1313</v>
      </c>
      <c r="E300" s="2">
        <v>66</v>
      </c>
      <c r="F300" s="1756" t="s">
        <v>1936</v>
      </c>
      <c r="G300" s="1757"/>
      <c r="H300" s="1757"/>
      <c r="I300" s="1757"/>
      <c r="J300" s="1757"/>
      <c r="K300" s="1757"/>
      <c r="L300" s="1757"/>
      <c r="M300" s="1757"/>
      <c r="N300" s="2"/>
      <c r="W300" t="s">
        <v>2089</v>
      </c>
    </row>
    <row r="301" spans="1:23" ht="13.15" customHeight="1" x14ac:dyDescent="0.2">
      <c r="A301" s="2" t="s">
        <v>2208</v>
      </c>
      <c r="B301" s="2">
        <f t="shared" si="8"/>
        <v>2019</v>
      </c>
      <c r="C301" s="2" t="str">
        <f t="shared" si="9"/>
        <v>EC101</v>
      </c>
      <c r="D301" s="1747">
        <v>1314</v>
      </c>
      <c r="E301" s="2">
        <v>67</v>
      </c>
      <c r="F301" s="1756" t="s">
        <v>1937</v>
      </c>
      <c r="G301" s="1757"/>
      <c r="H301" s="1757"/>
      <c r="I301" s="1757"/>
      <c r="J301" s="1757"/>
      <c r="K301" s="1757"/>
      <c r="L301" s="1757"/>
      <c r="M301" s="1757"/>
      <c r="N301" s="2"/>
      <c r="W301" t="s">
        <v>2089</v>
      </c>
    </row>
    <row r="302" spans="1:23" ht="13.15" customHeight="1" x14ac:dyDescent="0.2">
      <c r="A302" s="2" t="s">
        <v>2208</v>
      </c>
      <c r="B302" s="2">
        <f t="shared" si="8"/>
        <v>2019</v>
      </c>
      <c r="C302" s="2" t="str">
        <f t="shared" si="9"/>
        <v>EC101</v>
      </c>
      <c r="D302" s="1747">
        <v>1315</v>
      </c>
      <c r="E302" s="2">
        <v>68</v>
      </c>
      <c r="F302" s="1756" t="s">
        <v>1938</v>
      </c>
      <c r="G302" s="1757"/>
      <c r="H302" s="1757"/>
      <c r="I302" s="1757"/>
      <c r="J302" s="1757"/>
      <c r="K302" s="1757"/>
      <c r="L302" s="1757"/>
      <c r="M302" s="1757"/>
      <c r="N302" s="2"/>
      <c r="W302" t="s">
        <v>2089</v>
      </c>
    </row>
    <row r="303" spans="1:23" ht="13.15" customHeight="1" x14ac:dyDescent="0.2">
      <c r="A303" s="2" t="s">
        <v>2208</v>
      </c>
      <c r="B303" s="2">
        <f t="shared" si="8"/>
        <v>2019</v>
      </c>
      <c r="C303" s="2" t="str">
        <f t="shared" si="9"/>
        <v>EC101</v>
      </c>
      <c r="D303" s="1747">
        <v>1316</v>
      </c>
      <c r="E303" s="2">
        <v>69</v>
      </c>
      <c r="F303" s="1756" t="s">
        <v>1939</v>
      </c>
      <c r="G303" s="1757"/>
      <c r="H303" s="1757"/>
      <c r="I303" s="1757"/>
      <c r="J303" s="1757"/>
      <c r="K303" s="1757"/>
      <c r="L303" s="1757"/>
      <c r="M303" s="1757"/>
      <c r="N303" s="2"/>
      <c r="W303" t="s">
        <v>2089</v>
      </c>
    </row>
    <row r="304" spans="1:23" ht="13.15" customHeight="1" x14ac:dyDescent="0.2">
      <c r="A304" s="2" t="s">
        <v>2208</v>
      </c>
      <c r="B304" s="2">
        <f t="shared" si="8"/>
        <v>2019</v>
      </c>
      <c r="C304" s="2" t="str">
        <f t="shared" si="9"/>
        <v>EC101</v>
      </c>
      <c r="D304" s="1747">
        <v>1317</v>
      </c>
      <c r="E304" s="2">
        <v>70</v>
      </c>
      <c r="F304" s="1756" t="s">
        <v>1940</v>
      </c>
      <c r="G304" s="1757"/>
      <c r="H304" s="1757"/>
      <c r="I304" s="1757"/>
      <c r="J304" s="1757"/>
      <c r="K304" s="1757"/>
      <c r="L304" s="1757"/>
      <c r="M304" s="1757"/>
      <c r="N304" s="2"/>
      <c r="W304" t="s">
        <v>2089</v>
      </c>
    </row>
    <row r="305" spans="1:23" ht="13.15" customHeight="1" x14ac:dyDescent="0.2">
      <c r="A305" s="2" t="s">
        <v>2208</v>
      </c>
      <c r="B305" s="2">
        <f t="shared" si="8"/>
        <v>2019</v>
      </c>
      <c r="C305" s="2" t="str">
        <f t="shared" si="9"/>
        <v>EC101</v>
      </c>
      <c r="D305" s="1747">
        <v>1318</v>
      </c>
      <c r="E305" s="2">
        <v>71</v>
      </c>
      <c r="F305" s="1756" t="s">
        <v>1941</v>
      </c>
      <c r="G305" s="1757"/>
      <c r="H305" s="1757"/>
      <c r="I305" s="1757"/>
      <c r="J305" s="1757"/>
      <c r="K305" s="1757"/>
      <c r="L305" s="1757"/>
      <c r="M305" s="1757"/>
      <c r="N305" s="2"/>
      <c r="W305" t="s">
        <v>2089</v>
      </c>
    </row>
    <row r="306" spans="1:23" ht="13.15" customHeight="1" x14ac:dyDescent="0.2">
      <c r="A306" s="2" t="s">
        <v>2208</v>
      </c>
      <c r="B306" s="2">
        <f t="shared" si="8"/>
        <v>2019</v>
      </c>
      <c r="C306" s="2" t="str">
        <f t="shared" si="9"/>
        <v>EC101</v>
      </c>
      <c r="D306" s="1747">
        <v>1319</v>
      </c>
      <c r="E306" s="2">
        <v>72</v>
      </c>
      <c r="F306" s="1116" t="s">
        <v>246</v>
      </c>
      <c r="G306" s="1757"/>
      <c r="H306" s="1757"/>
      <c r="I306" s="1757"/>
      <c r="J306" s="1757"/>
      <c r="K306" s="1757"/>
      <c r="L306" s="1757"/>
      <c r="M306" s="1757"/>
      <c r="N306" s="2"/>
      <c r="W306" t="s">
        <v>2089</v>
      </c>
    </row>
    <row r="307" spans="1:23" ht="13.15" customHeight="1" x14ac:dyDescent="0.2">
      <c r="A307" s="2" t="s">
        <v>2208</v>
      </c>
      <c r="B307" s="2">
        <f t="shared" si="8"/>
        <v>2019</v>
      </c>
      <c r="C307" s="2" t="str">
        <f t="shared" si="9"/>
        <v>EC101</v>
      </c>
      <c r="D307" s="1747"/>
      <c r="E307" s="2"/>
      <c r="F307" s="1758"/>
      <c r="G307" s="1757"/>
      <c r="H307" s="1757"/>
      <c r="I307" s="1757"/>
      <c r="J307" s="1757"/>
      <c r="K307" s="1757"/>
      <c r="L307" s="1757"/>
      <c r="M307" s="1757"/>
      <c r="N307" s="2"/>
      <c r="W307" t="s">
        <v>2089</v>
      </c>
    </row>
    <row r="308" spans="1:23" ht="13.15" customHeight="1" x14ac:dyDescent="0.2">
      <c r="A308" s="2" t="s">
        <v>2208</v>
      </c>
      <c r="B308" s="2">
        <f t="shared" si="8"/>
        <v>2019</v>
      </c>
      <c r="C308" s="2" t="str">
        <f t="shared" si="9"/>
        <v>EC101</v>
      </c>
      <c r="D308" s="1747">
        <v>1400</v>
      </c>
      <c r="E308" s="2">
        <v>73</v>
      </c>
      <c r="F308" s="1755" t="s">
        <v>1910</v>
      </c>
      <c r="G308" s="1757"/>
      <c r="H308" s="1757"/>
      <c r="I308" s="1757"/>
      <c r="J308" s="1757"/>
      <c r="K308" s="1757"/>
      <c r="L308" s="1757"/>
      <c r="M308" s="1757"/>
      <c r="N308" s="2"/>
      <c r="W308" t="s">
        <v>2089</v>
      </c>
    </row>
    <row r="309" spans="1:23" ht="13.15" customHeight="1" x14ac:dyDescent="0.2">
      <c r="A309" s="2" t="s">
        <v>2208</v>
      </c>
      <c r="B309" s="2">
        <f t="shared" si="8"/>
        <v>2019</v>
      </c>
      <c r="C309" s="2" t="str">
        <f t="shared" si="9"/>
        <v>EC101</v>
      </c>
      <c r="D309" s="1747">
        <v>1401</v>
      </c>
      <c r="E309" s="2">
        <v>74</v>
      </c>
      <c r="F309" s="1758" t="s">
        <v>1887</v>
      </c>
      <c r="G309" s="1757"/>
      <c r="H309" s="1757"/>
      <c r="I309" s="1757"/>
      <c r="J309" s="1757"/>
      <c r="K309" s="1757"/>
      <c r="L309" s="1757"/>
      <c r="M309" s="1757"/>
      <c r="N309" s="2"/>
      <c r="W309" t="s">
        <v>2089</v>
      </c>
    </row>
    <row r="310" spans="1:23" ht="13.15" customHeight="1" x14ac:dyDescent="0.2">
      <c r="A310" s="2" t="s">
        <v>2208</v>
      </c>
      <c r="B310" s="2">
        <f t="shared" si="8"/>
        <v>2019</v>
      </c>
      <c r="C310" s="2" t="str">
        <f t="shared" si="9"/>
        <v>EC101</v>
      </c>
      <c r="D310" s="1747">
        <v>1402</v>
      </c>
      <c r="E310" s="2">
        <v>75</v>
      </c>
      <c r="F310" s="1756" t="s">
        <v>1911</v>
      </c>
      <c r="G310" s="1757"/>
      <c r="H310" s="1757"/>
      <c r="I310" s="1757"/>
      <c r="J310" s="1757"/>
      <c r="K310" s="1757"/>
      <c r="L310" s="1757"/>
      <c r="M310" s="1757"/>
      <c r="N310" s="2"/>
      <c r="W310" t="s">
        <v>2089</v>
      </c>
    </row>
    <row r="311" spans="1:23" ht="13.15" customHeight="1" x14ac:dyDescent="0.2">
      <c r="A311" s="2" t="s">
        <v>2208</v>
      </c>
      <c r="B311" s="2">
        <f t="shared" si="8"/>
        <v>2019</v>
      </c>
      <c r="C311" s="2" t="str">
        <f t="shared" si="9"/>
        <v>EC101</v>
      </c>
      <c r="D311" s="1747">
        <v>1403</v>
      </c>
      <c r="E311" s="2">
        <v>76</v>
      </c>
      <c r="F311" s="1756" t="s">
        <v>1912</v>
      </c>
      <c r="G311" s="1757"/>
      <c r="H311" s="1757"/>
      <c r="I311" s="1757"/>
      <c r="J311" s="1757"/>
      <c r="K311" s="1757"/>
      <c r="L311" s="1757"/>
      <c r="M311" s="1757"/>
      <c r="N311" s="2"/>
      <c r="W311" t="s">
        <v>2089</v>
      </c>
    </row>
    <row r="312" spans="1:23" ht="13.15" customHeight="1" x14ac:dyDescent="0.2">
      <c r="A312" s="2" t="s">
        <v>2208</v>
      </c>
      <c r="B312" s="2">
        <f t="shared" si="8"/>
        <v>2019</v>
      </c>
      <c r="C312" s="2" t="str">
        <f t="shared" si="9"/>
        <v>EC101</v>
      </c>
      <c r="D312" s="1747">
        <v>1404</v>
      </c>
      <c r="E312" s="2">
        <v>77</v>
      </c>
      <c r="F312" s="1756" t="s">
        <v>1913</v>
      </c>
      <c r="G312" s="1757"/>
      <c r="H312" s="1757"/>
      <c r="I312" s="1757"/>
      <c r="J312" s="1757"/>
      <c r="K312" s="1757"/>
      <c r="L312" s="1757"/>
      <c r="M312" s="1757"/>
      <c r="N312" s="2"/>
      <c r="W312" t="s">
        <v>2089</v>
      </c>
    </row>
    <row r="313" spans="1:23" ht="13.15" customHeight="1" x14ac:dyDescent="0.2">
      <c r="A313" s="2" t="s">
        <v>2208</v>
      </c>
      <c r="B313" s="2">
        <f t="shared" si="8"/>
        <v>2019</v>
      </c>
      <c r="C313" s="2" t="str">
        <f t="shared" si="9"/>
        <v>EC101</v>
      </c>
      <c r="D313" s="1747">
        <v>1405</v>
      </c>
      <c r="E313" s="2">
        <v>78</v>
      </c>
      <c r="F313" s="1756" t="s">
        <v>1914</v>
      </c>
      <c r="G313" s="1757"/>
      <c r="H313" s="1757"/>
      <c r="I313" s="1757"/>
      <c r="J313" s="1757"/>
      <c r="K313" s="1757"/>
      <c r="L313" s="1757"/>
      <c r="M313" s="1757"/>
      <c r="N313" s="2"/>
      <c r="W313" t="s">
        <v>2089</v>
      </c>
    </row>
    <row r="314" spans="1:23" ht="13.15" customHeight="1" x14ac:dyDescent="0.2">
      <c r="A314" s="2" t="s">
        <v>2217</v>
      </c>
      <c r="B314" s="2">
        <f t="shared" si="8"/>
        <v>2019</v>
      </c>
      <c r="C314" s="2" t="str">
        <f t="shared" si="9"/>
        <v>EC101</v>
      </c>
      <c r="D314" s="1747">
        <v>1000</v>
      </c>
      <c r="E314" s="2">
        <v>1</v>
      </c>
      <c r="F314" s="2" t="s">
        <v>1956</v>
      </c>
      <c r="G314" s="1757"/>
      <c r="H314" s="1757"/>
      <c r="I314" s="1757"/>
      <c r="J314" s="1757"/>
      <c r="K314" s="1757"/>
      <c r="L314" s="1757"/>
      <c r="M314" s="1757"/>
      <c r="N314" s="1757"/>
      <c r="O314" s="1757"/>
      <c r="P314" s="1757"/>
      <c r="Q314" s="2"/>
      <c r="R314" s="2"/>
      <c r="S314" s="2"/>
      <c r="T314" s="2"/>
      <c r="U314" s="2"/>
      <c r="V314" s="2"/>
      <c r="W314" t="s">
        <v>2089</v>
      </c>
    </row>
    <row r="315" spans="1:23" ht="13.15" customHeight="1" x14ac:dyDescent="0.2">
      <c r="A315" s="2" t="s">
        <v>2217</v>
      </c>
      <c r="B315" s="2">
        <f t="shared" si="8"/>
        <v>2019</v>
      </c>
      <c r="C315" s="2" t="str">
        <f t="shared" si="9"/>
        <v>EC101</v>
      </c>
      <c r="D315" s="1747">
        <v>1001</v>
      </c>
      <c r="E315" s="2">
        <v>2</v>
      </c>
      <c r="F315" s="2" t="s">
        <v>692</v>
      </c>
      <c r="G315" s="1757"/>
      <c r="H315" s="1757"/>
      <c r="I315" s="1757"/>
      <c r="J315" s="1757"/>
      <c r="K315" s="1757"/>
      <c r="L315" s="1757"/>
      <c r="M315" s="1757"/>
      <c r="N315" s="1757"/>
      <c r="O315" s="1757"/>
      <c r="P315" s="1757"/>
      <c r="Q315" s="2"/>
      <c r="R315" s="2"/>
      <c r="S315" s="2"/>
      <c r="T315" s="2"/>
      <c r="U315" s="2"/>
      <c r="V315" s="2"/>
      <c r="W315" t="s">
        <v>2089</v>
      </c>
    </row>
    <row r="316" spans="1:23" ht="13.15" customHeight="1" x14ac:dyDescent="0.2">
      <c r="A316" s="2" t="s">
        <v>2217</v>
      </c>
      <c r="B316" s="2">
        <f t="shared" si="8"/>
        <v>2019</v>
      </c>
      <c r="C316" s="2" t="str">
        <f t="shared" si="9"/>
        <v>EC101</v>
      </c>
      <c r="D316" s="1747">
        <v>1002</v>
      </c>
      <c r="E316" s="2">
        <v>3</v>
      </c>
      <c r="F316" s="2" t="s">
        <v>470</v>
      </c>
      <c r="G316" s="1757"/>
      <c r="H316" s="1757"/>
      <c r="I316" s="1757"/>
      <c r="J316" s="1757"/>
      <c r="K316" s="1757"/>
      <c r="L316" s="1757"/>
      <c r="M316" s="1757"/>
      <c r="N316" s="1757"/>
      <c r="O316" s="1757"/>
      <c r="P316" s="1757"/>
      <c r="Q316" s="2"/>
      <c r="R316" s="2"/>
      <c r="S316" s="2"/>
      <c r="T316" s="2"/>
      <c r="U316" s="2"/>
      <c r="V316" s="2"/>
      <c r="W316" t="s">
        <v>2089</v>
      </c>
    </row>
    <row r="317" spans="1:23" ht="13.15" customHeight="1" x14ac:dyDescent="0.2">
      <c r="A317" s="2" t="s">
        <v>2217</v>
      </c>
      <c r="B317" s="2">
        <f t="shared" si="8"/>
        <v>2019</v>
      </c>
      <c r="C317" s="2" t="str">
        <f t="shared" si="9"/>
        <v>EC101</v>
      </c>
      <c r="D317" s="1747">
        <v>1003</v>
      </c>
      <c r="E317" s="2">
        <v>4</v>
      </c>
      <c r="F317" s="2" t="s">
        <v>1385</v>
      </c>
      <c r="G317" s="1757"/>
      <c r="H317" s="1757"/>
      <c r="I317" s="1757"/>
      <c r="J317" s="1757"/>
      <c r="K317" s="1757"/>
      <c r="L317" s="1757"/>
      <c r="M317" s="1757"/>
      <c r="N317" s="1757"/>
      <c r="O317" s="1757"/>
      <c r="P317" s="1757"/>
      <c r="Q317" s="2"/>
      <c r="R317" s="2"/>
      <c r="S317" s="2"/>
      <c r="T317" s="2"/>
      <c r="U317" s="2"/>
      <c r="V317" s="2"/>
      <c r="W317" t="s">
        <v>2089</v>
      </c>
    </row>
    <row r="318" spans="1:23" ht="13.15" customHeight="1" x14ac:dyDescent="0.2">
      <c r="A318" s="2" t="s">
        <v>2217</v>
      </c>
      <c r="B318" s="2">
        <f t="shared" si="8"/>
        <v>2019</v>
      </c>
      <c r="C318" s="2" t="str">
        <f t="shared" si="9"/>
        <v>EC101</v>
      </c>
      <c r="D318" s="1747">
        <v>1004</v>
      </c>
      <c r="E318" s="2">
        <v>5</v>
      </c>
      <c r="F318" s="2" t="s">
        <v>1386</v>
      </c>
      <c r="G318" s="1757"/>
      <c r="H318" s="1757"/>
      <c r="I318" s="1757"/>
      <c r="J318" s="1757"/>
      <c r="K318" s="1757"/>
      <c r="L318" s="1757"/>
      <c r="M318" s="1757"/>
      <c r="N318" s="1757"/>
      <c r="O318" s="1757"/>
      <c r="P318" s="1757"/>
      <c r="Q318" s="2"/>
      <c r="R318" s="2"/>
      <c r="S318" s="2"/>
      <c r="T318" s="2"/>
      <c r="U318" s="2"/>
      <c r="V318" s="2"/>
      <c r="W318" t="s">
        <v>2089</v>
      </c>
    </row>
    <row r="319" spans="1:23" ht="13.15" customHeight="1" x14ac:dyDescent="0.2">
      <c r="A319" s="2" t="s">
        <v>2217</v>
      </c>
      <c r="B319" s="2">
        <f t="shared" si="8"/>
        <v>2019</v>
      </c>
      <c r="C319" s="2" t="str">
        <f t="shared" si="9"/>
        <v>EC101</v>
      </c>
      <c r="D319" s="1747">
        <v>1005</v>
      </c>
      <c r="E319" s="2">
        <v>6</v>
      </c>
      <c r="F319" s="2" t="s">
        <v>1387</v>
      </c>
      <c r="G319" s="1757"/>
      <c r="H319" s="1757"/>
      <c r="I319" s="1757"/>
      <c r="J319" s="1757"/>
      <c r="K319" s="1757"/>
      <c r="L319" s="1757"/>
      <c r="M319" s="1757"/>
      <c r="N319" s="1757"/>
      <c r="O319" s="1757"/>
      <c r="P319" s="1757"/>
      <c r="Q319" s="2"/>
      <c r="R319" s="2"/>
      <c r="S319" s="2"/>
      <c r="T319" s="2"/>
      <c r="U319" s="2"/>
      <c r="V319" s="2"/>
      <c r="W319" t="s">
        <v>2089</v>
      </c>
    </row>
    <row r="320" spans="1:23" ht="13.15" customHeight="1" x14ac:dyDescent="0.2">
      <c r="A320" s="2" t="s">
        <v>2217</v>
      </c>
      <c r="B320" s="2">
        <f t="shared" si="8"/>
        <v>2019</v>
      </c>
      <c r="C320" s="2" t="str">
        <f t="shared" si="9"/>
        <v>EC101</v>
      </c>
      <c r="D320" s="1747">
        <v>1006</v>
      </c>
      <c r="E320" s="2">
        <v>7</v>
      </c>
      <c r="F320" s="2" t="s">
        <v>713</v>
      </c>
      <c r="G320" s="1757"/>
      <c r="H320" s="1757"/>
      <c r="I320" s="1757"/>
      <c r="J320" s="1757"/>
      <c r="K320" s="1757"/>
      <c r="L320" s="1757"/>
      <c r="M320" s="1757"/>
      <c r="N320" s="1757"/>
      <c r="O320" s="1757"/>
      <c r="P320" s="1757"/>
      <c r="Q320" s="2"/>
      <c r="R320" s="2"/>
      <c r="S320" s="2"/>
      <c r="T320" s="2"/>
      <c r="U320" s="2"/>
      <c r="V320" s="2"/>
      <c r="W320" t="s">
        <v>2089</v>
      </c>
    </row>
    <row r="321" spans="1:23" ht="13.15" customHeight="1" x14ac:dyDescent="0.2">
      <c r="A321" s="2" t="s">
        <v>2217</v>
      </c>
      <c r="B321" s="2">
        <f t="shared" si="8"/>
        <v>2019</v>
      </c>
      <c r="C321" s="2" t="str">
        <f t="shared" si="9"/>
        <v>EC101</v>
      </c>
      <c r="D321" s="1747">
        <v>1007</v>
      </c>
      <c r="E321" s="2">
        <v>8</v>
      </c>
      <c r="F321" s="2" t="s">
        <v>836</v>
      </c>
      <c r="G321" s="1757"/>
      <c r="H321" s="1757"/>
      <c r="I321" s="1757"/>
      <c r="J321" s="1757"/>
      <c r="K321" s="1757"/>
      <c r="L321" s="1757"/>
      <c r="M321" s="1757"/>
      <c r="N321" s="1757"/>
      <c r="O321" s="1757"/>
      <c r="P321" s="1757"/>
      <c r="Q321" s="2"/>
      <c r="R321" s="2"/>
      <c r="S321" s="2"/>
      <c r="T321" s="2"/>
      <c r="U321" s="2"/>
      <c r="V321" s="2"/>
      <c r="W321" t="s">
        <v>2089</v>
      </c>
    </row>
    <row r="322" spans="1:23" ht="13.15" customHeight="1" x14ac:dyDescent="0.2">
      <c r="A322" s="2" t="s">
        <v>2217</v>
      </c>
      <c r="B322" s="2">
        <f t="shared" ref="B322:B385" si="10">+MTREF</f>
        <v>2019</v>
      </c>
      <c r="C322" s="2" t="str">
        <f t="shared" ref="C322:C385" si="11">LEFT(muni,(FIND(" ",muni,1)-1))</f>
        <v>EC101</v>
      </c>
      <c r="D322" s="1747">
        <v>1008</v>
      </c>
      <c r="E322" s="2">
        <v>9</v>
      </c>
      <c r="F322" s="2" t="s">
        <v>574</v>
      </c>
      <c r="G322" s="1757"/>
      <c r="H322" s="1757"/>
      <c r="I322" s="1757"/>
      <c r="J322" s="1757"/>
      <c r="K322" s="1757"/>
      <c r="L322" s="1757"/>
      <c r="M322" s="1757"/>
      <c r="N322" s="1757"/>
      <c r="O322" s="1757"/>
      <c r="P322" s="1757"/>
      <c r="Q322" s="2"/>
      <c r="R322" s="2"/>
      <c r="S322" s="2"/>
      <c r="T322" s="2"/>
      <c r="U322" s="2"/>
      <c r="V322" s="2"/>
      <c r="W322" t="s">
        <v>2089</v>
      </c>
    </row>
    <row r="323" spans="1:23" ht="13.15" customHeight="1" x14ac:dyDescent="0.2">
      <c r="A323" s="2" t="s">
        <v>2217</v>
      </c>
      <c r="B323" s="2">
        <f t="shared" si="10"/>
        <v>2019</v>
      </c>
      <c r="C323" s="2" t="str">
        <f t="shared" si="11"/>
        <v>EC101</v>
      </c>
      <c r="D323" s="1747">
        <v>1009</v>
      </c>
      <c r="E323" s="2">
        <v>10</v>
      </c>
      <c r="F323" s="2" t="s">
        <v>246</v>
      </c>
      <c r="G323" s="1757"/>
      <c r="H323" s="1757"/>
      <c r="I323" s="1757"/>
      <c r="J323" s="1757"/>
      <c r="K323" s="1757"/>
      <c r="L323" s="1757"/>
      <c r="M323" s="1757"/>
      <c r="N323" s="1757"/>
      <c r="O323" s="1757"/>
      <c r="P323" s="1757"/>
      <c r="Q323" s="2"/>
      <c r="R323" s="2"/>
      <c r="S323" s="2"/>
      <c r="T323" s="2"/>
      <c r="U323" s="2"/>
      <c r="V323" s="2"/>
      <c r="W323" t="s">
        <v>2089</v>
      </c>
    </row>
    <row r="324" spans="1:23" ht="13.15" customHeight="1" x14ac:dyDescent="0.2">
      <c r="A324" s="2" t="s">
        <v>2217</v>
      </c>
      <c r="B324" s="2">
        <f t="shared" si="10"/>
        <v>2019</v>
      </c>
      <c r="C324" s="2" t="str">
        <f t="shared" si="11"/>
        <v>EC101</v>
      </c>
      <c r="D324" s="1747">
        <v>1090</v>
      </c>
      <c r="E324" s="2">
        <v>11</v>
      </c>
      <c r="F324" s="2" t="s">
        <v>118</v>
      </c>
      <c r="G324" s="1757"/>
      <c r="H324" s="1757"/>
      <c r="I324" s="1757"/>
      <c r="J324" s="1757"/>
      <c r="K324" s="1757"/>
      <c r="L324" s="1757"/>
      <c r="M324" s="1757"/>
      <c r="N324" s="1757"/>
      <c r="O324" s="1757"/>
      <c r="P324" s="1757"/>
      <c r="Q324" s="2"/>
      <c r="R324" s="1757"/>
      <c r="S324" s="1757"/>
      <c r="T324" s="1757"/>
      <c r="U324" s="1757"/>
      <c r="V324" s="1757"/>
      <c r="W324" t="s">
        <v>2089</v>
      </c>
    </row>
    <row r="325" spans="1:23" ht="13.15" customHeight="1" x14ac:dyDescent="0.2">
      <c r="A325" s="2" t="s">
        <v>2217</v>
      </c>
      <c r="B325" s="2">
        <f t="shared" si="10"/>
        <v>2019</v>
      </c>
      <c r="C325" s="2" t="str">
        <f t="shared" si="11"/>
        <v>EC101</v>
      </c>
      <c r="D325" s="1747">
        <v>1091</v>
      </c>
      <c r="E325" s="2">
        <v>12</v>
      </c>
      <c r="F325" s="2" t="s">
        <v>691</v>
      </c>
      <c r="G325" s="1757"/>
      <c r="H325" s="1757"/>
      <c r="I325" s="1757"/>
      <c r="J325" s="1757"/>
      <c r="K325" s="1757"/>
      <c r="L325" s="1757"/>
      <c r="M325" s="1757"/>
      <c r="N325" s="1757"/>
      <c r="O325" s="1757"/>
      <c r="P325" s="1757"/>
      <c r="Q325" s="2"/>
      <c r="R325" s="2"/>
      <c r="S325" s="2"/>
      <c r="T325" s="2"/>
      <c r="U325" s="2"/>
      <c r="V325" s="2"/>
      <c r="W325" t="s">
        <v>2089</v>
      </c>
    </row>
    <row r="326" spans="1:23" ht="13.15" customHeight="1" x14ac:dyDescent="0.2">
      <c r="A326" s="2" t="s">
        <v>2217</v>
      </c>
      <c r="B326" s="2">
        <f t="shared" si="10"/>
        <v>2019</v>
      </c>
      <c r="C326" s="2" t="str">
        <f t="shared" si="11"/>
        <v>EC101</v>
      </c>
      <c r="D326" s="1747">
        <v>1095</v>
      </c>
      <c r="E326" s="2">
        <v>13</v>
      </c>
      <c r="F326" s="2" t="s">
        <v>714</v>
      </c>
      <c r="G326" s="1757"/>
      <c r="H326" s="1757"/>
      <c r="I326" s="1757"/>
      <c r="J326" s="1757"/>
      <c r="K326" s="1757"/>
      <c r="L326" s="1757"/>
      <c r="M326" s="1757"/>
      <c r="N326" s="1757"/>
      <c r="O326" s="1757"/>
      <c r="P326" s="1757"/>
      <c r="Q326" s="2"/>
      <c r="R326" s="1757"/>
      <c r="S326" s="1757"/>
      <c r="T326" s="1757"/>
      <c r="U326" s="1757"/>
      <c r="V326" s="1757"/>
      <c r="W326" t="s">
        <v>2089</v>
      </c>
    </row>
    <row r="327" spans="1:23" ht="13.15" customHeight="1" x14ac:dyDescent="0.2">
      <c r="A327" s="2" t="s">
        <v>2217</v>
      </c>
      <c r="B327" s="2">
        <f t="shared" si="10"/>
        <v>2019</v>
      </c>
      <c r="C327" s="2" t="str">
        <f t="shared" si="11"/>
        <v>EC101</v>
      </c>
      <c r="D327" s="1747">
        <v>1096</v>
      </c>
      <c r="E327" s="2">
        <v>14</v>
      </c>
      <c r="F327" s="2" t="s">
        <v>114</v>
      </c>
      <c r="G327" s="1757"/>
      <c r="H327" s="1757"/>
      <c r="I327" s="1757"/>
      <c r="J327" s="1757"/>
      <c r="K327" s="1757"/>
      <c r="L327" s="1757"/>
      <c r="M327" s="1757"/>
      <c r="N327" s="1757"/>
      <c r="O327" s="1757"/>
      <c r="P327" s="1757"/>
      <c r="Q327" s="2"/>
      <c r="R327" s="1757"/>
      <c r="S327" s="1757"/>
      <c r="T327" s="1757"/>
      <c r="U327" s="1757"/>
      <c r="V327" s="1757"/>
      <c r="W327" t="s">
        <v>2089</v>
      </c>
    </row>
    <row r="328" spans="1:23" ht="13.15" customHeight="1" x14ac:dyDescent="0.2">
      <c r="A328" s="2" t="s">
        <v>2217</v>
      </c>
      <c r="B328" s="2">
        <f t="shared" si="10"/>
        <v>2019</v>
      </c>
      <c r="C328" s="2" t="str">
        <f t="shared" si="11"/>
        <v>EC101</v>
      </c>
      <c r="D328" s="1747"/>
      <c r="E328" s="2"/>
      <c r="F328" s="2"/>
      <c r="G328" s="1757"/>
      <c r="H328" s="1757"/>
      <c r="I328" s="1757"/>
      <c r="J328" s="1757"/>
      <c r="K328" s="1757"/>
      <c r="L328" s="1757"/>
      <c r="M328" s="1757"/>
      <c r="N328" s="1757"/>
      <c r="O328" s="1757"/>
      <c r="P328" s="1757"/>
      <c r="Q328" s="2"/>
      <c r="R328" s="2"/>
      <c r="S328" s="2"/>
      <c r="T328" s="2"/>
      <c r="U328" s="2"/>
      <c r="V328" s="2"/>
      <c r="W328" t="s">
        <v>2089</v>
      </c>
    </row>
    <row r="329" spans="1:23" ht="13.15" customHeight="1" x14ac:dyDescent="0.2">
      <c r="A329" s="2" t="s">
        <v>2217</v>
      </c>
      <c r="B329" s="2">
        <f t="shared" si="10"/>
        <v>2019</v>
      </c>
      <c r="C329" s="2" t="str">
        <f t="shared" si="11"/>
        <v>EC101</v>
      </c>
      <c r="D329" s="1747">
        <v>1100</v>
      </c>
      <c r="E329" s="2">
        <v>15</v>
      </c>
      <c r="F329" s="2" t="s">
        <v>1957</v>
      </c>
      <c r="G329" s="1757"/>
      <c r="H329" s="1757"/>
      <c r="I329" s="1757"/>
      <c r="J329" s="1757"/>
      <c r="K329" s="1757"/>
      <c r="L329" s="1757"/>
      <c r="M329" s="1757"/>
      <c r="N329" s="1757"/>
      <c r="O329" s="1757"/>
      <c r="P329" s="1757"/>
      <c r="Q329" s="2"/>
      <c r="R329" s="2"/>
      <c r="S329" s="2"/>
      <c r="T329" s="2"/>
      <c r="U329" s="2"/>
      <c r="V329" s="2"/>
      <c r="W329" t="s">
        <v>2089</v>
      </c>
    </row>
    <row r="330" spans="1:23" ht="13.15" customHeight="1" x14ac:dyDescent="0.2">
      <c r="A330" s="2" t="s">
        <v>2217</v>
      </c>
      <c r="B330" s="2">
        <f t="shared" si="10"/>
        <v>2019</v>
      </c>
      <c r="C330" s="2" t="str">
        <f t="shared" si="11"/>
        <v>EC101</v>
      </c>
      <c r="D330" s="1747">
        <v>1101</v>
      </c>
      <c r="E330" s="2">
        <v>16</v>
      </c>
      <c r="F330" s="2" t="s">
        <v>692</v>
      </c>
      <c r="G330" s="1757"/>
      <c r="H330" s="1757"/>
      <c r="I330" s="1757"/>
      <c r="J330" s="1757"/>
      <c r="K330" s="1757"/>
      <c r="L330" s="1757"/>
      <c r="M330" s="1757"/>
      <c r="N330" s="1757"/>
      <c r="O330" s="1757"/>
      <c r="P330" s="1757"/>
      <c r="Q330" s="2"/>
      <c r="R330" s="2"/>
      <c r="S330" s="2"/>
      <c r="T330" s="2"/>
      <c r="U330" s="2"/>
      <c r="V330" s="2"/>
      <c r="W330" t="s">
        <v>2089</v>
      </c>
    </row>
    <row r="331" spans="1:23" ht="13.15" customHeight="1" x14ac:dyDescent="0.2">
      <c r="A331" s="2" t="s">
        <v>2217</v>
      </c>
      <c r="B331" s="2">
        <f t="shared" si="10"/>
        <v>2019</v>
      </c>
      <c r="C331" s="2" t="str">
        <f t="shared" si="11"/>
        <v>EC101</v>
      </c>
      <c r="D331" s="1747">
        <v>1102</v>
      </c>
      <c r="E331" s="2">
        <v>17</v>
      </c>
      <c r="F331" s="2" t="s">
        <v>470</v>
      </c>
      <c r="G331" s="1757"/>
      <c r="H331" s="1757"/>
      <c r="I331" s="1757"/>
      <c r="J331" s="1757"/>
      <c r="K331" s="1757"/>
      <c r="L331" s="1757"/>
      <c r="M331" s="1757"/>
      <c r="N331" s="1757"/>
      <c r="O331" s="1757"/>
      <c r="P331" s="1757"/>
      <c r="Q331" s="2"/>
      <c r="R331" s="2"/>
      <c r="S331" s="2"/>
      <c r="T331" s="2"/>
      <c r="U331" s="2"/>
      <c r="V331" s="2"/>
      <c r="W331" t="s">
        <v>2089</v>
      </c>
    </row>
    <row r="332" spans="1:23" ht="13.15" customHeight="1" x14ac:dyDescent="0.2">
      <c r="A332" s="2" t="s">
        <v>2217</v>
      </c>
      <c r="B332" s="2">
        <f t="shared" si="10"/>
        <v>2019</v>
      </c>
      <c r="C332" s="2" t="str">
        <f t="shared" si="11"/>
        <v>EC101</v>
      </c>
      <c r="D332" s="1747">
        <v>1103</v>
      </c>
      <c r="E332" s="2">
        <v>18</v>
      </c>
      <c r="F332" s="2" t="s">
        <v>1385</v>
      </c>
      <c r="G332" s="1757"/>
      <c r="H332" s="1757"/>
      <c r="I332" s="1757"/>
      <c r="J332" s="1757"/>
      <c r="K332" s="1757"/>
      <c r="L332" s="1757"/>
      <c r="M332" s="1757"/>
      <c r="N332" s="1757"/>
      <c r="O332" s="1757"/>
      <c r="P332" s="1757"/>
      <c r="Q332" s="2"/>
      <c r="R332" s="2"/>
      <c r="S332" s="2"/>
      <c r="T332" s="2"/>
      <c r="U332" s="2"/>
      <c r="V332" s="2"/>
      <c r="W332" t="s">
        <v>2089</v>
      </c>
    </row>
    <row r="333" spans="1:23" ht="13.15" customHeight="1" x14ac:dyDescent="0.2">
      <c r="A333" s="2" t="s">
        <v>2217</v>
      </c>
      <c r="B333" s="2">
        <f t="shared" si="10"/>
        <v>2019</v>
      </c>
      <c r="C333" s="2" t="str">
        <f t="shared" si="11"/>
        <v>EC101</v>
      </c>
      <c r="D333" s="1747">
        <v>1110</v>
      </c>
      <c r="E333" s="2">
        <v>19</v>
      </c>
      <c r="F333" s="2" t="s">
        <v>1386</v>
      </c>
      <c r="G333" s="1757"/>
      <c r="H333" s="1757"/>
      <c r="I333" s="1757"/>
      <c r="J333" s="1757"/>
      <c r="K333" s="1757"/>
      <c r="L333" s="1757"/>
      <c r="M333" s="1757"/>
      <c r="N333" s="1757"/>
      <c r="O333" s="1757"/>
      <c r="P333" s="1757"/>
      <c r="Q333" s="2"/>
      <c r="R333" s="2"/>
      <c r="S333" s="2"/>
      <c r="T333" s="2"/>
      <c r="U333" s="2"/>
      <c r="V333" s="2"/>
      <c r="W333" t="s">
        <v>2089</v>
      </c>
    </row>
    <row r="334" spans="1:23" ht="13.15" customHeight="1" x14ac:dyDescent="0.2">
      <c r="A334" s="2" t="s">
        <v>2217</v>
      </c>
      <c r="B334" s="2">
        <f t="shared" si="10"/>
        <v>2019</v>
      </c>
      <c r="C334" s="2" t="str">
        <f t="shared" si="11"/>
        <v>EC101</v>
      </c>
      <c r="D334" s="1747">
        <v>1107</v>
      </c>
      <c r="E334" s="2">
        <v>20</v>
      </c>
      <c r="F334" s="2" t="s">
        <v>1387</v>
      </c>
      <c r="G334" s="1757"/>
      <c r="H334" s="1757"/>
      <c r="I334" s="1757"/>
      <c r="J334" s="1757"/>
      <c r="K334" s="1757"/>
      <c r="L334" s="1757"/>
      <c r="M334" s="1757"/>
      <c r="N334" s="1757"/>
      <c r="O334" s="1757"/>
      <c r="P334" s="1757"/>
      <c r="Q334" s="2"/>
      <c r="R334" s="2"/>
      <c r="S334" s="2"/>
      <c r="T334" s="2"/>
      <c r="U334" s="2"/>
      <c r="V334" s="2"/>
      <c r="W334" t="s">
        <v>2089</v>
      </c>
    </row>
    <row r="335" spans="1:23" ht="13.15" customHeight="1" x14ac:dyDescent="0.2">
      <c r="A335" s="2" t="s">
        <v>2217</v>
      </c>
      <c r="B335" s="2">
        <f t="shared" si="10"/>
        <v>2019</v>
      </c>
      <c r="C335" s="2" t="str">
        <f t="shared" si="11"/>
        <v>EC101</v>
      </c>
      <c r="D335" s="1747">
        <v>1104</v>
      </c>
      <c r="E335" s="2">
        <v>21</v>
      </c>
      <c r="F335" s="2" t="s">
        <v>713</v>
      </c>
      <c r="G335" s="1757"/>
      <c r="H335" s="1757"/>
      <c r="I335" s="1757"/>
      <c r="J335" s="1757"/>
      <c r="K335" s="1757"/>
      <c r="L335" s="1757"/>
      <c r="M335" s="1757"/>
      <c r="N335" s="1757"/>
      <c r="O335" s="1757"/>
      <c r="P335" s="1757"/>
      <c r="Q335" s="2"/>
      <c r="R335" s="2"/>
      <c r="S335" s="2"/>
      <c r="T335" s="2"/>
      <c r="U335" s="2"/>
      <c r="V335" s="2"/>
      <c r="W335" t="s">
        <v>2089</v>
      </c>
    </row>
    <row r="336" spans="1:23" ht="13.15" customHeight="1" x14ac:dyDescent="0.2">
      <c r="A336" s="2" t="s">
        <v>2217</v>
      </c>
      <c r="B336" s="2">
        <f t="shared" si="10"/>
        <v>2019</v>
      </c>
      <c r="C336" s="2" t="str">
        <f t="shared" si="11"/>
        <v>EC101</v>
      </c>
      <c r="D336" s="1747">
        <v>1105</v>
      </c>
      <c r="E336" s="2">
        <v>22</v>
      </c>
      <c r="F336" s="2" t="s">
        <v>836</v>
      </c>
      <c r="G336" s="1757"/>
      <c r="H336" s="1757"/>
      <c r="I336" s="1757"/>
      <c r="J336" s="1757"/>
      <c r="K336" s="1757"/>
      <c r="L336" s="1757"/>
      <c r="M336" s="1757"/>
      <c r="N336" s="1757"/>
      <c r="O336" s="1757"/>
      <c r="P336" s="1757"/>
      <c r="Q336" s="2"/>
      <c r="R336" s="2"/>
      <c r="S336" s="2"/>
      <c r="T336" s="2"/>
      <c r="U336" s="2"/>
      <c r="V336" s="2"/>
      <c r="W336" t="s">
        <v>2089</v>
      </c>
    </row>
    <row r="337" spans="1:23" ht="13.15" customHeight="1" x14ac:dyDescent="0.2">
      <c r="A337" s="2" t="s">
        <v>2217</v>
      </c>
      <c r="B337" s="2">
        <f t="shared" si="10"/>
        <v>2019</v>
      </c>
      <c r="C337" s="2" t="str">
        <f t="shared" si="11"/>
        <v>EC101</v>
      </c>
      <c r="D337" s="1747">
        <v>1106</v>
      </c>
      <c r="E337" s="2">
        <v>23</v>
      </c>
      <c r="F337" s="2" t="s">
        <v>574</v>
      </c>
      <c r="G337" s="1757"/>
      <c r="H337" s="1757"/>
      <c r="I337" s="1757"/>
      <c r="J337" s="1757"/>
      <c r="K337" s="1757"/>
      <c r="L337" s="1757"/>
      <c r="M337" s="1757"/>
      <c r="N337" s="1757"/>
      <c r="O337" s="1757"/>
      <c r="P337" s="1757"/>
      <c r="Q337" s="2"/>
      <c r="R337" s="2"/>
      <c r="S337" s="2"/>
      <c r="T337" s="2"/>
      <c r="U337" s="2"/>
      <c r="V337" s="2"/>
      <c r="W337" t="s">
        <v>2089</v>
      </c>
    </row>
    <row r="338" spans="1:23" ht="13.15" customHeight="1" x14ac:dyDescent="0.2">
      <c r="A338" s="2" t="s">
        <v>2217</v>
      </c>
      <c r="B338" s="2">
        <f t="shared" si="10"/>
        <v>2019</v>
      </c>
      <c r="C338" s="2" t="str">
        <f t="shared" si="11"/>
        <v>EC101</v>
      </c>
      <c r="D338" s="1747">
        <v>1108</v>
      </c>
      <c r="E338" s="2">
        <v>24</v>
      </c>
      <c r="F338" s="2" t="s">
        <v>246</v>
      </c>
      <c r="G338" s="1757"/>
      <c r="H338" s="1757"/>
      <c r="I338" s="1757"/>
      <c r="J338" s="1757"/>
      <c r="K338" s="1757"/>
      <c r="L338" s="1757"/>
      <c r="M338" s="1757"/>
      <c r="N338" s="1757"/>
      <c r="O338" s="1757"/>
      <c r="P338" s="1757"/>
      <c r="Q338" s="2"/>
      <c r="R338" s="2"/>
      <c r="S338" s="2"/>
      <c r="T338" s="2"/>
      <c r="U338" s="2"/>
      <c r="V338" s="2"/>
      <c r="W338" t="s">
        <v>2089</v>
      </c>
    </row>
    <row r="339" spans="1:23" ht="13.15" customHeight="1" x14ac:dyDescent="0.2">
      <c r="A339" s="2" t="s">
        <v>2217</v>
      </c>
      <c r="B339" s="2">
        <f t="shared" si="10"/>
        <v>2019</v>
      </c>
      <c r="C339" s="2" t="str">
        <f t="shared" si="11"/>
        <v>EC101</v>
      </c>
      <c r="D339" s="1747">
        <v>1190</v>
      </c>
      <c r="E339" s="2">
        <v>25</v>
      </c>
      <c r="F339" s="2" t="s">
        <v>118</v>
      </c>
      <c r="G339" s="1757"/>
      <c r="H339" s="1757"/>
      <c r="I339" s="1757"/>
      <c r="J339" s="1757"/>
      <c r="K339" s="1757"/>
      <c r="L339" s="1757"/>
      <c r="M339" s="1757"/>
      <c r="N339" s="1757"/>
      <c r="O339" s="1757"/>
      <c r="P339" s="1757"/>
      <c r="Q339" s="2"/>
      <c r="R339" s="1757"/>
      <c r="S339" s="1757"/>
      <c r="T339" s="1757"/>
      <c r="U339" s="1757"/>
      <c r="V339" s="1757"/>
      <c r="W339" t="s">
        <v>2089</v>
      </c>
    </row>
    <row r="340" spans="1:23" ht="13.15" customHeight="1" x14ac:dyDescent="0.2">
      <c r="A340" s="2" t="s">
        <v>2217</v>
      </c>
      <c r="B340" s="2">
        <f t="shared" si="10"/>
        <v>2019</v>
      </c>
      <c r="C340" s="2" t="str">
        <f t="shared" si="11"/>
        <v>EC101</v>
      </c>
      <c r="D340" s="1747">
        <v>1191</v>
      </c>
      <c r="E340" s="2">
        <v>26</v>
      </c>
      <c r="F340" s="2" t="s">
        <v>691</v>
      </c>
      <c r="G340" s="1757"/>
      <c r="H340" s="1757"/>
      <c r="I340" s="1757"/>
      <c r="J340" s="1757"/>
      <c r="K340" s="1757"/>
      <c r="L340" s="1757"/>
      <c r="M340" s="1757"/>
      <c r="N340" s="1757"/>
      <c r="O340" s="1757"/>
      <c r="P340" s="1757"/>
      <c r="Q340" s="2"/>
      <c r="R340" s="2"/>
      <c r="S340" s="2"/>
      <c r="T340" s="2"/>
      <c r="U340" s="2"/>
      <c r="V340" s="2"/>
      <c r="W340" t="s">
        <v>2089</v>
      </c>
    </row>
    <row r="341" spans="1:23" ht="13.15" customHeight="1" x14ac:dyDescent="0.2">
      <c r="A341" s="2" t="s">
        <v>2217</v>
      </c>
      <c r="B341" s="2">
        <f t="shared" si="10"/>
        <v>2019</v>
      </c>
      <c r="C341" s="2" t="str">
        <f t="shared" si="11"/>
        <v>EC101</v>
      </c>
      <c r="D341" s="1747">
        <v>1195</v>
      </c>
      <c r="E341" s="2">
        <v>27</v>
      </c>
      <c r="F341" s="2" t="s">
        <v>715</v>
      </c>
      <c r="G341" s="1757"/>
      <c r="H341" s="1757"/>
      <c r="I341" s="1757"/>
      <c r="J341" s="1757"/>
      <c r="K341" s="1757"/>
      <c r="L341" s="1757"/>
      <c r="M341" s="1757"/>
      <c r="N341" s="1757"/>
      <c r="O341" s="1757"/>
      <c r="P341" s="1757"/>
      <c r="Q341" s="2"/>
      <c r="R341" s="1757"/>
      <c r="S341" s="1757"/>
      <c r="T341" s="1757"/>
      <c r="U341" s="1757"/>
      <c r="V341" s="1757"/>
      <c r="W341" t="s">
        <v>2089</v>
      </c>
    </row>
    <row r="342" spans="1:23" ht="13.15" customHeight="1" x14ac:dyDescent="0.2">
      <c r="A342" s="2" t="s">
        <v>2217</v>
      </c>
      <c r="B342" s="2">
        <f t="shared" si="10"/>
        <v>2019</v>
      </c>
      <c r="C342" s="2" t="str">
        <f t="shared" si="11"/>
        <v>EC101</v>
      </c>
      <c r="D342" s="1747">
        <v>1196</v>
      </c>
      <c r="E342" s="2">
        <v>28</v>
      </c>
      <c r="F342" s="2" t="s">
        <v>114</v>
      </c>
      <c r="G342" s="1757"/>
      <c r="H342" s="1757"/>
      <c r="I342" s="1757"/>
      <c r="J342" s="1757"/>
      <c r="K342" s="1757"/>
      <c r="L342" s="1757"/>
      <c r="M342" s="1757"/>
      <c r="N342" s="1757"/>
      <c r="O342" s="1757"/>
      <c r="P342" s="1757"/>
      <c r="Q342" s="2"/>
      <c r="R342" s="1757"/>
      <c r="S342" s="1757"/>
      <c r="T342" s="1757"/>
      <c r="U342" s="1757"/>
      <c r="V342" s="1757"/>
      <c r="W342" t="s">
        <v>2089</v>
      </c>
    </row>
    <row r="343" spans="1:23" ht="13.15" customHeight="1" x14ac:dyDescent="0.2">
      <c r="A343" s="2" t="s">
        <v>2217</v>
      </c>
      <c r="B343" s="2">
        <f t="shared" si="10"/>
        <v>2019</v>
      </c>
      <c r="C343" s="2" t="str">
        <f t="shared" si="11"/>
        <v>EC101</v>
      </c>
      <c r="D343" s="1747"/>
      <c r="E343" s="2"/>
      <c r="F343" s="2"/>
      <c r="G343" s="1757"/>
      <c r="H343" s="1757"/>
      <c r="I343" s="1757"/>
      <c r="J343" s="1757"/>
      <c r="K343" s="1757"/>
      <c r="L343" s="1757"/>
      <c r="M343" s="1757"/>
      <c r="N343" s="1757"/>
      <c r="O343" s="1757"/>
      <c r="P343" s="1757"/>
      <c r="Q343" s="2"/>
      <c r="R343" s="2"/>
      <c r="S343" s="2"/>
      <c r="T343" s="2"/>
      <c r="U343" s="2"/>
      <c r="V343" s="2"/>
      <c r="W343" t="s">
        <v>2089</v>
      </c>
    </row>
    <row r="344" spans="1:23" ht="13.15" customHeight="1" x14ac:dyDescent="0.2">
      <c r="A344" s="2" t="s">
        <v>2217</v>
      </c>
      <c r="B344" s="2">
        <f t="shared" si="10"/>
        <v>2019</v>
      </c>
      <c r="C344" s="2" t="str">
        <f t="shared" si="11"/>
        <v>EC101</v>
      </c>
      <c r="D344" s="1747">
        <v>1200</v>
      </c>
      <c r="E344" s="2">
        <v>29</v>
      </c>
      <c r="F344" s="2" t="s">
        <v>2218</v>
      </c>
      <c r="G344" s="1757"/>
      <c r="H344" s="1757"/>
      <c r="I344" s="1757"/>
      <c r="J344" s="1757"/>
      <c r="K344" s="1757"/>
      <c r="L344" s="1757"/>
      <c r="M344" s="1757"/>
      <c r="N344" s="1757"/>
      <c r="O344" s="1757"/>
      <c r="P344" s="1757"/>
      <c r="Q344" s="2"/>
      <c r="R344" s="2"/>
      <c r="S344" s="2"/>
      <c r="T344" s="2"/>
      <c r="U344" s="2"/>
      <c r="V344" s="2"/>
      <c r="W344" t="s">
        <v>2089</v>
      </c>
    </row>
    <row r="345" spans="1:23" ht="13.15" customHeight="1" x14ac:dyDescent="0.2">
      <c r="A345" s="2" t="s">
        <v>2217</v>
      </c>
      <c r="B345" s="2">
        <f t="shared" si="10"/>
        <v>2019</v>
      </c>
      <c r="C345" s="2" t="str">
        <f t="shared" si="11"/>
        <v>EC101</v>
      </c>
      <c r="D345" s="1747">
        <v>1201</v>
      </c>
      <c r="E345" s="2">
        <v>30</v>
      </c>
      <c r="F345" s="2" t="s">
        <v>692</v>
      </c>
      <c r="G345" s="1757"/>
      <c r="H345" s="1757"/>
      <c r="I345" s="1757"/>
      <c r="J345" s="1757"/>
      <c r="K345" s="1757"/>
      <c r="L345" s="1757"/>
      <c r="M345" s="1757"/>
      <c r="N345" s="1757"/>
      <c r="O345" s="1757"/>
      <c r="P345" s="1757"/>
      <c r="Q345" s="2"/>
      <c r="R345" s="2"/>
      <c r="S345" s="2"/>
      <c r="T345" s="2"/>
      <c r="U345" s="2"/>
      <c r="V345" s="2"/>
      <c r="W345" t="s">
        <v>2089</v>
      </c>
    </row>
    <row r="346" spans="1:23" ht="13.15" customHeight="1" x14ac:dyDescent="0.2">
      <c r="A346" s="2" t="s">
        <v>2217</v>
      </c>
      <c r="B346" s="2">
        <f t="shared" si="10"/>
        <v>2019</v>
      </c>
      <c r="C346" s="2" t="str">
        <f t="shared" si="11"/>
        <v>EC101</v>
      </c>
      <c r="D346" s="1747">
        <v>1202</v>
      </c>
      <c r="E346" s="2">
        <v>31</v>
      </c>
      <c r="F346" s="2" t="s">
        <v>470</v>
      </c>
      <c r="G346" s="1757"/>
      <c r="H346" s="1757"/>
      <c r="I346" s="1757"/>
      <c r="J346" s="1757"/>
      <c r="K346" s="1757"/>
      <c r="L346" s="1757"/>
      <c r="M346" s="1757"/>
      <c r="N346" s="1757"/>
      <c r="O346" s="1757"/>
      <c r="P346" s="1757"/>
      <c r="Q346" s="2"/>
      <c r="R346" s="2"/>
      <c r="S346" s="2"/>
      <c r="T346" s="2"/>
      <c r="U346" s="2"/>
      <c r="V346" s="2"/>
      <c r="W346" t="s">
        <v>2089</v>
      </c>
    </row>
    <row r="347" spans="1:23" ht="13.15" customHeight="1" x14ac:dyDescent="0.2">
      <c r="A347" s="2" t="s">
        <v>2217</v>
      </c>
      <c r="B347" s="2">
        <f t="shared" si="10"/>
        <v>2019</v>
      </c>
      <c r="C347" s="2" t="str">
        <f t="shared" si="11"/>
        <v>EC101</v>
      </c>
      <c r="D347" s="1747">
        <v>1203</v>
      </c>
      <c r="E347" s="2">
        <v>32</v>
      </c>
      <c r="F347" s="2" t="s">
        <v>1385</v>
      </c>
      <c r="G347" s="1757"/>
      <c r="H347" s="1757"/>
      <c r="I347" s="1757"/>
      <c r="J347" s="1757"/>
      <c r="K347" s="1757"/>
      <c r="L347" s="1757"/>
      <c r="M347" s="1757"/>
      <c r="N347" s="1757"/>
      <c r="O347" s="1757"/>
      <c r="P347" s="1757"/>
      <c r="Q347" s="2"/>
      <c r="R347" s="2"/>
      <c r="S347" s="2"/>
      <c r="T347" s="2"/>
      <c r="U347" s="2"/>
      <c r="V347" s="2"/>
      <c r="W347" t="s">
        <v>2089</v>
      </c>
    </row>
    <row r="348" spans="1:23" ht="13.15" customHeight="1" x14ac:dyDescent="0.2">
      <c r="A348" s="2" t="s">
        <v>2217</v>
      </c>
      <c r="B348" s="2">
        <f t="shared" si="10"/>
        <v>2019</v>
      </c>
      <c r="C348" s="2" t="str">
        <f t="shared" si="11"/>
        <v>EC101</v>
      </c>
      <c r="D348" s="1747">
        <v>1207</v>
      </c>
      <c r="E348" s="2">
        <v>33</v>
      </c>
      <c r="F348" s="2" t="s">
        <v>1386</v>
      </c>
      <c r="G348" s="1757"/>
      <c r="H348" s="1757"/>
      <c r="I348" s="1757"/>
      <c r="J348" s="1757"/>
      <c r="K348" s="1757"/>
      <c r="L348" s="1757"/>
      <c r="M348" s="1757"/>
      <c r="N348" s="1757"/>
      <c r="O348" s="1757"/>
      <c r="P348" s="1757"/>
      <c r="Q348" s="2"/>
      <c r="R348" s="2"/>
      <c r="S348" s="2"/>
      <c r="T348" s="2"/>
      <c r="U348" s="2"/>
      <c r="V348" s="2"/>
      <c r="W348" t="s">
        <v>2089</v>
      </c>
    </row>
    <row r="349" spans="1:23" ht="13.15" customHeight="1" x14ac:dyDescent="0.2">
      <c r="A349" s="2" t="s">
        <v>2217</v>
      </c>
      <c r="B349" s="2">
        <f t="shared" si="10"/>
        <v>2019</v>
      </c>
      <c r="C349" s="2" t="str">
        <f t="shared" si="11"/>
        <v>EC101</v>
      </c>
      <c r="D349" s="1747">
        <v>1208</v>
      </c>
      <c r="E349" s="2">
        <v>34</v>
      </c>
      <c r="F349" s="2" t="s">
        <v>1387</v>
      </c>
      <c r="G349" s="1757"/>
      <c r="H349" s="1757"/>
      <c r="I349" s="1757"/>
      <c r="J349" s="1757"/>
      <c r="K349" s="1757"/>
      <c r="L349" s="1757"/>
      <c r="M349" s="1757"/>
      <c r="N349" s="1757"/>
      <c r="O349" s="1757"/>
      <c r="P349" s="1757"/>
      <c r="Q349" s="2"/>
      <c r="R349" s="2"/>
      <c r="S349" s="2"/>
      <c r="T349" s="2"/>
      <c r="U349" s="2"/>
      <c r="V349" s="2"/>
      <c r="W349" t="s">
        <v>2089</v>
      </c>
    </row>
    <row r="350" spans="1:23" ht="13.15" customHeight="1" x14ac:dyDescent="0.2">
      <c r="A350" s="2" t="s">
        <v>2217</v>
      </c>
      <c r="B350" s="2">
        <f t="shared" si="10"/>
        <v>2019</v>
      </c>
      <c r="C350" s="2" t="str">
        <f t="shared" si="11"/>
        <v>EC101</v>
      </c>
      <c r="D350" s="1747">
        <v>1204</v>
      </c>
      <c r="E350" s="2">
        <v>35</v>
      </c>
      <c r="F350" s="2" t="s">
        <v>713</v>
      </c>
      <c r="G350" s="1757"/>
      <c r="H350" s="1757"/>
      <c r="I350" s="1757"/>
      <c r="J350" s="1757"/>
      <c r="K350" s="1757"/>
      <c r="L350" s="1757"/>
      <c r="M350" s="1757"/>
      <c r="N350" s="1757"/>
      <c r="O350" s="1757"/>
      <c r="P350" s="1757"/>
      <c r="Q350" s="2"/>
      <c r="R350" s="2"/>
      <c r="S350" s="2"/>
      <c r="T350" s="2"/>
      <c r="U350" s="2"/>
      <c r="V350" s="2"/>
      <c r="W350" t="s">
        <v>2089</v>
      </c>
    </row>
    <row r="351" spans="1:23" ht="13.15" customHeight="1" x14ac:dyDescent="0.2">
      <c r="A351" s="2" t="s">
        <v>2217</v>
      </c>
      <c r="B351" s="2">
        <f t="shared" si="10"/>
        <v>2019</v>
      </c>
      <c r="C351" s="2" t="str">
        <f t="shared" si="11"/>
        <v>EC101</v>
      </c>
      <c r="D351" s="1747">
        <v>1205</v>
      </c>
      <c r="E351" s="2">
        <v>36</v>
      </c>
      <c r="F351" s="2" t="s">
        <v>836</v>
      </c>
      <c r="G351" s="1757"/>
      <c r="H351" s="1757"/>
      <c r="I351" s="1757"/>
      <c r="J351" s="1757"/>
      <c r="K351" s="1757"/>
      <c r="L351" s="1757"/>
      <c r="M351" s="1757"/>
      <c r="N351" s="1757"/>
      <c r="O351" s="1757"/>
      <c r="P351" s="1757"/>
      <c r="Q351" s="2"/>
      <c r="R351" s="2"/>
      <c r="S351" s="2"/>
      <c r="T351" s="2"/>
      <c r="U351" s="2"/>
      <c r="V351" s="2"/>
      <c r="W351" t="s">
        <v>2089</v>
      </c>
    </row>
    <row r="352" spans="1:23" ht="13.15" customHeight="1" x14ac:dyDescent="0.2">
      <c r="A352" s="2" t="s">
        <v>2217</v>
      </c>
      <c r="B352" s="2">
        <f t="shared" si="10"/>
        <v>2019</v>
      </c>
      <c r="C352" s="2" t="str">
        <f t="shared" si="11"/>
        <v>EC101</v>
      </c>
      <c r="D352" s="1747">
        <v>1206</v>
      </c>
      <c r="E352" s="2">
        <v>37</v>
      </c>
      <c r="F352" s="2" t="s">
        <v>574</v>
      </c>
      <c r="G352" s="1757"/>
      <c r="H352" s="1757"/>
      <c r="I352" s="1757"/>
      <c r="J352" s="1757"/>
      <c r="K352" s="1757"/>
      <c r="L352" s="1757"/>
      <c r="M352" s="1757"/>
      <c r="N352" s="1757"/>
      <c r="O352" s="1757"/>
      <c r="P352" s="1757"/>
      <c r="Q352" s="2"/>
      <c r="R352" s="2"/>
      <c r="S352" s="2"/>
      <c r="T352" s="2"/>
      <c r="U352" s="2"/>
      <c r="V352" s="2"/>
      <c r="W352" t="s">
        <v>2089</v>
      </c>
    </row>
    <row r="353" spans="1:23" ht="13.15" customHeight="1" x14ac:dyDescent="0.2">
      <c r="A353" s="2" t="s">
        <v>2217</v>
      </c>
      <c r="B353" s="2">
        <f t="shared" si="10"/>
        <v>2019</v>
      </c>
      <c r="C353" s="2" t="str">
        <f t="shared" si="11"/>
        <v>EC101</v>
      </c>
      <c r="D353" s="1747">
        <v>1209</v>
      </c>
      <c r="E353" s="2">
        <v>38</v>
      </c>
      <c r="F353" s="2" t="s">
        <v>246</v>
      </c>
      <c r="G353" s="1757"/>
      <c r="H353" s="1757"/>
      <c r="I353" s="1757"/>
      <c r="J353" s="1757"/>
      <c r="K353" s="1757"/>
      <c r="L353" s="1757"/>
      <c r="M353" s="1757"/>
      <c r="N353" s="1757"/>
      <c r="O353" s="1757"/>
      <c r="P353" s="1757"/>
      <c r="Q353" s="2"/>
      <c r="R353" s="2"/>
      <c r="S353" s="2"/>
      <c r="T353" s="2"/>
      <c r="U353" s="2"/>
      <c r="V353" s="2"/>
      <c r="W353" t="s">
        <v>2089</v>
      </c>
    </row>
    <row r="354" spans="1:23" ht="13.15" customHeight="1" x14ac:dyDescent="0.2">
      <c r="A354" s="2" t="s">
        <v>2217</v>
      </c>
      <c r="B354" s="2">
        <f t="shared" si="10"/>
        <v>2019</v>
      </c>
      <c r="C354" s="2" t="str">
        <f t="shared" si="11"/>
        <v>EC101</v>
      </c>
      <c r="D354" s="1747">
        <v>1290</v>
      </c>
      <c r="E354" s="2">
        <v>39</v>
      </c>
      <c r="F354" s="2" t="s">
        <v>118</v>
      </c>
      <c r="G354" s="1757"/>
      <c r="H354" s="1757"/>
      <c r="I354" s="1757"/>
      <c r="J354" s="1757"/>
      <c r="K354" s="1757"/>
      <c r="L354" s="1757"/>
      <c r="M354" s="1757"/>
      <c r="N354" s="1757"/>
      <c r="O354" s="1757"/>
      <c r="P354" s="1757"/>
      <c r="Q354" s="2"/>
      <c r="R354" s="1757"/>
      <c r="S354" s="1757"/>
      <c r="T354" s="1757"/>
      <c r="U354" s="1757"/>
      <c r="V354" s="1757"/>
      <c r="W354" t="s">
        <v>2089</v>
      </c>
    </row>
    <row r="355" spans="1:23" ht="13.15" customHeight="1" x14ac:dyDescent="0.2">
      <c r="A355" s="2" t="s">
        <v>2217</v>
      </c>
      <c r="B355" s="2">
        <f t="shared" si="10"/>
        <v>2019</v>
      </c>
      <c r="C355" s="2" t="str">
        <f t="shared" si="11"/>
        <v>EC101</v>
      </c>
      <c r="D355" s="1747">
        <v>1291</v>
      </c>
      <c r="E355" s="2">
        <v>40</v>
      </c>
      <c r="F355" s="2" t="s">
        <v>691</v>
      </c>
      <c r="G355" s="1757"/>
      <c r="H355" s="1757"/>
      <c r="I355" s="1757"/>
      <c r="J355" s="1757"/>
      <c r="K355" s="1757"/>
      <c r="L355" s="1757"/>
      <c r="M355" s="1757"/>
      <c r="N355" s="1757"/>
      <c r="O355" s="1757"/>
      <c r="P355" s="1757"/>
      <c r="Q355" s="2"/>
      <c r="R355" s="2"/>
      <c r="S355" s="2"/>
      <c r="T355" s="2"/>
      <c r="U355" s="2"/>
      <c r="V355" s="2"/>
      <c r="W355" t="s">
        <v>2089</v>
      </c>
    </row>
    <row r="356" spans="1:23" ht="13.15" customHeight="1" x14ac:dyDescent="0.2">
      <c r="A356" s="2" t="s">
        <v>2217</v>
      </c>
      <c r="B356" s="2">
        <f t="shared" si="10"/>
        <v>2019</v>
      </c>
      <c r="C356" s="2" t="str">
        <f t="shared" si="11"/>
        <v>EC101</v>
      </c>
      <c r="D356" s="1747">
        <v>1295</v>
      </c>
      <c r="E356" s="2">
        <v>41</v>
      </c>
      <c r="F356" s="2" t="s">
        <v>715</v>
      </c>
      <c r="G356" s="1757"/>
      <c r="H356" s="1757"/>
      <c r="I356" s="1757"/>
      <c r="J356" s="1757"/>
      <c r="K356" s="1757"/>
      <c r="L356" s="1757"/>
      <c r="M356" s="1757"/>
      <c r="N356" s="1757"/>
      <c r="O356" s="1757"/>
      <c r="P356" s="1757"/>
      <c r="Q356" s="2"/>
      <c r="R356" s="1757"/>
      <c r="S356" s="1757"/>
      <c r="T356" s="1757"/>
      <c r="U356" s="1757"/>
      <c r="V356" s="1757"/>
      <c r="W356" t="s">
        <v>2089</v>
      </c>
    </row>
    <row r="357" spans="1:23" ht="13.15" customHeight="1" x14ac:dyDescent="0.2">
      <c r="A357" s="2" t="s">
        <v>2217</v>
      </c>
      <c r="B357" s="2">
        <f t="shared" si="10"/>
        <v>2019</v>
      </c>
      <c r="C357" s="2" t="str">
        <f t="shared" si="11"/>
        <v>EC101</v>
      </c>
      <c r="D357" s="1747">
        <v>1296</v>
      </c>
      <c r="E357" s="2">
        <v>42</v>
      </c>
      <c r="F357" s="2" t="s">
        <v>114</v>
      </c>
      <c r="G357" s="1757"/>
      <c r="H357" s="1757"/>
      <c r="I357" s="1757"/>
      <c r="J357" s="1757"/>
      <c r="K357" s="1757"/>
      <c r="L357" s="1757"/>
      <c r="M357" s="1757"/>
      <c r="N357" s="1757"/>
      <c r="O357" s="1757"/>
      <c r="P357" s="1757"/>
      <c r="Q357" s="2"/>
      <c r="R357" s="1757"/>
      <c r="S357" s="1757"/>
      <c r="T357" s="1757"/>
      <c r="U357" s="1757"/>
      <c r="V357" s="1757"/>
      <c r="W357" t="s">
        <v>2089</v>
      </c>
    </row>
    <row r="358" spans="1:23" ht="13.15" customHeight="1" x14ac:dyDescent="0.2">
      <c r="A358" s="2" t="s">
        <v>2219</v>
      </c>
      <c r="B358" s="2">
        <f t="shared" si="10"/>
        <v>2019</v>
      </c>
      <c r="C358" s="2" t="str">
        <f t="shared" si="11"/>
        <v>EC101</v>
      </c>
      <c r="D358" s="1747">
        <v>1000</v>
      </c>
      <c r="E358" s="2">
        <v>1</v>
      </c>
      <c r="F358" s="2" t="s">
        <v>658</v>
      </c>
      <c r="G358" s="1745"/>
      <c r="H358" s="1745"/>
      <c r="I358" s="1745"/>
      <c r="J358" s="1745"/>
      <c r="K358" s="1745"/>
      <c r="L358" s="1745"/>
      <c r="M358" s="1745"/>
      <c r="N358" s="1745"/>
      <c r="O358" s="1745"/>
      <c r="P358" s="2"/>
      <c r="Q358" s="1745"/>
      <c r="R358" s="1745"/>
      <c r="S358" s="1745"/>
      <c r="T358" s="1745"/>
      <c r="U358" s="1745"/>
      <c r="V358" s="1745"/>
      <c r="W358" t="s">
        <v>2089</v>
      </c>
    </row>
    <row r="359" spans="1:23" ht="13.15" customHeight="1" x14ac:dyDescent="0.2">
      <c r="A359" s="2" t="s">
        <v>2219</v>
      </c>
      <c r="B359" s="2">
        <f t="shared" si="10"/>
        <v>2019</v>
      </c>
      <c r="C359" s="2" t="str">
        <f t="shared" si="11"/>
        <v>EC101</v>
      </c>
      <c r="D359" s="1747">
        <v>1001</v>
      </c>
      <c r="E359" s="2">
        <v>2</v>
      </c>
      <c r="F359" s="2" t="s">
        <v>1152</v>
      </c>
      <c r="G359" s="1745"/>
      <c r="H359" s="1745"/>
      <c r="I359" s="1745"/>
      <c r="J359" s="1745"/>
      <c r="K359" s="1745"/>
      <c r="L359" s="1745"/>
      <c r="M359" s="1745"/>
      <c r="N359" s="1745"/>
      <c r="O359" s="1745"/>
      <c r="P359" s="2"/>
      <c r="Q359" s="1745"/>
      <c r="R359" s="1745"/>
      <c r="S359" s="1745"/>
      <c r="T359" s="1745"/>
      <c r="U359" s="1745"/>
      <c r="V359" s="1745"/>
      <c r="W359" t="s">
        <v>2089</v>
      </c>
    </row>
    <row r="360" spans="1:23" ht="13.15" customHeight="1" x14ac:dyDescent="0.2">
      <c r="A360" s="2" t="s">
        <v>2219</v>
      </c>
      <c r="B360" s="2">
        <f t="shared" si="10"/>
        <v>2019</v>
      </c>
      <c r="C360" s="2" t="str">
        <f t="shared" si="11"/>
        <v>EC101</v>
      </c>
      <c r="D360" s="1747">
        <v>1002</v>
      </c>
      <c r="E360" s="2">
        <v>3</v>
      </c>
      <c r="F360" s="2" t="s">
        <v>1822</v>
      </c>
      <c r="G360" s="1745"/>
      <c r="H360" s="1745"/>
      <c r="I360" s="1745"/>
      <c r="J360" s="1745"/>
      <c r="K360" s="1745"/>
      <c r="L360" s="1745"/>
      <c r="M360" s="1745"/>
      <c r="N360" s="1745"/>
      <c r="O360" s="1745"/>
      <c r="P360" s="2"/>
      <c r="Q360" s="1745"/>
      <c r="R360" s="1745"/>
      <c r="S360" s="1745"/>
      <c r="T360" s="1745"/>
      <c r="U360" s="1745"/>
      <c r="V360" s="1745"/>
      <c r="W360" t="s">
        <v>2089</v>
      </c>
    </row>
    <row r="361" spans="1:23" ht="13.15" customHeight="1" x14ac:dyDescent="0.2">
      <c r="A361" s="2" t="s">
        <v>2219</v>
      </c>
      <c r="B361" s="2">
        <f t="shared" si="10"/>
        <v>2019</v>
      </c>
      <c r="C361" s="2" t="str">
        <f t="shared" si="11"/>
        <v>EC101</v>
      </c>
      <c r="D361" s="1747">
        <v>1003</v>
      </c>
      <c r="E361" s="2">
        <v>4</v>
      </c>
      <c r="F361" s="2" t="s">
        <v>659</v>
      </c>
      <c r="G361" s="1745"/>
      <c r="H361" s="1745"/>
      <c r="I361" s="1745"/>
      <c r="J361" s="1745"/>
      <c r="K361" s="1745"/>
      <c r="L361" s="1745"/>
      <c r="M361" s="1745"/>
      <c r="N361" s="1745"/>
      <c r="O361" s="1745"/>
      <c r="P361" s="2"/>
      <c r="Q361" s="1745"/>
      <c r="R361" s="1745"/>
      <c r="S361" s="1745"/>
      <c r="T361" s="1745"/>
      <c r="U361" s="1745"/>
      <c r="V361" s="1745"/>
      <c r="W361" t="s">
        <v>2089</v>
      </c>
    </row>
    <row r="362" spans="1:23" ht="13.15" customHeight="1" x14ac:dyDescent="0.2">
      <c r="A362" s="2" t="s">
        <v>2219</v>
      </c>
      <c r="B362" s="2">
        <f t="shared" si="10"/>
        <v>2019</v>
      </c>
      <c r="C362" s="2" t="str">
        <f t="shared" si="11"/>
        <v>EC101</v>
      </c>
      <c r="D362" s="1747">
        <v>1004</v>
      </c>
      <c r="E362" s="2">
        <v>5</v>
      </c>
      <c r="F362" s="2" t="s">
        <v>1970</v>
      </c>
      <c r="G362" s="1745"/>
      <c r="H362" s="1745"/>
      <c r="I362" s="1745"/>
      <c r="J362" s="1745"/>
      <c r="K362" s="1745"/>
      <c r="L362" s="1745"/>
      <c r="M362" s="1745"/>
      <c r="N362" s="1745"/>
      <c r="O362" s="1745"/>
      <c r="P362" s="2"/>
      <c r="Q362" s="1745"/>
      <c r="R362" s="1745"/>
      <c r="S362" s="1745"/>
      <c r="T362" s="1745"/>
      <c r="U362" s="1745"/>
      <c r="V362" s="1745"/>
      <c r="W362" t="s">
        <v>2089</v>
      </c>
    </row>
    <row r="363" spans="1:23" ht="13.15" customHeight="1" x14ac:dyDescent="0.2">
      <c r="A363" s="2" t="s">
        <v>2219</v>
      </c>
      <c r="B363" s="2">
        <f t="shared" si="10"/>
        <v>2019</v>
      </c>
      <c r="C363" s="2" t="str">
        <f t="shared" si="11"/>
        <v>EC101</v>
      </c>
      <c r="D363" s="1747">
        <v>1005</v>
      </c>
      <c r="E363" s="2">
        <v>6</v>
      </c>
      <c r="F363" s="2" t="s">
        <v>1823</v>
      </c>
      <c r="G363" s="1745"/>
      <c r="H363" s="1745"/>
      <c r="I363" s="1745"/>
      <c r="J363" s="1745"/>
      <c r="K363" s="1745"/>
      <c r="L363" s="1745"/>
      <c r="M363" s="1745"/>
      <c r="N363" s="1745"/>
      <c r="O363" s="1745"/>
      <c r="P363" s="2"/>
      <c r="Q363" s="1745"/>
      <c r="R363" s="1745"/>
      <c r="S363" s="1745"/>
      <c r="T363" s="1745"/>
      <c r="U363" s="1745"/>
      <c r="V363" s="1745"/>
      <c r="W363" t="s">
        <v>2089</v>
      </c>
    </row>
    <row r="364" spans="1:23" ht="13.15" customHeight="1" x14ac:dyDescent="0.2">
      <c r="A364" s="2" t="s">
        <v>2219</v>
      </c>
      <c r="B364" s="2">
        <f t="shared" si="10"/>
        <v>2019</v>
      </c>
      <c r="C364" s="2" t="str">
        <f t="shared" si="11"/>
        <v>EC101</v>
      </c>
      <c r="D364" s="1747">
        <v>1006</v>
      </c>
      <c r="E364" s="2">
        <v>7</v>
      </c>
      <c r="F364" s="2" t="s">
        <v>1971</v>
      </c>
      <c r="G364" s="1745"/>
      <c r="H364" s="1745"/>
      <c r="I364" s="1745"/>
      <c r="J364" s="1745"/>
      <c r="K364" s="1745"/>
      <c r="L364" s="1745"/>
      <c r="M364" s="1745"/>
      <c r="N364" s="1745"/>
      <c r="O364" s="1745"/>
      <c r="P364" s="2"/>
      <c r="Q364" s="1745"/>
      <c r="R364" s="1745"/>
      <c r="S364" s="1745"/>
      <c r="T364" s="1745"/>
      <c r="U364" s="1745"/>
      <c r="V364" s="1745"/>
      <c r="W364" t="s">
        <v>2089</v>
      </c>
    </row>
    <row r="365" spans="1:23" ht="13.15" customHeight="1" x14ac:dyDescent="0.2">
      <c r="A365" s="2" t="s">
        <v>2219</v>
      </c>
      <c r="B365" s="2">
        <f t="shared" si="10"/>
        <v>2019</v>
      </c>
      <c r="C365" s="2" t="str">
        <f t="shared" si="11"/>
        <v>EC101</v>
      </c>
      <c r="D365" s="1747">
        <v>1007</v>
      </c>
      <c r="E365" s="2">
        <v>8</v>
      </c>
      <c r="F365" s="2" t="s">
        <v>1364</v>
      </c>
      <c r="G365" s="1745"/>
      <c r="H365" s="1745"/>
      <c r="I365" s="1745"/>
      <c r="J365" s="1745"/>
      <c r="K365" s="1745"/>
      <c r="L365" s="1745"/>
      <c r="M365" s="1745"/>
      <c r="N365" s="1745"/>
      <c r="O365" s="1745"/>
      <c r="P365" s="2"/>
      <c r="Q365" s="1745"/>
      <c r="R365" s="1745"/>
      <c r="S365" s="1745"/>
      <c r="T365" s="1745"/>
      <c r="U365" s="1745"/>
      <c r="V365" s="1745"/>
      <c r="W365" t="s">
        <v>2089</v>
      </c>
    </row>
    <row r="366" spans="1:23" ht="13.15" customHeight="1" x14ac:dyDescent="0.2">
      <c r="A366" s="2" t="s">
        <v>2219</v>
      </c>
      <c r="B366" s="2">
        <f t="shared" si="10"/>
        <v>2019</v>
      </c>
      <c r="C366" s="2" t="str">
        <f t="shared" si="11"/>
        <v>EC101</v>
      </c>
      <c r="D366" s="1747">
        <v>1090</v>
      </c>
      <c r="E366" s="2">
        <v>9</v>
      </c>
      <c r="F366" s="2" t="s">
        <v>660</v>
      </c>
      <c r="G366" s="1745"/>
      <c r="H366" s="1745"/>
      <c r="I366" s="1745"/>
      <c r="J366" s="1745"/>
      <c r="K366" s="1745"/>
      <c r="L366" s="1745"/>
      <c r="M366" s="1745"/>
      <c r="N366" s="1745"/>
      <c r="O366" s="1745"/>
      <c r="P366" s="2"/>
      <c r="Q366" s="1745"/>
      <c r="R366" s="1745"/>
      <c r="S366" s="1745"/>
      <c r="T366" s="1745"/>
      <c r="U366" s="1745"/>
      <c r="V366" s="1745"/>
      <c r="W366" t="s">
        <v>2089</v>
      </c>
    </row>
    <row r="367" spans="1:23" ht="13.15" customHeight="1" x14ac:dyDescent="0.2">
      <c r="A367" s="2" t="s">
        <v>2219</v>
      </c>
      <c r="B367" s="2">
        <f t="shared" si="10"/>
        <v>2019</v>
      </c>
      <c r="C367" s="2" t="str">
        <f t="shared" si="11"/>
        <v>EC101</v>
      </c>
      <c r="D367" s="1747">
        <v>1091</v>
      </c>
      <c r="E367" s="2">
        <v>10</v>
      </c>
      <c r="F367" s="2" t="s">
        <v>807</v>
      </c>
      <c r="G367" s="1762"/>
      <c r="H367" s="1762"/>
      <c r="I367" s="1762"/>
      <c r="J367" s="1762"/>
      <c r="K367" s="1762"/>
      <c r="L367" s="1762"/>
      <c r="M367" s="1762"/>
      <c r="N367" s="1762"/>
      <c r="O367" s="1762"/>
      <c r="P367" s="2"/>
      <c r="Q367" s="1745"/>
      <c r="R367" s="1745"/>
      <c r="S367" s="1745"/>
      <c r="T367" s="1745"/>
      <c r="U367" s="1745"/>
      <c r="V367" s="1745"/>
      <c r="W367" t="s">
        <v>2089</v>
      </c>
    </row>
    <row r="368" spans="1:23" ht="13.15" customHeight="1" x14ac:dyDescent="0.2">
      <c r="A368" s="2" t="s">
        <v>2219</v>
      </c>
      <c r="B368" s="2">
        <f t="shared" si="10"/>
        <v>2019</v>
      </c>
      <c r="C368" s="2" t="str">
        <f t="shared" si="11"/>
        <v>EC101</v>
      </c>
      <c r="D368" s="1747"/>
      <c r="E368" s="2"/>
      <c r="F368" s="2"/>
      <c r="G368" s="1745"/>
      <c r="H368" s="1745"/>
      <c r="I368" s="1745"/>
      <c r="J368" s="1745"/>
      <c r="K368" s="1745"/>
      <c r="L368" s="1745"/>
      <c r="M368" s="1745"/>
      <c r="N368" s="1745"/>
      <c r="O368" s="1745"/>
      <c r="P368" s="2"/>
      <c r="Q368" s="1745"/>
      <c r="R368" s="1745"/>
      <c r="S368" s="1745"/>
      <c r="T368" s="1745"/>
      <c r="U368" s="1745"/>
      <c r="V368" s="1745"/>
      <c r="W368" t="s">
        <v>2089</v>
      </c>
    </row>
    <row r="369" spans="1:23" ht="13.15" customHeight="1" x14ac:dyDescent="0.2">
      <c r="A369" s="2" t="s">
        <v>2219</v>
      </c>
      <c r="B369" s="2">
        <f t="shared" si="10"/>
        <v>2019</v>
      </c>
      <c r="C369" s="2" t="str">
        <f t="shared" si="11"/>
        <v>EC101</v>
      </c>
      <c r="D369" s="1747">
        <v>1100</v>
      </c>
      <c r="E369" s="2">
        <v>11</v>
      </c>
      <c r="F369" s="2" t="s">
        <v>1151</v>
      </c>
      <c r="G369" s="1745"/>
      <c r="H369" s="1745"/>
      <c r="I369" s="1745"/>
      <c r="J369" s="1745"/>
      <c r="K369" s="1745"/>
      <c r="L369" s="1745"/>
      <c r="M369" s="1745"/>
      <c r="N369" s="1745"/>
      <c r="O369" s="1745"/>
      <c r="P369" s="2"/>
      <c r="Q369" s="1745"/>
      <c r="R369" s="1745"/>
      <c r="S369" s="1745"/>
      <c r="T369" s="1745"/>
      <c r="U369" s="1745"/>
      <c r="V369" s="1745"/>
      <c r="W369" t="s">
        <v>2089</v>
      </c>
    </row>
    <row r="370" spans="1:23" ht="13.15" customHeight="1" x14ac:dyDescent="0.2">
      <c r="A370" s="2" t="s">
        <v>2219</v>
      </c>
      <c r="B370" s="2">
        <f t="shared" si="10"/>
        <v>2019</v>
      </c>
      <c r="C370" s="2" t="str">
        <f t="shared" si="11"/>
        <v>EC101</v>
      </c>
      <c r="D370" s="1747">
        <v>1101</v>
      </c>
      <c r="E370" s="2">
        <v>12</v>
      </c>
      <c r="F370" s="2" t="s">
        <v>1152</v>
      </c>
      <c r="G370" s="1745"/>
      <c r="H370" s="1745"/>
      <c r="I370" s="1745"/>
      <c r="J370" s="1745"/>
      <c r="K370" s="1745"/>
      <c r="L370" s="1745"/>
      <c r="M370" s="1745"/>
      <c r="N370" s="1745"/>
      <c r="O370" s="1745"/>
      <c r="P370" s="2"/>
      <c r="Q370" s="1745"/>
      <c r="R370" s="1745"/>
      <c r="S370" s="1745"/>
      <c r="T370" s="1745"/>
      <c r="U370" s="1745"/>
      <c r="V370" s="1745"/>
      <c r="W370" t="s">
        <v>2089</v>
      </c>
    </row>
    <row r="371" spans="1:23" ht="13.15" customHeight="1" x14ac:dyDescent="0.2">
      <c r="A371" s="2" t="s">
        <v>2219</v>
      </c>
      <c r="B371" s="2">
        <f t="shared" si="10"/>
        <v>2019</v>
      </c>
      <c r="C371" s="2" t="str">
        <f t="shared" si="11"/>
        <v>EC101</v>
      </c>
      <c r="D371" s="1747">
        <v>1102</v>
      </c>
      <c r="E371" s="2">
        <v>13</v>
      </c>
      <c r="F371" s="2" t="s">
        <v>1822</v>
      </c>
      <c r="G371" s="1745"/>
      <c r="H371" s="1745"/>
      <c r="I371" s="1745"/>
      <c r="J371" s="1745"/>
      <c r="K371" s="1745"/>
      <c r="L371" s="1745"/>
      <c r="M371" s="1745"/>
      <c r="N371" s="1745"/>
      <c r="O371" s="1745"/>
      <c r="P371" s="2"/>
      <c r="Q371" s="1745"/>
      <c r="R371" s="1745"/>
      <c r="S371" s="1745"/>
      <c r="T371" s="1745"/>
      <c r="U371" s="1745"/>
      <c r="V371" s="1745"/>
      <c r="W371" t="s">
        <v>2089</v>
      </c>
    </row>
    <row r="372" spans="1:23" ht="13.15" customHeight="1" x14ac:dyDescent="0.2">
      <c r="A372" s="2" t="s">
        <v>2219</v>
      </c>
      <c r="B372" s="2">
        <f t="shared" si="10"/>
        <v>2019</v>
      </c>
      <c r="C372" s="2" t="str">
        <f t="shared" si="11"/>
        <v>EC101</v>
      </c>
      <c r="D372" s="1747">
        <v>1103</v>
      </c>
      <c r="E372" s="2">
        <v>14</v>
      </c>
      <c r="F372" s="2" t="s">
        <v>659</v>
      </c>
      <c r="G372" s="1745"/>
      <c r="H372" s="1745"/>
      <c r="I372" s="1745"/>
      <c r="J372" s="1745"/>
      <c r="K372" s="1745"/>
      <c r="L372" s="1745"/>
      <c r="M372" s="1745"/>
      <c r="N372" s="1745"/>
      <c r="O372" s="1745"/>
      <c r="P372" s="2"/>
      <c r="Q372" s="1745"/>
      <c r="R372" s="1745"/>
      <c r="S372" s="1745"/>
      <c r="T372" s="1745"/>
      <c r="U372" s="1745"/>
      <c r="V372" s="1745"/>
      <c r="W372" t="s">
        <v>2089</v>
      </c>
    </row>
    <row r="373" spans="1:23" ht="13.15" customHeight="1" x14ac:dyDescent="0.2">
      <c r="A373" s="2" t="s">
        <v>2219</v>
      </c>
      <c r="B373" s="2">
        <f t="shared" si="10"/>
        <v>2019</v>
      </c>
      <c r="C373" s="2" t="str">
        <f t="shared" si="11"/>
        <v>EC101</v>
      </c>
      <c r="D373" s="1747">
        <v>1110</v>
      </c>
      <c r="E373" s="2">
        <v>15</v>
      </c>
      <c r="F373" s="2" t="s">
        <v>961</v>
      </c>
      <c r="G373" s="1745"/>
      <c r="H373" s="1745"/>
      <c r="I373" s="1745"/>
      <c r="J373" s="1745"/>
      <c r="K373" s="1745"/>
      <c r="L373" s="1745"/>
      <c r="M373" s="1745"/>
      <c r="N373" s="1745"/>
      <c r="O373" s="1745"/>
      <c r="P373" s="2"/>
      <c r="Q373" s="1745"/>
      <c r="R373" s="1745"/>
      <c r="S373" s="1745"/>
      <c r="T373" s="1745"/>
      <c r="U373" s="1745"/>
      <c r="V373" s="1745"/>
      <c r="W373" t="s">
        <v>2089</v>
      </c>
    </row>
    <row r="374" spans="1:23" ht="13.15" customHeight="1" x14ac:dyDescent="0.2">
      <c r="A374" s="2" t="s">
        <v>2219</v>
      </c>
      <c r="B374" s="2">
        <f t="shared" si="10"/>
        <v>2019</v>
      </c>
      <c r="C374" s="2" t="str">
        <f t="shared" si="11"/>
        <v>EC101</v>
      </c>
      <c r="D374" s="1747">
        <v>1107</v>
      </c>
      <c r="E374" s="2">
        <v>16</v>
      </c>
      <c r="F374" s="2" t="s">
        <v>661</v>
      </c>
      <c r="G374" s="1745"/>
      <c r="H374" s="1745"/>
      <c r="I374" s="1745"/>
      <c r="J374" s="1745"/>
      <c r="K374" s="1745"/>
      <c r="L374" s="1745"/>
      <c r="M374" s="1745"/>
      <c r="N374" s="1745"/>
      <c r="O374" s="1745"/>
      <c r="P374" s="2"/>
      <c r="Q374" s="1745"/>
      <c r="R374" s="1745"/>
      <c r="S374" s="1745"/>
      <c r="T374" s="1745"/>
      <c r="U374" s="1745"/>
      <c r="V374" s="1745"/>
      <c r="W374" t="s">
        <v>2089</v>
      </c>
    </row>
    <row r="375" spans="1:23" ht="13.15" customHeight="1" x14ac:dyDescent="0.2">
      <c r="A375" s="2" t="s">
        <v>2219</v>
      </c>
      <c r="B375" s="2">
        <f t="shared" si="10"/>
        <v>2019</v>
      </c>
      <c r="C375" s="2" t="str">
        <f t="shared" si="11"/>
        <v>EC101</v>
      </c>
      <c r="D375" s="1747">
        <v>1104</v>
      </c>
      <c r="E375" s="2">
        <v>17</v>
      </c>
      <c r="F375" s="2" t="s">
        <v>1970</v>
      </c>
      <c r="G375" s="1745"/>
      <c r="H375" s="1745"/>
      <c r="I375" s="1745"/>
      <c r="J375" s="1745"/>
      <c r="K375" s="1745"/>
      <c r="L375" s="1745"/>
      <c r="M375" s="1745"/>
      <c r="N375" s="1745"/>
      <c r="O375" s="1745"/>
      <c r="P375" s="2"/>
      <c r="Q375" s="1745"/>
      <c r="R375" s="1745"/>
      <c r="S375" s="1745"/>
      <c r="T375" s="1745"/>
      <c r="U375" s="1745"/>
      <c r="V375" s="1745"/>
      <c r="W375" t="s">
        <v>2089</v>
      </c>
    </row>
    <row r="376" spans="1:23" ht="13.15" customHeight="1" x14ac:dyDescent="0.2">
      <c r="A376" s="2" t="s">
        <v>2219</v>
      </c>
      <c r="B376" s="2">
        <f t="shared" si="10"/>
        <v>2019</v>
      </c>
      <c r="C376" s="2" t="str">
        <f t="shared" si="11"/>
        <v>EC101</v>
      </c>
      <c r="D376" s="1747">
        <v>1105</v>
      </c>
      <c r="E376" s="2">
        <v>18</v>
      </c>
      <c r="F376" s="2" t="s">
        <v>1823</v>
      </c>
      <c r="G376" s="1745"/>
      <c r="H376" s="1745"/>
      <c r="I376" s="1745"/>
      <c r="J376" s="1745"/>
      <c r="K376" s="1745"/>
      <c r="L376" s="1745"/>
      <c r="M376" s="1745"/>
      <c r="N376" s="1745"/>
      <c r="O376" s="1745"/>
      <c r="P376" s="2"/>
      <c r="Q376" s="1745"/>
      <c r="R376" s="1745"/>
      <c r="S376" s="1745"/>
      <c r="T376" s="1745"/>
      <c r="U376" s="1745"/>
      <c r="V376" s="1745"/>
      <c r="W376" t="s">
        <v>2089</v>
      </c>
    </row>
    <row r="377" spans="1:23" ht="13.15" customHeight="1" x14ac:dyDescent="0.2">
      <c r="A377" s="2" t="s">
        <v>2219</v>
      </c>
      <c r="B377" s="2">
        <f t="shared" si="10"/>
        <v>2019</v>
      </c>
      <c r="C377" s="2" t="str">
        <f t="shared" si="11"/>
        <v>EC101</v>
      </c>
      <c r="D377" s="1747">
        <v>1106</v>
      </c>
      <c r="E377" s="2">
        <v>19</v>
      </c>
      <c r="F377" s="2" t="s">
        <v>1971</v>
      </c>
      <c r="G377" s="1745"/>
      <c r="H377" s="1745"/>
      <c r="I377" s="1745"/>
      <c r="J377" s="1745"/>
      <c r="K377" s="1745"/>
      <c r="L377" s="1745"/>
      <c r="M377" s="1745"/>
      <c r="N377" s="1745"/>
      <c r="O377" s="1745"/>
      <c r="P377" s="2"/>
      <c r="Q377" s="1745"/>
      <c r="R377" s="1745"/>
      <c r="S377" s="1745"/>
      <c r="T377" s="1745"/>
      <c r="U377" s="1745"/>
      <c r="V377" s="1745"/>
      <c r="W377" t="s">
        <v>2089</v>
      </c>
    </row>
    <row r="378" spans="1:23" ht="13.15" customHeight="1" x14ac:dyDescent="0.2">
      <c r="A378" s="2" t="s">
        <v>2219</v>
      </c>
      <c r="B378" s="2">
        <f t="shared" si="10"/>
        <v>2019</v>
      </c>
      <c r="C378" s="2" t="str">
        <f t="shared" si="11"/>
        <v>EC101</v>
      </c>
      <c r="D378" s="1747">
        <v>1108</v>
      </c>
      <c r="E378" s="2">
        <v>20</v>
      </c>
      <c r="F378" s="2" t="s">
        <v>1364</v>
      </c>
      <c r="G378" s="1745"/>
      <c r="H378" s="1745"/>
      <c r="I378" s="1745"/>
      <c r="J378" s="1745"/>
      <c r="K378" s="1745"/>
      <c r="L378" s="1745"/>
      <c r="M378" s="1745"/>
      <c r="N378" s="1745"/>
      <c r="O378" s="1745"/>
      <c r="P378" s="2"/>
      <c r="Q378" s="1745"/>
      <c r="R378" s="1745"/>
      <c r="S378" s="1745"/>
      <c r="T378" s="1745"/>
      <c r="U378" s="1745"/>
      <c r="V378" s="1745"/>
      <c r="W378" t="s">
        <v>2089</v>
      </c>
    </row>
    <row r="379" spans="1:23" ht="13.15" customHeight="1" x14ac:dyDescent="0.2">
      <c r="A379" s="2" t="s">
        <v>2219</v>
      </c>
      <c r="B379" s="2">
        <f t="shared" si="10"/>
        <v>2019</v>
      </c>
      <c r="C379" s="2" t="str">
        <f t="shared" si="11"/>
        <v>EC101</v>
      </c>
      <c r="D379" s="1747">
        <v>1111</v>
      </c>
      <c r="E379" s="2">
        <v>21</v>
      </c>
      <c r="F379" s="2" t="s">
        <v>1477</v>
      </c>
      <c r="G379" s="1745"/>
      <c r="H379" s="1745"/>
      <c r="I379" s="1745"/>
      <c r="J379" s="1745"/>
      <c r="K379" s="1745"/>
      <c r="L379" s="1745"/>
      <c r="M379" s="1745"/>
      <c r="N379" s="1745"/>
      <c r="O379" s="1745"/>
      <c r="P379" s="2"/>
      <c r="Q379" s="1745"/>
      <c r="R379" s="1745"/>
      <c r="S379" s="1745"/>
      <c r="T379" s="1745"/>
      <c r="U379" s="1745"/>
      <c r="V379" s="1745"/>
      <c r="W379" t="s">
        <v>2089</v>
      </c>
    </row>
    <row r="380" spans="1:23" ht="13.15" customHeight="1" x14ac:dyDescent="0.2">
      <c r="A380" s="2" t="s">
        <v>2219</v>
      </c>
      <c r="B380" s="2">
        <f t="shared" si="10"/>
        <v>2019</v>
      </c>
      <c r="C380" s="2" t="str">
        <f t="shared" si="11"/>
        <v>EC101</v>
      </c>
      <c r="D380" s="1747">
        <v>1112</v>
      </c>
      <c r="E380" s="2">
        <v>22</v>
      </c>
      <c r="F380" s="2" t="s">
        <v>962</v>
      </c>
      <c r="G380" s="1745"/>
      <c r="H380" s="1745"/>
      <c r="I380" s="1745"/>
      <c r="J380" s="1745"/>
      <c r="K380" s="1745"/>
      <c r="L380" s="1745"/>
      <c r="M380" s="1745"/>
      <c r="N380" s="1745"/>
      <c r="O380" s="1745"/>
      <c r="P380" s="2"/>
      <c r="Q380" s="1745"/>
      <c r="R380" s="1745"/>
      <c r="S380" s="1745"/>
      <c r="T380" s="1745"/>
      <c r="U380" s="1745"/>
      <c r="V380" s="1745"/>
      <c r="W380" t="s">
        <v>2089</v>
      </c>
    </row>
    <row r="381" spans="1:23" ht="13.15" customHeight="1" x14ac:dyDescent="0.2">
      <c r="A381" s="2" t="s">
        <v>2219</v>
      </c>
      <c r="B381" s="2">
        <f t="shared" si="10"/>
        <v>2019</v>
      </c>
      <c r="C381" s="2" t="str">
        <f t="shared" si="11"/>
        <v>EC101</v>
      </c>
      <c r="D381" s="1747">
        <v>1113</v>
      </c>
      <c r="E381" s="2">
        <v>23</v>
      </c>
      <c r="F381" s="2" t="s">
        <v>1478</v>
      </c>
      <c r="G381" s="1745"/>
      <c r="H381" s="1745"/>
      <c r="I381" s="1745"/>
      <c r="J381" s="1745"/>
      <c r="K381" s="1745"/>
      <c r="L381" s="1745"/>
      <c r="M381" s="1745"/>
      <c r="N381" s="1745"/>
      <c r="O381" s="1745"/>
      <c r="P381" s="2"/>
      <c r="Q381" s="1745"/>
      <c r="R381" s="1745"/>
      <c r="S381" s="1745"/>
      <c r="T381" s="1745"/>
      <c r="U381" s="1745"/>
      <c r="V381" s="1745"/>
      <c r="W381" t="s">
        <v>2089</v>
      </c>
    </row>
    <row r="382" spans="1:23" ht="13.15" customHeight="1" x14ac:dyDescent="0.2">
      <c r="A382" s="2" t="s">
        <v>2219</v>
      </c>
      <c r="B382" s="2">
        <f t="shared" si="10"/>
        <v>2019</v>
      </c>
      <c r="C382" s="2" t="str">
        <f t="shared" si="11"/>
        <v>EC101</v>
      </c>
      <c r="D382" s="1747">
        <v>1190</v>
      </c>
      <c r="E382" s="2">
        <v>24</v>
      </c>
      <c r="F382" s="2" t="s">
        <v>662</v>
      </c>
      <c r="G382" s="1745"/>
      <c r="H382" s="1745"/>
      <c r="I382" s="1745"/>
      <c r="J382" s="1745"/>
      <c r="K382" s="1745"/>
      <c r="L382" s="1745"/>
      <c r="M382" s="1745"/>
      <c r="N382" s="1745"/>
      <c r="O382" s="1745"/>
      <c r="P382" s="2"/>
      <c r="Q382" s="1745"/>
      <c r="R382" s="1745"/>
      <c r="S382" s="1745"/>
      <c r="T382" s="1745"/>
      <c r="U382" s="1745"/>
      <c r="V382" s="1745"/>
      <c r="W382" t="s">
        <v>2089</v>
      </c>
    </row>
    <row r="383" spans="1:23" ht="13.15" customHeight="1" x14ac:dyDescent="0.2">
      <c r="A383" s="2" t="s">
        <v>2219</v>
      </c>
      <c r="B383" s="2">
        <f t="shared" si="10"/>
        <v>2019</v>
      </c>
      <c r="C383" s="2" t="str">
        <f t="shared" si="11"/>
        <v>EC101</v>
      </c>
      <c r="D383" s="1747">
        <v>1191</v>
      </c>
      <c r="E383" s="2">
        <v>25</v>
      </c>
      <c r="F383" s="2" t="s">
        <v>807</v>
      </c>
      <c r="G383" s="1762"/>
      <c r="H383" s="1762"/>
      <c r="I383" s="1762"/>
      <c r="J383" s="1762"/>
      <c r="K383" s="1762"/>
      <c r="L383" s="1762"/>
      <c r="M383" s="1762"/>
      <c r="N383" s="1762"/>
      <c r="O383" s="1762"/>
      <c r="P383" s="2"/>
      <c r="Q383" s="1745"/>
      <c r="R383" s="1745"/>
      <c r="S383" s="1745"/>
      <c r="T383" s="1745"/>
      <c r="U383" s="1745"/>
      <c r="V383" s="1745"/>
      <c r="W383" t="s">
        <v>2089</v>
      </c>
    </row>
    <row r="384" spans="1:23" ht="13.15" customHeight="1" x14ac:dyDescent="0.2">
      <c r="A384" s="2" t="s">
        <v>2219</v>
      </c>
      <c r="B384" s="2">
        <f t="shared" si="10"/>
        <v>2019</v>
      </c>
      <c r="C384" s="2" t="str">
        <f t="shared" si="11"/>
        <v>EC101</v>
      </c>
      <c r="D384" s="1747"/>
      <c r="E384" s="2"/>
      <c r="F384" s="2"/>
      <c r="G384" s="1745"/>
      <c r="H384" s="1745"/>
      <c r="I384" s="1745"/>
      <c r="J384" s="1745"/>
      <c r="K384" s="1745"/>
      <c r="L384" s="1745"/>
      <c r="M384" s="1745"/>
      <c r="N384" s="1745"/>
      <c r="O384" s="1745"/>
      <c r="P384" s="2"/>
      <c r="Q384" s="1745"/>
      <c r="R384" s="1745"/>
      <c r="S384" s="1745"/>
      <c r="T384" s="1745"/>
      <c r="U384" s="1745"/>
      <c r="V384" s="1745"/>
      <c r="W384" t="s">
        <v>2089</v>
      </c>
    </row>
    <row r="385" spans="1:23" ht="13.15" customHeight="1" x14ac:dyDescent="0.2">
      <c r="A385" s="2" t="s">
        <v>2219</v>
      </c>
      <c r="B385" s="2">
        <f t="shared" si="10"/>
        <v>2019</v>
      </c>
      <c r="C385" s="2" t="str">
        <f t="shared" si="11"/>
        <v>EC101</v>
      </c>
      <c r="D385" s="1747">
        <v>1200</v>
      </c>
      <c r="E385" s="2">
        <v>26</v>
      </c>
      <c r="F385" s="2" t="s">
        <v>663</v>
      </c>
      <c r="G385" s="1745"/>
      <c r="H385" s="1745"/>
      <c r="I385" s="1745"/>
      <c r="J385" s="1745"/>
      <c r="K385" s="1745"/>
      <c r="L385" s="1745"/>
      <c r="M385" s="1745"/>
      <c r="N385" s="1745"/>
      <c r="O385" s="1745"/>
      <c r="P385" s="2"/>
      <c r="Q385" s="1745"/>
      <c r="R385" s="1745"/>
      <c r="S385" s="1745"/>
      <c r="T385" s="1745"/>
      <c r="U385" s="1745"/>
      <c r="V385" s="1745"/>
      <c r="W385" t="s">
        <v>2089</v>
      </c>
    </row>
    <row r="386" spans="1:23" ht="13.15" customHeight="1" x14ac:dyDescent="0.2">
      <c r="A386" s="2" t="s">
        <v>2219</v>
      </c>
      <c r="B386" s="2">
        <f t="shared" ref="B386:B449" si="12">+MTREF</f>
        <v>2019</v>
      </c>
      <c r="C386" s="2" t="str">
        <f t="shared" ref="C386:C449" si="13">LEFT(muni,(FIND(" ",muni,1)-1))</f>
        <v>EC101</v>
      </c>
      <c r="D386" s="1747">
        <v>1201</v>
      </c>
      <c r="E386" s="2">
        <v>27</v>
      </c>
      <c r="F386" s="2" t="s">
        <v>1152</v>
      </c>
      <c r="G386" s="1745"/>
      <c r="H386" s="1745"/>
      <c r="I386" s="1745"/>
      <c r="J386" s="1745"/>
      <c r="K386" s="1745"/>
      <c r="L386" s="1745"/>
      <c r="M386" s="1745"/>
      <c r="N386" s="1745"/>
      <c r="O386" s="1745"/>
      <c r="P386" s="2"/>
      <c r="Q386" s="1745"/>
      <c r="R386" s="1745"/>
      <c r="S386" s="1745"/>
      <c r="T386" s="1745"/>
      <c r="U386" s="1745"/>
      <c r="V386" s="1745"/>
      <c r="W386" t="s">
        <v>2089</v>
      </c>
    </row>
    <row r="387" spans="1:23" ht="13.15" customHeight="1" x14ac:dyDescent="0.2">
      <c r="A387" s="2" t="s">
        <v>2219</v>
      </c>
      <c r="B387" s="2">
        <f t="shared" si="12"/>
        <v>2019</v>
      </c>
      <c r="C387" s="2" t="str">
        <f t="shared" si="13"/>
        <v>EC101</v>
      </c>
      <c r="D387" s="1747">
        <v>1202</v>
      </c>
      <c r="E387" s="2">
        <v>28</v>
      </c>
      <c r="F387" s="2" t="s">
        <v>1822</v>
      </c>
      <c r="G387" s="1745"/>
      <c r="H387" s="1745"/>
      <c r="I387" s="1745"/>
      <c r="J387" s="1745"/>
      <c r="K387" s="1745"/>
      <c r="L387" s="1745"/>
      <c r="M387" s="1745"/>
      <c r="N387" s="1745"/>
      <c r="O387" s="1745"/>
      <c r="P387" s="2"/>
      <c r="Q387" s="1745"/>
      <c r="R387" s="1745"/>
      <c r="S387" s="1745"/>
      <c r="T387" s="1745"/>
      <c r="U387" s="1745"/>
      <c r="V387" s="1745"/>
      <c r="W387" t="s">
        <v>2089</v>
      </c>
    </row>
    <row r="388" spans="1:23" ht="13.15" customHeight="1" x14ac:dyDescent="0.2">
      <c r="A388" s="2" t="s">
        <v>2219</v>
      </c>
      <c r="B388" s="2">
        <f t="shared" si="12"/>
        <v>2019</v>
      </c>
      <c r="C388" s="2" t="str">
        <f t="shared" si="13"/>
        <v>EC101</v>
      </c>
      <c r="D388" s="1747">
        <v>1203</v>
      </c>
      <c r="E388" s="2">
        <v>29</v>
      </c>
      <c r="F388" s="2" t="s">
        <v>659</v>
      </c>
      <c r="G388" s="1745"/>
      <c r="H388" s="1745"/>
      <c r="I388" s="1745"/>
      <c r="J388" s="1745"/>
      <c r="K388" s="1745"/>
      <c r="L388" s="1745"/>
      <c r="M388" s="1745"/>
      <c r="N388" s="1745"/>
      <c r="O388" s="1745"/>
      <c r="P388" s="2"/>
      <c r="Q388" s="1745"/>
      <c r="R388" s="1745"/>
      <c r="S388" s="1745"/>
      <c r="T388" s="1745"/>
      <c r="U388" s="1745"/>
      <c r="V388" s="1745"/>
      <c r="W388" t="s">
        <v>2089</v>
      </c>
    </row>
    <row r="389" spans="1:23" ht="13.15" customHeight="1" x14ac:dyDescent="0.2">
      <c r="A389" s="2" t="s">
        <v>2219</v>
      </c>
      <c r="B389" s="2">
        <f t="shared" si="12"/>
        <v>2019</v>
      </c>
      <c r="C389" s="2" t="str">
        <f t="shared" si="13"/>
        <v>EC101</v>
      </c>
      <c r="D389" s="1747">
        <v>1207</v>
      </c>
      <c r="E389" s="2">
        <v>30</v>
      </c>
      <c r="F389" s="2" t="s">
        <v>961</v>
      </c>
      <c r="G389" s="1745"/>
      <c r="H389" s="1745"/>
      <c r="I389" s="1745"/>
      <c r="J389" s="1745"/>
      <c r="K389" s="1745"/>
      <c r="L389" s="1745"/>
      <c r="M389" s="1745"/>
      <c r="N389" s="1745"/>
      <c r="O389" s="1745"/>
      <c r="P389" s="2"/>
      <c r="Q389" s="1745"/>
      <c r="R389" s="1745"/>
      <c r="S389" s="1745"/>
      <c r="T389" s="1745"/>
      <c r="U389" s="1745"/>
      <c r="V389" s="1745"/>
      <c r="W389" t="s">
        <v>2089</v>
      </c>
    </row>
    <row r="390" spans="1:23" ht="13.15" customHeight="1" x14ac:dyDescent="0.2">
      <c r="A390" s="2" t="s">
        <v>2219</v>
      </c>
      <c r="B390" s="2">
        <f t="shared" si="12"/>
        <v>2019</v>
      </c>
      <c r="C390" s="2" t="str">
        <f t="shared" si="13"/>
        <v>EC101</v>
      </c>
      <c r="D390" s="1747">
        <v>1208</v>
      </c>
      <c r="E390" s="2">
        <v>31</v>
      </c>
      <c r="F390" s="2" t="s">
        <v>661</v>
      </c>
      <c r="G390" s="1745"/>
      <c r="H390" s="1745"/>
      <c r="I390" s="1745"/>
      <c r="J390" s="1745"/>
      <c r="K390" s="1745"/>
      <c r="L390" s="1745"/>
      <c r="M390" s="1745"/>
      <c r="N390" s="1745"/>
      <c r="O390" s="1745"/>
      <c r="P390" s="2"/>
      <c r="Q390" s="1745"/>
      <c r="R390" s="1745"/>
      <c r="S390" s="1745"/>
      <c r="T390" s="1745"/>
      <c r="U390" s="1745"/>
      <c r="V390" s="1745"/>
      <c r="W390" t="s">
        <v>2089</v>
      </c>
    </row>
    <row r="391" spans="1:23" ht="13.15" customHeight="1" x14ac:dyDescent="0.2">
      <c r="A391" s="2" t="s">
        <v>2219</v>
      </c>
      <c r="B391" s="2">
        <f t="shared" si="12"/>
        <v>2019</v>
      </c>
      <c r="C391" s="2" t="str">
        <f t="shared" si="13"/>
        <v>EC101</v>
      </c>
      <c r="D391" s="1747">
        <v>1204</v>
      </c>
      <c r="E391" s="2">
        <v>32</v>
      </c>
      <c r="F391" s="2" t="s">
        <v>1970</v>
      </c>
      <c r="G391" s="1745"/>
      <c r="H391" s="1745"/>
      <c r="I391" s="1745"/>
      <c r="J391" s="1745"/>
      <c r="K391" s="1745"/>
      <c r="L391" s="1745"/>
      <c r="M391" s="1745"/>
      <c r="N391" s="1745"/>
      <c r="O391" s="1745"/>
      <c r="P391" s="2"/>
      <c r="Q391" s="1745"/>
      <c r="R391" s="1745"/>
      <c r="S391" s="1745"/>
      <c r="T391" s="1745"/>
      <c r="U391" s="1745"/>
      <c r="V391" s="1745"/>
      <c r="W391" t="s">
        <v>2089</v>
      </c>
    </row>
    <row r="392" spans="1:23" ht="13.15" customHeight="1" x14ac:dyDescent="0.2">
      <c r="A392" s="2" t="s">
        <v>2219</v>
      </c>
      <c r="B392" s="2">
        <f t="shared" si="12"/>
        <v>2019</v>
      </c>
      <c r="C392" s="2" t="str">
        <f t="shared" si="13"/>
        <v>EC101</v>
      </c>
      <c r="D392" s="1747">
        <v>1205</v>
      </c>
      <c r="E392" s="2">
        <v>33</v>
      </c>
      <c r="F392" s="2" t="s">
        <v>1823</v>
      </c>
      <c r="G392" s="1745"/>
      <c r="H392" s="1745"/>
      <c r="I392" s="1745"/>
      <c r="J392" s="1745"/>
      <c r="K392" s="1745"/>
      <c r="L392" s="1745"/>
      <c r="M392" s="1745"/>
      <c r="N392" s="1745"/>
      <c r="O392" s="1745"/>
      <c r="P392" s="2"/>
      <c r="Q392" s="1745"/>
      <c r="R392" s="1745"/>
      <c r="S392" s="1745"/>
      <c r="T392" s="1745"/>
      <c r="U392" s="1745"/>
      <c r="V392" s="1745"/>
      <c r="W392" t="s">
        <v>2089</v>
      </c>
    </row>
    <row r="393" spans="1:23" ht="13.15" customHeight="1" x14ac:dyDescent="0.2">
      <c r="A393" s="2" t="s">
        <v>2219</v>
      </c>
      <c r="B393" s="2">
        <f t="shared" si="12"/>
        <v>2019</v>
      </c>
      <c r="C393" s="2" t="str">
        <f t="shared" si="13"/>
        <v>EC101</v>
      </c>
      <c r="D393" s="1747">
        <v>1206</v>
      </c>
      <c r="E393" s="2">
        <v>34</v>
      </c>
      <c r="F393" s="2" t="s">
        <v>1971</v>
      </c>
      <c r="G393" s="1745"/>
      <c r="H393" s="1745"/>
      <c r="I393" s="1745"/>
      <c r="J393" s="1745"/>
      <c r="K393" s="1745"/>
      <c r="L393" s="1745"/>
      <c r="M393" s="1745"/>
      <c r="N393" s="1745"/>
      <c r="O393" s="1745"/>
      <c r="P393" s="2"/>
      <c r="Q393" s="1745"/>
      <c r="R393" s="1745"/>
      <c r="S393" s="1745"/>
      <c r="T393" s="1745"/>
      <c r="U393" s="1745"/>
      <c r="V393" s="1745"/>
      <c r="W393" t="s">
        <v>2089</v>
      </c>
    </row>
    <row r="394" spans="1:23" ht="13.15" customHeight="1" x14ac:dyDescent="0.2">
      <c r="A394" s="2" t="s">
        <v>2219</v>
      </c>
      <c r="B394" s="2">
        <f t="shared" si="12"/>
        <v>2019</v>
      </c>
      <c r="C394" s="2" t="str">
        <f t="shared" si="13"/>
        <v>EC101</v>
      </c>
      <c r="D394" s="1747">
        <v>1209</v>
      </c>
      <c r="E394" s="2">
        <v>35</v>
      </c>
      <c r="F394" s="2" t="s">
        <v>1364</v>
      </c>
      <c r="G394" s="1745"/>
      <c r="H394" s="1745"/>
      <c r="I394" s="1745"/>
      <c r="J394" s="1745"/>
      <c r="K394" s="1745"/>
      <c r="L394" s="1745"/>
      <c r="M394" s="1745"/>
      <c r="N394" s="1745"/>
      <c r="O394" s="1745"/>
      <c r="P394" s="2"/>
      <c r="Q394" s="1745"/>
      <c r="R394" s="1745"/>
      <c r="S394" s="1745"/>
      <c r="T394" s="1745"/>
      <c r="U394" s="1745"/>
      <c r="V394" s="1745"/>
      <c r="W394" t="s">
        <v>2089</v>
      </c>
    </row>
    <row r="395" spans="1:23" ht="13.15" customHeight="1" x14ac:dyDescent="0.2">
      <c r="A395" s="2" t="s">
        <v>2219</v>
      </c>
      <c r="B395" s="2">
        <f t="shared" si="12"/>
        <v>2019</v>
      </c>
      <c r="C395" s="2" t="str">
        <f t="shared" si="13"/>
        <v>EC101</v>
      </c>
      <c r="D395" s="1747">
        <v>1211</v>
      </c>
      <c r="E395" s="2">
        <v>36</v>
      </c>
      <c r="F395" s="2" t="s">
        <v>1477</v>
      </c>
      <c r="G395" s="1745"/>
      <c r="H395" s="1745"/>
      <c r="I395" s="1745"/>
      <c r="J395" s="1745"/>
      <c r="K395" s="1745"/>
      <c r="L395" s="1745"/>
      <c r="M395" s="1745"/>
      <c r="N395" s="1745"/>
      <c r="O395" s="1745"/>
      <c r="P395" s="2"/>
      <c r="Q395" s="1745"/>
      <c r="R395" s="1745"/>
      <c r="S395" s="1745"/>
      <c r="T395" s="1745"/>
      <c r="U395" s="1745"/>
      <c r="V395" s="1745"/>
      <c r="W395" t="s">
        <v>2089</v>
      </c>
    </row>
    <row r="396" spans="1:23" ht="13.15" customHeight="1" x14ac:dyDescent="0.2">
      <c r="A396" s="2" t="s">
        <v>2219</v>
      </c>
      <c r="B396" s="2">
        <f t="shared" si="12"/>
        <v>2019</v>
      </c>
      <c r="C396" s="2" t="str">
        <f t="shared" si="13"/>
        <v>EC101</v>
      </c>
      <c r="D396" s="1747">
        <v>1212</v>
      </c>
      <c r="E396" s="2">
        <v>37</v>
      </c>
      <c r="F396" s="2" t="s">
        <v>962</v>
      </c>
      <c r="G396" s="1745"/>
      <c r="H396" s="1745"/>
      <c r="I396" s="1745"/>
      <c r="J396" s="1745"/>
      <c r="K396" s="1745"/>
      <c r="L396" s="1745"/>
      <c r="M396" s="1745"/>
      <c r="N396" s="1745"/>
      <c r="O396" s="1745"/>
      <c r="P396" s="2"/>
      <c r="Q396" s="1745"/>
      <c r="R396" s="1745"/>
      <c r="S396" s="1745"/>
      <c r="T396" s="1745"/>
      <c r="U396" s="1745"/>
      <c r="V396" s="1745"/>
      <c r="W396" t="s">
        <v>2089</v>
      </c>
    </row>
    <row r="397" spans="1:23" ht="13.15" customHeight="1" x14ac:dyDescent="0.2">
      <c r="A397" s="2" t="s">
        <v>2219</v>
      </c>
      <c r="B397" s="2">
        <f t="shared" si="12"/>
        <v>2019</v>
      </c>
      <c r="C397" s="2" t="str">
        <f t="shared" si="13"/>
        <v>EC101</v>
      </c>
      <c r="D397" s="1747">
        <v>1213</v>
      </c>
      <c r="E397" s="2">
        <v>38</v>
      </c>
      <c r="F397" s="2" t="s">
        <v>1478</v>
      </c>
      <c r="G397" s="1745"/>
      <c r="H397" s="1745"/>
      <c r="I397" s="1745"/>
      <c r="J397" s="1745"/>
      <c r="K397" s="1745"/>
      <c r="L397" s="1745"/>
      <c r="M397" s="1745"/>
      <c r="N397" s="1745"/>
      <c r="O397" s="1745"/>
      <c r="P397" s="2"/>
      <c r="Q397" s="1745"/>
      <c r="R397" s="1745"/>
      <c r="S397" s="1745"/>
      <c r="T397" s="1745"/>
      <c r="U397" s="1745"/>
      <c r="V397" s="1745"/>
      <c r="W397" t="s">
        <v>2089</v>
      </c>
    </row>
    <row r="398" spans="1:23" ht="13.15" customHeight="1" x14ac:dyDescent="0.2">
      <c r="A398" s="2" t="s">
        <v>2219</v>
      </c>
      <c r="B398" s="2">
        <f t="shared" si="12"/>
        <v>2019</v>
      </c>
      <c r="C398" s="2" t="str">
        <f t="shared" si="13"/>
        <v>EC101</v>
      </c>
      <c r="D398" s="1747">
        <v>1290</v>
      </c>
      <c r="E398" s="2">
        <v>39</v>
      </c>
      <c r="F398" s="2" t="s">
        <v>1589</v>
      </c>
      <c r="G398" s="1745"/>
      <c r="H398" s="1745"/>
      <c r="I398" s="1745"/>
      <c r="J398" s="1745"/>
      <c r="K398" s="1745"/>
      <c r="L398" s="1745"/>
      <c r="M398" s="1745"/>
      <c r="N398" s="1745"/>
      <c r="O398" s="1745"/>
      <c r="P398" s="2"/>
      <c r="Q398" s="1745"/>
      <c r="R398" s="1745"/>
      <c r="S398" s="1745"/>
      <c r="T398" s="1745"/>
      <c r="U398" s="1745"/>
      <c r="V398" s="1745"/>
      <c r="W398" t="s">
        <v>2089</v>
      </c>
    </row>
    <row r="399" spans="1:23" ht="13.15" customHeight="1" x14ac:dyDescent="0.2">
      <c r="A399" s="2" t="s">
        <v>2219</v>
      </c>
      <c r="B399" s="2">
        <f t="shared" si="12"/>
        <v>2019</v>
      </c>
      <c r="C399" s="2" t="str">
        <f t="shared" si="13"/>
        <v>EC101</v>
      </c>
      <c r="D399" s="1747">
        <v>1291</v>
      </c>
      <c r="E399" s="2">
        <v>40</v>
      </c>
      <c r="F399" s="2" t="s">
        <v>807</v>
      </c>
      <c r="G399" s="1762"/>
      <c r="H399" s="1762"/>
      <c r="I399" s="1762"/>
      <c r="J399" s="1762"/>
      <c r="K399" s="1762"/>
      <c r="L399" s="1762"/>
      <c r="M399" s="1762"/>
      <c r="N399" s="1762"/>
      <c r="O399" s="1762"/>
      <c r="P399" s="2"/>
      <c r="Q399" s="1745"/>
      <c r="R399" s="1745"/>
      <c r="S399" s="1745"/>
      <c r="T399" s="1745"/>
      <c r="U399" s="1745"/>
      <c r="V399" s="1745"/>
      <c r="W399" t="s">
        <v>2089</v>
      </c>
    </row>
    <row r="400" spans="1:23" ht="13.15" customHeight="1" x14ac:dyDescent="0.2">
      <c r="A400" s="2" t="s">
        <v>2219</v>
      </c>
      <c r="B400" s="2">
        <f t="shared" si="12"/>
        <v>2019</v>
      </c>
      <c r="C400" s="2" t="str">
        <f t="shared" si="13"/>
        <v>EC101</v>
      </c>
      <c r="D400" s="1747"/>
      <c r="E400" s="2"/>
      <c r="F400" s="2"/>
      <c r="G400" s="1745"/>
      <c r="H400" s="1745"/>
      <c r="I400" s="1745"/>
      <c r="J400" s="1745"/>
      <c r="K400" s="1745"/>
      <c r="L400" s="1745"/>
      <c r="M400" s="1745"/>
      <c r="N400" s="1745"/>
      <c r="O400" s="1745"/>
      <c r="P400" s="2"/>
      <c r="Q400" s="1745"/>
      <c r="R400" s="1745"/>
      <c r="S400" s="1745"/>
      <c r="T400" s="1745"/>
      <c r="U400" s="1745"/>
      <c r="V400" s="1745"/>
      <c r="W400" t="s">
        <v>2089</v>
      </c>
    </row>
    <row r="401" spans="1:23" ht="13.15" customHeight="1" x14ac:dyDescent="0.2">
      <c r="A401" s="2" t="s">
        <v>2219</v>
      </c>
      <c r="B401" s="2">
        <f t="shared" si="12"/>
        <v>2019</v>
      </c>
      <c r="C401" s="2" t="str">
        <f t="shared" si="13"/>
        <v>EC101</v>
      </c>
      <c r="D401" s="1747">
        <v>1295</v>
      </c>
      <c r="E401" s="2">
        <v>41</v>
      </c>
      <c r="F401" s="2" t="s">
        <v>1381</v>
      </c>
      <c r="G401" s="1745"/>
      <c r="H401" s="1745"/>
      <c r="I401" s="1745"/>
      <c r="J401" s="1745"/>
      <c r="K401" s="1745"/>
      <c r="L401" s="1745"/>
      <c r="M401" s="1745"/>
      <c r="N401" s="1745"/>
      <c r="O401" s="1745"/>
      <c r="P401" s="2"/>
      <c r="Q401" s="1745"/>
      <c r="R401" s="1745"/>
      <c r="S401" s="1745"/>
      <c r="T401" s="1745"/>
      <c r="U401" s="1745"/>
      <c r="V401" s="1745"/>
      <c r="W401" t="s">
        <v>2089</v>
      </c>
    </row>
    <row r="402" spans="1:23" ht="13.15" customHeight="1" x14ac:dyDescent="0.2">
      <c r="A402" s="2" t="s">
        <v>2219</v>
      </c>
      <c r="B402" s="2">
        <f t="shared" si="12"/>
        <v>2019</v>
      </c>
      <c r="C402" s="2" t="str">
        <f t="shared" si="13"/>
        <v>EC101</v>
      </c>
      <c r="D402" s="1747">
        <v>1297</v>
      </c>
      <c r="E402" s="2">
        <v>42</v>
      </c>
      <c r="F402" s="2" t="s">
        <v>807</v>
      </c>
      <c r="G402" s="1762"/>
      <c r="H402" s="1762"/>
      <c r="I402" s="1762"/>
      <c r="J402" s="1762"/>
      <c r="K402" s="1762"/>
      <c r="L402" s="1762"/>
      <c r="M402" s="1762"/>
      <c r="N402" s="1762"/>
      <c r="O402" s="1762"/>
      <c r="P402" s="2"/>
      <c r="Q402" s="1745"/>
      <c r="R402" s="1745"/>
      <c r="S402" s="1745"/>
      <c r="T402" s="1745"/>
      <c r="U402" s="1745"/>
      <c r="V402" s="1745"/>
      <c r="W402" t="s">
        <v>2089</v>
      </c>
    </row>
    <row r="403" spans="1:23" ht="13.15" customHeight="1" x14ac:dyDescent="0.2">
      <c r="A403" s="2" t="s">
        <v>2219</v>
      </c>
      <c r="B403" s="2">
        <f t="shared" si="12"/>
        <v>2019</v>
      </c>
      <c r="C403" s="2" t="str">
        <f t="shared" si="13"/>
        <v>EC101</v>
      </c>
      <c r="D403" s="1747"/>
      <c r="E403" s="2"/>
      <c r="F403" s="2"/>
      <c r="G403" s="1745"/>
      <c r="H403" s="1745"/>
      <c r="I403" s="1745"/>
      <c r="J403" s="1745"/>
      <c r="K403" s="1745"/>
      <c r="L403" s="1745"/>
      <c r="M403" s="1745"/>
      <c r="N403" s="1745"/>
      <c r="O403" s="1745"/>
      <c r="P403" s="2"/>
      <c r="Q403" s="1745"/>
      <c r="R403" s="1745"/>
      <c r="S403" s="1745"/>
      <c r="T403" s="1745"/>
      <c r="U403" s="1745"/>
      <c r="V403" s="1745"/>
      <c r="W403" t="s">
        <v>2089</v>
      </c>
    </row>
    <row r="404" spans="1:23" ht="13.15" customHeight="1" x14ac:dyDescent="0.2">
      <c r="A404" s="2" t="s">
        <v>2219</v>
      </c>
      <c r="B404" s="2">
        <f t="shared" si="12"/>
        <v>2019</v>
      </c>
      <c r="C404" s="2" t="str">
        <f t="shared" si="13"/>
        <v>EC101</v>
      </c>
      <c r="D404" s="1747">
        <v>2000</v>
      </c>
      <c r="E404" s="2">
        <v>43</v>
      </c>
      <c r="F404" s="2" t="s">
        <v>795</v>
      </c>
      <c r="G404" s="1745"/>
      <c r="H404" s="1745"/>
      <c r="I404" s="1745"/>
      <c r="J404" s="1745"/>
      <c r="K404" s="1745"/>
      <c r="L404" s="1745"/>
      <c r="M404" s="1745"/>
      <c r="N404" s="1745"/>
      <c r="O404" s="1745"/>
      <c r="P404" s="2"/>
      <c r="Q404" s="1745"/>
      <c r="R404" s="1745"/>
      <c r="S404" s="1745"/>
      <c r="T404" s="1745"/>
      <c r="U404" s="1745"/>
      <c r="V404" s="1745"/>
      <c r="W404" t="s">
        <v>2089</v>
      </c>
    </row>
    <row r="405" spans="1:23" ht="13.15" customHeight="1" x14ac:dyDescent="0.2">
      <c r="A405" s="2" t="s">
        <v>2219</v>
      </c>
      <c r="B405" s="2">
        <f t="shared" si="12"/>
        <v>2019</v>
      </c>
      <c r="C405" s="2" t="str">
        <f t="shared" si="13"/>
        <v>EC101</v>
      </c>
      <c r="D405" s="1747">
        <v>2001</v>
      </c>
      <c r="E405" s="2">
        <v>44</v>
      </c>
      <c r="F405" s="2" t="s">
        <v>1152</v>
      </c>
      <c r="G405" s="1745"/>
      <c r="H405" s="1745"/>
      <c r="I405" s="1745"/>
      <c r="J405" s="1745"/>
      <c r="K405" s="1745"/>
      <c r="L405" s="1745"/>
      <c r="M405" s="1745"/>
      <c r="N405" s="1745"/>
      <c r="O405" s="1745"/>
      <c r="P405" s="2"/>
      <c r="Q405" s="1745"/>
      <c r="R405" s="1745"/>
      <c r="S405" s="1745"/>
      <c r="T405" s="1745"/>
      <c r="U405" s="1745"/>
      <c r="V405" s="1745"/>
      <c r="W405" t="s">
        <v>2089</v>
      </c>
    </row>
    <row r="406" spans="1:23" ht="13.15" customHeight="1" x14ac:dyDescent="0.2">
      <c r="A406" s="2" t="s">
        <v>2219</v>
      </c>
      <c r="B406" s="2">
        <f t="shared" si="12"/>
        <v>2019</v>
      </c>
      <c r="C406" s="2" t="str">
        <f t="shared" si="13"/>
        <v>EC101</v>
      </c>
      <c r="D406" s="1747">
        <v>2002</v>
      </c>
      <c r="E406" s="2">
        <v>45</v>
      </c>
      <c r="F406" s="2" t="s">
        <v>1822</v>
      </c>
      <c r="G406" s="1745"/>
      <c r="H406" s="1745"/>
      <c r="I406" s="1745"/>
      <c r="J406" s="1745"/>
      <c r="K406" s="1745"/>
      <c r="L406" s="1745"/>
      <c r="M406" s="1745"/>
      <c r="N406" s="1745"/>
      <c r="O406" s="1745"/>
      <c r="P406" s="2"/>
      <c r="Q406" s="1745"/>
      <c r="R406" s="1745"/>
      <c r="S406" s="1745"/>
      <c r="T406" s="1745"/>
      <c r="U406" s="1745"/>
      <c r="V406" s="1745"/>
      <c r="W406" t="s">
        <v>2089</v>
      </c>
    </row>
    <row r="407" spans="1:23" ht="13.15" customHeight="1" x14ac:dyDescent="0.2">
      <c r="A407" s="2" t="s">
        <v>2219</v>
      </c>
      <c r="B407" s="2">
        <f t="shared" si="12"/>
        <v>2019</v>
      </c>
      <c r="C407" s="2" t="str">
        <f t="shared" si="13"/>
        <v>EC101</v>
      </c>
      <c r="D407" s="1747">
        <v>2003</v>
      </c>
      <c r="E407" s="2">
        <v>46</v>
      </c>
      <c r="F407" s="2" t="s">
        <v>659</v>
      </c>
      <c r="G407" s="1745"/>
      <c r="H407" s="1745"/>
      <c r="I407" s="1745"/>
      <c r="J407" s="1745"/>
      <c r="K407" s="1745"/>
      <c r="L407" s="1745"/>
      <c r="M407" s="1745"/>
      <c r="N407" s="1745"/>
      <c r="O407" s="1745"/>
      <c r="P407" s="2"/>
      <c r="Q407" s="1745"/>
      <c r="R407" s="1745"/>
      <c r="S407" s="1745"/>
      <c r="T407" s="1745"/>
      <c r="U407" s="1745"/>
      <c r="V407" s="1745"/>
      <c r="W407" t="s">
        <v>2089</v>
      </c>
    </row>
    <row r="408" spans="1:23" ht="13.15" customHeight="1" x14ac:dyDescent="0.2">
      <c r="A408" s="2" t="s">
        <v>2219</v>
      </c>
      <c r="B408" s="2">
        <f t="shared" si="12"/>
        <v>2019</v>
      </c>
      <c r="C408" s="2" t="str">
        <f t="shared" si="13"/>
        <v>EC101</v>
      </c>
      <c r="D408" s="1747">
        <v>2010</v>
      </c>
      <c r="E408" s="2">
        <v>47</v>
      </c>
      <c r="F408" s="2" t="s">
        <v>961</v>
      </c>
      <c r="G408" s="1745"/>
      <c r="H408" s="1745"/>
      <c r="I408" s="1745"/>
      <c r="J408" s="1745"/>
      <c r="K408" s="1745"/>
      <c r="L408" s="1745"/>
      <c r="M408" s="1745"/>
      <c r="N408" s="1745"/>
      <c r="O408" s="1745"/>
      <c r="P408" s="2"/>
      <c r="Q408" s="1745"/>
      <c r="R408" s="1745"/>
      <c r="S408" s="1745"/>
      <c r="T408" s="1745"/>
      <c r="U408" s="1745"/>
      <c r="V408" s="1745"/>
      <c r="W408" t="s">
        <v>2089</v>
      </c>
    </row>
    <row r="409" spans="1:23" ht="13.15" customHeight="1" x14ac:dyDescent="0.2">
      <c r="A409" s="2" t="s">
        <v>2219</v>
      </c>
      <c r="B409" s="2">
        <f t="shared" si="12"/>
        <v>2019</v>
      </c>
      <c r="C409" s="2" t="str">
        <f t="shared" si="13"/>
        <v>EC101</v>
      </c>
      <c r="D409" s="1747">
        <v>2011</v>
      </c>
      <c r="E409" s="2">
        <v>48</v>
      </c>
      <c r="F409" s="2" t="s">
        <v>661</v>
      </c>
      <c r="G409" s="1745"/>
      <c r="H409" s="1745"/>
      <c r="I409" s="1745"/>
      <c r="J409" s="1745"/>
      <c r="K409" s="1745"/>
      <c r="L409" s="1745"/>
      <c r="M409" s="1745"/>
      <c r="N409" s="1745"/>
      <c r="O409" s="1745"/>
      <c r="P409" s="2"/>
      <c r="Q409" s="1745"/>
      <c r="R409" s="1745"/>
      <c r="S409" s="1745"/>
      <c r="T409" s="1745"/>
      <c r="U409" s="1745"/>
      <c r="V409" s="1745"/>
      <c r="W409" t="s">
        <v>2089</v>
      </c>
    </row>
    <row r="410" spans="1:23" ht="13.15" customHeight="1" x14ac:dyDescent="0.2">
      <c r="A410" s="2" t="s">
        <v>2219</v>
      </c>
      <c r="B410" s="2">
        <f t="shared" si="12"/>
        <v>2019</v>
      </c>
      <c r="C410" s="2" t="str">
        <f t="shared" si="13"/>
        <v>EC101</v>
      </c>
      <c r="D410" s="1747">
        <v>2004</v>
      </c>
      <c r="E410" s="2">
        <v>49</v>
      </c>
      <c r="F410" s="2" t="s">
        <v>1970</v>
      </c>
      <c r="G410" s="1745"/>
      <c r="H410" s="1745"/>
      <c r="I410" s="1745"/>
      <c r="J410" s="1745"/>
      <c r="K410" s="1745"/>
      <c r="L410" s="1745"/>
      <c r="M410" s="1745"/>
      <c r="N410" s="1745"/>
      <c r="O410" s="1745"/>
      <c r="P410" s="2"/>
      <c r="Q410" s="1745"/>
      <c r="R410" s="1745"/>
      <c r="S410" s="1745"/>
      <c r="T410" s="1745"/>
      <c r="U410" s="1745"/>
      <c r="V410" s="1745"/>
      <c r="W410" t="s">
        <v>2089</v>
      </c>
    </row>
    <row r="411" spans="1:23" ht="13.15" customHeight="1" x14ac:dyDescent="0.2">
      <c r="A411" s="2" t="s">
        <v>2219</v>
      </c>
      <c r="B411" s="2">
        <f t="shared" si="12"/>
        <v>2019</v>
      </c>
      <c r="C411" s="2" t="str">
        <f t="shared" si="13"/>
        <v>EC101</v>
      </c>
      <c r="D411" s="1747">
        <v>2005</v>
      </c>
      <c r="E411" s="2">
        <v>50</v>
      </c>
      <c r="F411" s="2" t="s">
        <v>1823</v>
      </c>
      <c r="G411" s="1745"/>
      <c r="H411" s="1745"/>
      <c r="I411" s="1745"/>
      <c r="J411" s="1745"/>
      <c r="K411" s="1745"/>
      <c r="L411" s="1745"/>
      <c r="M411" s="1745"/>
      <c r="N411" s="1745"/>
      <c r="O411" s="1745"/>
      <c r="P411" s="2"/>
      <c r="Q411" s="1745"/>
      <c r="R411" s="1745"/>
      <c r="S411" s="1745"/>
      <c r="T411" s="1745"/>
      <c r="U411" s="1745"/>
      <c r="V411" s="1745"/>
      <c r="W411" t="s">
        <v>2089</v>
      </c>
    </row>
    <row r="412" spans="1:23" ht="13.15" customHeight="1" x14ac:dyDescent="0.2">
      <c r="A412" s="2" t="s">
        <v>2219</v>
      </c>
      <c r="B412" s="2">
        <f t="shared" si="12"/>
        <v>2019</v>
      </c>
      <c r="C412" s="2" t="str">
        <f t="shared" si="13"/>
        <v>EC101</v>
      </c>
      <c r="D412" s="1747">
        <v>2006</v>
      </c>
      <c r="E412" s="2">
        <v>51</v>
      </c>
      <c r="F412" s="2" t="s">
        <v>1971</v>
      </c>
      <c r="G412" s="1745"/>
      <c r="H412" s="1745"/>
      <c r="I412" s="1745"/>
      <c r="J412" s="1745"/>
      <c r="K412" s="1745"/>
      <c r="L412" s="1745"/>
      <c r="M412" s="1745"/>
      <c r="N412" s="1745"/>
      <c r="O412" s="1745"/>
      <c r="P412" s="2"/>
      <c r="Q412" s="1745"/>
      <c r="R412" s="1745"/>
      <c r="S412" s="1745"/>
      <c r="T412" s="1745"/>
      <c r="U412" s="1745"/>
      <c r="V412" s="1745"/>
      <c r="W412" t="s">
        <v>2089</v>
      </c>
    </row>
    <row r="413" spans="1:23" ht="13.15" customHeight="1" x14ac:dyDescent="0.2">
      <c r="A413" s="2" t="s">
        <v>2219</v>
      </c>
      <c r="B413" s="2">
        <f t="shared" si="12"/>
        <v>2019</v>
      </c>
      <c r="C413" s="2" t="str">
        <f t="shared" si="13"/>
        <v>EC101</v>
      </c>
      <c r="D413" s="1747">
        <v>2008</v>
      </c>
      <c r="E413" s="2">
        <v>52</v>
      </c>
      <c r="F413" s="2" t="s">
        <v>1364</v>
      </c>
      <c r="G413" s="1745"/>
      <c r="H413" s="1745"/>
      <c r="I413" s="1745"/>
      <c r="J413" s="1745"/>
      <c r="K413" s="1745"/>
      <c r="L413" s="1745"/>
      <c r="M413" s="1745"/>
      <c r="N413" s="1745"/>
      <c r="O413" s="1745"/>
      <c r="P413" s="2"/>
      <c r="Q413" s="1745"/>
      <c r="R413" s="1745"/>
      <c r="S413" s="1745"/>
      <c r="T413" s="1745"/>
      <c r="U413" s="1745"/>
      <c r="V413" s="1745"/>
      <c r="W413" t="s">
        <v>2089</v>
      </c>
    </row>
    <row r="414" spans="1:23" ht="13.15" customHeight="1" x14ac:dyDescent="0.2">
      <c r="A414" s="2" t="s">
        <v>2219</v>
      </c>
      <c r="B414" s="2">
        <f t="shared" si="12"/>
        <v>2019</v>
      </c>
      <c r="C414" s="2" t="str">
        <f t="shared" si="13"/>
        <v>EC101</v>
      </c>
      <c r="D414" s="1747">
        <v>2007</v>
      </c>
      <c r="E414" s="2">
        <v>53</v>
      </c>
      <c r="F414" s="2" t="s">
        <v>1975</v>
      </c>
      <c r="G414" s="1745"/>
      <c r="H414" s="1745"/>
      <c r="I414" s="1745"/>
      <c r="J414" s="1745"/>
      <c r="K414" s="1745"/>
      <c r="L414" s="1745"/>
      <c r="M414" s="1745"/>
      <c r="N414" s="1745"/>
      <c r="O414" s="1745"/>
      <c r="P414" s="2"/>
      <c r="Q414" s="1745"/>
      <c r="R414" s="1745"/>
      <c r="S414" s="1745"/>
      <c r="T414" s="1745"/>
      <c r="U414" s="1745"/>
      <c r="V414" s="1745"/>
      <c r="W414" t="s">
        <v>2089</v>
      </c>
    </row>
    <row r="415" spans="1:23" ht="13.15" customHeight="1" x14ac:dyDescent="0.2">
      <c r="A415" s="2" t="s">
        <v>2219</v>
      </c>
      <c r="B415" s="2">
        <f t="shared" si="12"/>
        <v>2019</v>
      </c>
      <c r="C415" s="2" t="str">
        <f t="shared" si="13"/>
        <v>EC101</v>
      </c>
      <c r="D415" s="1747">
        <v>2012</v>
      </c>
      <c r="E415" s="2">
        <v>54</v>
      </c>
      <c r="F415" s="2" t="s">
        <v>1477</v>
      </c>
      <c r="G415" s="1745"/>
      <c r="H415" s="1745"/>
      <c r="I415" s="1745"/>
      <c r="J415" s="1745"/>
      <c r="K415" s="1745"/>
      <c r="L415" s="1745"/>
      <c r="M415" s="1745"/>
      <c r="N415" s="1745"/>
      <c r="O415" s="1745"/>
      <c r="P415" s="2"/>
      <c r="Q415" s="1745"/>
      <c r="R415" s="1745"/>
      <c r="S415" s="1745"/>
      <c r="T415" s="1745"/>
      <c r="U415" s="1745"/>
      <c r="V415" s="1745"/>
      <c r="W415" t="s">
        <v>2089</v>
      </c>
    </row>
    <row r="416" spans="1:23" ht="13.15" customHeight="1" x14ac:dyDescent="0.2">
      <c r="A416" s="2" t="s">
        <v>2219</v>
      </c>
      <c r="B416" s="2">
        <f t="shared" si="12"/>
        <v>2019</v>
      </c>
      <c r="C416" s="2" t="str">
        <f t="shared" si="13"/>
        <v>EC101</v>
      </c>
      <c r="D416" s="1747">
        <v>2013</v>
      </c>
      <c r="E416" s="2">
        <v>55</v>
      </c>
      <c r="F416" s="2" t="s">
        <v>962</v>
      </c>
      <c r="G416" s="1745"/>
      <c r="H416" s="1745"/>
      <c r="I416" s="1745"/>
      <c r="J416" s="1745"/>
      <c r="K416" s="1745"/>
      <c r="L416" s="1745"/>
      <c r="M416" s="1745"/>
      <c r="N416" s="1745"/>
      <c r="O416" s="1745"/>
      <c r="P416" s="2"/>
      <c r="Q416" s="1745"/>
      <c r="R416" s="1745"/>
      <c r="S416" s="1745"/>
      <c r="T416" s="1745"/>
      <c r="U416" s="1745"/>
      <c r="V416" s="1745"/>
      <c r="W416" t="s">
        <v>2089</v>
      </c>
    </row>
    <row r="417" spans="1:23" ht="13.15" customHeight="1" x14ac:dyDescent="0.2">
      <c r="A417" s="2" t="s">
        <v>2219</v>
      </c>
      <c r="B417" s="2">
        <f t="shared" si="12"/>
        <v>2019</v>
      </c>
      <c r="C417" s="2" t="str">
        <f t="shared" si="13"/>
        <v>EC101</v>
      </c>
      <c r="D417" s="1747">
        <v>2014</v>
      </c>
      <c r="E417" s="2">
        <v>56</v>
      </c>
      <c r="F417" s="2" t="s">
        <v>1478</v>
      </c>
      <c r="G417" s="1745"/>
      <c r="H417" s="1745"/>
      <c r="I417" s="1745"/>
      <c r="J417" s="1745"/>
      <c r="K417" s="1745"/>
      <c r="L417" s="1745"/>
      <c r="M417" s="1745"/>
      <c r="N417" s="1745"/>
      <c r="O417" s="1745"/>
      <c r="P417" s="2"/>
      <c r="Q417" s="1745"/>
      <c r="R417" s="1745"/>
      <c r="S417" s="1745"/>
      <c r="T417" s="1745"/>
      <c r="U417" s="1745"/>
      <c r="V417" s="1745"/>
      <c r="W417" t="s">
        <v>2089</v>
      </c>
    </row>
    <row r="418" spans="1:23" ht="13.15" customHeight="1" x14ac:dyDescent="0.2">
      <c r="A418" s="2" t="s">
        <v>2219</v>
      </c>
      <c r="B418" s="2">
        <f t="shared" si="12"/>
        <v>2019</v>
      </c>
      <c r="C418" s="2" t="str">
        <f t="shared" si="13"/>
        <v>EC101</v>
      </c>
      <c r="D418" s="1747">
        <v>2090</v>
      </c>
      <c r="E418" s="2">
        <v>57</v>
      </c>
      <c r="F418" s="2" t="s">
        <v>1176</v>
      </c>
      <c r="G418" s="1745"/>
      <c r="H418" s="1745"/>
      <c r="I418" s="1745"/>
      <c r="J418" s="1745"/>
      <c r="K418" s="1745"/>
      <c r="L418" s="1745"/>
      <c r="M418" s="1745"/>
      <c r="N418" s="1745"/>
      <c r="O418" s="1745"/>
      <c r="P418" s="2"/>
      <c r="Q418" s="1745"/>
      <c r="R418" s="1745"/>
      <c r="S418" s="1745"/>
      <c r="T418" s="1745"/>
      <c r="U418" s="1745"/>
      <c r="V418" s="1745"/>
      <c r="W418" t="s">
        <v>2089</v>
      </c>
    </row>
    <row r="419" spans="1:23" ht="13.15" customHeight="1" x14ac:dyDescent="0.2">
      <c r="A419" s="2" t="s">
        <v>2219</v>
      </c>
      <c r="B419" s="2">
        <f t="shared" si="12"/>
        <v>2019</v>
      </c>
      <c r="C419" s="2" t="str">
        <f t="shared" si="13"/>
        <v>EC101</v>
      </c>
      <c r="D419" s="1747">
        <v>2091</v>
      </c>
      <c r="E419" s="2">
        <v>58</v>
      </c>
      <c r="F419" s="2" t="s">
        <v>807</v>
      </c>
      <c r="G419" s="1762"/>
      <c r="H419" s="1762"/>
      <c r="I419" s="1762"/>
      <c r="J419" s="1762"/>
      <c r="K419" s="1762"/>
      <c r="L419" s="1762"/>
      <c r="M419" s="1762"/>
      <c r="N419" s="1762"/>
      <c r="O419" s="1762"/>
      <c r="P419" s="2"/>
      <c r="Q419" s="1745"/>
      <c r="R419" s="1745"/>
      <c r="S419" s="1745"/>
      <c r="T419" s="1745"/>
      <c r="U419" s="1745"/>
      <c r="V419" s="1745"/>
      <c r="W419" t="s">
        <v>2089</v>
      </c>
    </row>
    <row r="420" spans="1:23" ht="13.15" customHeight="1" x14ac:dyDescent="0.2">
      <c r="A420" s="2" t="s">
        <v>2219</v>
      </c>
      <c r="B420" s="2">
        <f t="shared" si="12"/>
        <v>2019</v>
      </c>
      <c r="C420" s="2" t="str">
        <f t="shared" si="13"/>
        <v>EC101</v>
      </c>
      <c r="D420" s="1747"/>
      <c r="E420" s="2"/>
      <c r="F420" s="2"/>
      <c r="G420" s="1745"/>
      <c r="H420" s="1745"/>
      <c r="I420" s="1745"/>
      <c r="J420" s="1745"/>
      <c r="K420" s="1745"/>
      <c r="L420" s="1745"/>
      <c r="M420" s="1745"/>
      <c r="N420" s="1745"/>
      <c r="O420" s="1745"/>
      <c r="P420" s="2"/>
      <c r="Q420" s="1745"/>
      <c r="R420" s="1745"/>
      <c r="S420" s="1745"/>
      <c r="T420" s="1745"/>
      <c r="U420" s="1745"/>
      <c r="V420" s="1745"/>
      <c r="W420" t="s">
        <v>2089</v>
      </c>
    </row>
    <row r="421" spans="1:23" ht="13.15" customHeight="1" x14ac:dyDescent="0.2">
      <c r="A421" s="2" t="s">
        <v>2219</v>
      </c>
      <c r="B421" s="2">
        <f t="shared" si="12"/>
        <v>2019</v>
      </c>
      <c r="C421" s="2" t="str">
        <f t="shared" si="13"/>
        <v>EC101</v>
      </c>
      <c r="D421" s="1747">
        <v>2100</v>
      </c>
      <c r="E421" s="2">
        <v>59</v>
      </c>
      <c r="F421" s="2" t="s">
        <v>239</v>
      </c>
      <c r="G421" s="1745"/>
      <c r="H421" s="1745"/>
      <c r="I421" s="1745"/>
      <c r="J421" s="1745"/>
      <c r="K421" s="1745"/>
      <c r="L421" s="1745"/>
      <c r="M421" s="1745"/>
      <c r="N421" s="1745"/>
      <c r="O421" s="1745"/>
      <c r="P421" s="2"/>
      <c r="Q421" s="1745"/>
      <c r="R421" s="1745"/>
      <c r="S421" s="1745"/>
      <c r="T421" s="1745"/>
      <c r="U421" s="1745"/>
      <c r="V421" s="1745"/>
      <c r="W421" t="s">
        <v>2089</v>
      </c>
    </row>
    <row r="422" spans="1:23" ht="13.15" customHeight="1" x14ac:dyDescent="0.2">
      <c r="A422" s="2" t="s">
        <v>2219</v>
      </c>
      <c r="B422" s="2">
        <f t="shared" si="12"/>
        <v>2019</v>
      </c>
      <c r="C422" s="2" t="str">
        <f t="shared" si="13"/>
        <v>EC101</v>
      </c>
      <c r="D422" s="1747">
        <v>2101</v>
      </c>
      <c r="E422" s="2">
        <v>60</v>
      </c>
      <c r="F422" s="2" t="s">
        <v>1152</v>
      </c>
      <c r="G422" s="1745"/>
      <c r="H422" s="1745"/>
      <c r="I422" s="1745"/>
      <c r="J422" s="1745"/>
      <c r="K422" s="1745"/>
      <c r="L422" s="1745"/>
      <c r="M422" s="1745"/>
      <c r="N422" s="1745"/>
      <c r="O422" s="1745"/>
      <c r="P422" s="2"/>
      <c r="Q422" s="1745"/>
      <c r="R422" s="1745"/>
      <c r="S422" s="1745"/>
      <c r="T422" s="1745"/>
      <c r="U422" s="1745"/>
      <c r="V422" s="1745"/>
      <c r="W422" t="s">
        <v>2089</v>
      </c>
    </row>
    <row r="423" spans="1:23" ht="13.15" customHeight="1" x14ac:dyDescent="0.2">
      <c r="A423" s="2" t="s">
        <v>2219</v>
      </c>
      <c r="B423" s="2">
        <f t="shared" si="12"/>
        <v>2019</v>
      </c>
      <c r="C423" s="2" t="str">
        <f t="shared" si="13"/>
        <v>EC101</v>
      </c>
      <c r="D423" s="1747">
        <v>2102</v>
      </c>
      <c r="E423" s="2">
        <v>61</v>
      </c>
      <c r="F423" s="2" t="s">
        <v>1822</v>
      </c>
      <c r="G423" s="1745"/>
      <c r="H423" s="1745"/>
      <c r="I423" s="1745"/>
      <c r="J423" s="1745"/>
      <c r="K423" s="1745"/>
      <c r="L423" s="1745"/>
      <c r="M423" s="1745"/>
      <c r="N423" s="1745"/>
      <c r="O423" s="1745"/>
      <c r="P423" s="2"/>
      <c r="Q423" s="1745"/>
      <c r="R423" s="1745"/>
      <c r="S423" s="1745"/>
      <c r="T423" s="1745"/>
      <c r="U423" s="1745"/>
      <c r="V423" s="1745"/>
      <c r="W423" t="s">
        <v>2089</v>
      </c>
    </row>
    <row r="424" spans="1:23" ht="13.15" customHeight="1" x14ac:dyDescent="0.2">
      <c r="A424" s="2" t="s">
        <v>2219</v>
      </c>
      <c r="B424" s="2">
        <f t="shared" si="12"/>
        <v>2019</v>
      </c>
      <c r="C424" s="2" t="str">
        <f t="shared" si="13"/>
        <v>EC101</v>
      </c>
      <c r="D424" s="1747">
        <v>2103</v>
      </c>
      <c r="E424" s="2">
        <v>62</v>
      </c>
      <c r="F424" s="2" t="s">
        <v>659</v>
      </c>
      <c r="G424" s="1745"/>
      <c r="H424" s="1745"/>
      <c r="I424" s="1745"/>
      <c r="J424" s="1745"/>
      <c r="K424" s="1745"/>
      <c r="L424" s="1745"/>
      <c r="M424" s="1745"/>
      <c r="N424" s="1745"/>
      <c r="O424" s="1745"/>
      <c r="P424" s="2"/>
      <c r="Q424" s="1745"/>
      <c r="R424" s="1745"/>
      <c r="S424" s="1745"/>
      <c r="T424" s="1745"/>
      <c r="U424" s="1745"/>
      <c r="V424" s="1745"/>
      <c r="W424" t="s">
        <v>2089</v>
      </c>
    </row>
    <row r="425" spans="1:23" ht="13.15" customHeight="1" x14ac:dyDescent="0.2">
      <c r="A425" s="2" t="s">
        <v>2219</v>
      </c>
      <c r="B425" s="2">
        <f t="shared" si="12"/>
        <v>2019</v>
      </c>
      <c r="C425" s="2" t="str">
        <f t="shared" si="13"/>
        <v>EC101</v>
      </c>
      <c r="D425" s="1747">
        <v>2110</v>
      </c>
      <c r="E425" s="2">
        <v>63</v>
      </c>
      <c r="F425" s="2" t="s">
        <v>961</v>
      </c>
      <c r="G425" s="1745"/>
      <c r="H425" s="1745"/>
      <c r="I425" s="1745"/>
      <c r="J425" s="1745"/>
      <c r="K425" s="1745"/>
      <c r="L425" s="1745"/>
      <c r="M425" s="1745"/>
      <c r="N425" s="1745"/>
      <c r="O425" s="1745"/>
      <c r="P425" s="2"/>
      <c r="Q425" s="1745"/>
      <c r="R425" s="1745"/>
      <c r="S425" s="1745"/>
      <c r="T425" s="1745"/>
      <c r="U425" s="1745"/>
      <c r="V425" s="1745"/>
      <c r="W425" t="s">
        <v>2089</v>
      </c>
    </row>
    <row r="426" spans="1:23" ht="13.15" customHeight="1" x14ac:dyDescent="0.2">
      <c r="A426" s="2" t="s">
        <v>2219</v>
      </c>
      <c r="B426" s="2">
        <f t="shared" si="12"/>
        <v>2019</v>
      </c>
      <c r="C426" s="2" t="str">
        <f t="shared" si="13"/>
        <v>EC101</v>
      </c>
      <c r="D426" s="1747">
        <v>2107</v>
      </c>
      <c r="E426" s="2">
        <v>64</v>
      </c>
      <c r="F426" s="2" t="s">
        <v>661</v>
      </c>
      <c r="G426" s="1745"/>
      <c r="H426" s="1745"/>
      <c r="I426" s="1745"/>
      <c r="J426" s="1745"/>
      <c r="K426" s="1745"/>
      <c r="L426" s="1745"/>
      <c r="M426" s="1745"/>
      <c r="N426" s="1745"/>
      <c r="O426" s="1745"/>
      <c r="P426" s="2"/>
      <c r="Q426" s="1745"/>
      <c r="R426" s="1745"/>
      <c r="S426" s="1745"/>
      <c r="T426" s="1745"/>
      <c r="U426" s="1745"/>
      <c r="V426" s="1745"/>
      <c r="W426" t="s">
        <v>2089</v>
      </c>
    </row>
    <row r="427" spans="1:23" ht="13.15" customHeight="1" x14ac:dyDescent="0.2">
      <c r="A427" s="2" t="s">
        <v>2219</v>
      </c>
      <c r="B427" s="2">
        <f t="shared" si="12"/>
        <v>2019</v>
      </c>
      <c r="C427" s="2" t="str">
        <f t="shared" si="13"/>
        <v>EC101</v>
      </c>
      <c r="D427" s="1747">
        <v>2104</v>
      </c>
      <c r="E427" s="2">
        <v>65</v>
      </c>
      <c r="F427" s="2" t="s">
        <v>1970</v>
      </c>
      <c r="G427" s="1745"/>
      <c r="H427" s="1745"/>
      <c r="I427" s="1745"/>
      <c r="J427" s="1745"/>
      <c r="K427" s="1745"/>
      <c r="L427" s="1745"/>
      <c r="M427" s="1745"/>
      <c r="N427" s="1745"/>
      <c r="O427" s="1745"/>
      <c r="P427" s="2"/>
      <c r="Q427" s="1745"/>
      <c r="R427" s="1745"/>
      <c r="S427" s="1745"/>
      <c r="T427" s="1745"/>
      <c r="U427" s="1745"/>
      <c r="V427" s="1745"/>
      <c r="W427" t="s">
        <v>2089</v>
      </c>
    </row>
    <row r="428" spans="1:23" ht="13.15" customHeight="1" x14ac:dyDescent="0.2">
      <c r="A428" s="2" t="s">
        <v>2219</v>
      </c>
      <c r="B428" s="2">
        <f t="shared" si="12"/>
        <v>2019</v>
      </c>
      <c r="C428" s="2" t="str">
        <f t="shared" si="13"/>
        <v>EC101</v>
      </c>
      <c r="D428" s="1747">
        <v>2105</v>
      </c>
      <c r="E428" s="2">
        <v>66</v>
      </c>
      <c r="F428" s="2" t="s">
        <v>1823</v>
      </c>
      <c r="G428" s="1745"/>
      <c r="H428" s="1745"/>
      <c r="I428" s="1745"/>
      <c r="J428" s="1745"/>
      <c r="K428" s="1745"/>
      <c r="L428" s="1745"/>
      <c r="M428" s="1745"/>
      <c r="N428" s="1745"/>
      <c r="O428" s="1745"/>
      <c r="P428" s="2"/>
      <c r="Q428" s="1745"/>
      <c r="R428" s="1745"/>
      <c r="S428" s="1745"/>
      <c r="T428" s="1745"/>
      <c r="U428" s="1745"/>
      <c r="V428" s="1745"/>
      <c r="W428" t="s">
        <v>2089</v>
      </c>
    </row>
    <row r="429" spans="1:23" ht="13.15" customHeight="1" x14ac:dyDescent="0.2">
      <c r="A429" s="2" t="s">
        <v>2219</v>
      </c>
      <c r="B429" s="2">
        <f t="shared" si="12"/>
        <v>2019</v>
      </c>
      <c r="C429" s="2" t="str">
        <f t="shared" si="13"/>
        <v>EC101</v>
      </c>
      <c r="D429" s="1747">
        <v>2106</v>
      </c>
      <c r="E429" s="2">
        <v>67</v>
      </c>
      <c r="F429" s="2" t="s">
        <v>1971</v>
      </c>
      <c r="G429" s="1745"/>
      <c r="H429" s="1745"/>
      <c r="I429" s="1745"/>
      <c r="J429" s="1745"/>
      <c r="K429" s="1745"/>
      <c r="L429" s="1745"/>
      <c r="M429" s="1745"/>
      <c r="N429" s="1745"/>
      <c r="O429" s="1745"/>
      <c r="P429" s="2"/>
      <c r="Q429" s="1745"/>
      <c r="R429" s="1745"/>
      <c r="S429" s="1745"/>
      <c r="T429" s="1745"/>
      <c r="U429" s="1745"/>
      <c r="V429" s="1745"/>
      <c r="W429" t="s">
        <v>2089</v>
      </c>
    </row>
    <row r="430" spans="1:23" ht="13.15" customHeight="1" x14ac:dyDescent="0.2">
      <c r="A430" s="2" t="s">
        <v>2219</v>
      </c>
      <c r="B430" s="2">
        <f t="shared" si="12"/>
        <v>2019</v>
      </c>
      <c r="C430" s="2" t="str">
        <f t="shared" si="13"/>
        <v>EC101</v>
      </c>
      <c r="D430" s="1747">
        <v>2108</v>
      </c>
      <c r="E430" s="2">
        <v>68</v>
      </c>
      <c r="F430" s="2" t="s">
        <v>1364</v>
      </c>
      <c r="G430" s="1745"/>
      <c r="H430" s="1745"/>
      <c r="I430" s="1745"/>
      <c r="J430" s="1745"/>
      <c r="K430" s="1745"/>
      <c r="L430" s="1745"/>
      <c r="M430" s="1745"/>
      <c r="N430" s="1745"/>
      <c r="O430" s="1745"/>
      <c r="P430" s="2"/>
      <c r="Q430" s="1745"/>
      <c r="R430" s="1745"/>
      <c r="S430" s="1745"/>
      <c r="T430" s="1745"/>
      <c r="U430" s="1745"/>
      <c r="V430" s="1745"/>
      <c r="W430" t="s">
        <v>2089</v>
      </c>
    </row>
    <row r="431" spans="1:23" ht="13.15" customHeight="1" x14ac:dyDescent="0.2">
      <c r="A431" s="2" t="s">
        <v>2219</v>
      </c>
      <c r="B431" s="2">
        <f t="shared" si="12"/>
        <v>2019</v>
      </c>
      <c r="C431" s="2" t="str">
        <f t="shared" si="13"/>
        <v>EC101</v>
      </c>
      <c r="D431" s="1747">
        <v>2111</v>
      </c>
      <c r="E431" s="2">
        <v>69</v>
      </c>
      <c r="F431" s="2" t="s">
        <v>1477</v>
      </c>
      <c r="G431" s="1745"/>
      <c r="H431" s="1745"/>
      <c r="I431" s="1745"/>
      <c r="J431" s="1745"/>
      <c r="K431" s="1745"/>
      <c r="L431" s="1745"/>
      <c r="M431" s="1745"/>
      <c r="N431" s="1745"/>
      <c r="O431" s="1745"/>
      <c r="P431" s="2"/>
      <c r="Q431" s="1745"/>
      <c r="R431" s="1745"/>
      <c r="S431" s="1745"/>
      <c r="T431" s="1745"/>
      <c r="U431" s="1745"/>
      <c r="V431" s="1745"/>
      <c r="W431" t="s">
        <v>2089</v>
      </c>
    </row>
    <row r="432" spans="1:23" ht="13.15" customHeight="1" x14ac:dyDescent="0.2">
      <c r="A432" s="2" t="s">
        <v>2219</v>
      </c>
      <c r="B432" s="2">
        <f t="shared" si="12"/>
        <v>2019</v>
      </c>
      <c r="C432" s="2" t="str">
        <f t="shared" si="13"/>
        <v>EC101</v>
      </c>
      <c r="D432" s="1747">
        <v>2112</v>
      </c>
      <c r="E432" s="2">
        <v>70</v>
      </c>
      <c r="F432" s="2" t="s">
        <v>962</v>
      </c>
      <c r="G432" s="1745"/>
      <c r="H432" s="1745"/>
      <c r="I432" s="1745"/>
      <c r="J432" s="1745"/>
      <c r="K432" s="1745"/>
      <c r="L432" s="1745"/>
      <c r="M432" s="1745"/>
      <c r="N432" s="1745"/>
      <c r="O432" s="1745"/>
      <c r="P432" s="2"/>
      <c r="Q432" s="1745"/>
      <c r="R432" s="1745"/>
      <c r="S432" s="1745"/>
      <c r="T432" s="1745"/>
      <c r="U432" s="1745"/>
      <c r="V432" s="1745"/>
      <c r="W432" t="s">
        <v>2089</v>
      </c>
    </row>
    <row r="433" spans="1:23" ht="13.15" customHeight="1" x14ac:dyDescent="0.2">
      <c r="A433" s="2" t="s">
        <v>2219</v>
      </c>
      <c r="B433" s="2">
        <f t="shared" si="12"/>
        <v>2019</v>
      </c>
      <c r="C433" s="2" t="str">
        <f t="shared" si="13"/>
        <v>EC101</v>
      </c>
      <c r="D433" s="1747">
        <v>2113</v>
      </c>
      <c r="E433" s="2">
        <v>71</v>
      </c>
      <c r="F433" s="2" t="s">
        <v>1478</v>
      </c>
      <c r="G433" s="1745"/>
      <c r="H433" s="1745"/>
      <c r="I433" s="1745"/>
      <c r="J433" s="1745"/>
      <c r="K433" s="1745"/>
      <c r="L433" s="1745"/>
      <c r="M433" s="1745"/>
      <c r="N433" s="1745"/>
      <c r="O433" s="1745"/>
      <c r="P433" s="2"/>
      <c r="Q433" s="1745"/>
      <c r="R433" s="1745"/>
      <c r="S433" s="1745"/>
      <c r="T433" s="1745"/>
      <c r="U433" s="1745"/>
      <c r="V433" s="1745"/>
      <c r="W433" t="s">
        <v>2089</v>
      </c>
    </row>
    <row r="434" spans="1:23" ht="13.15" customHeight="1" x14ac:dyDescent="0.2">
      <c r="A434" s="2" t="s">
        <v>2219</v>
      </c>
      <c r="B434" s="2">
        <f t="shared" si="12"/>
        <v>2019</v>
      </c>
      <c r="C434" s="2" t="str">
        <f t="shared" si="13"/>
        <v>EC101</v>
      </c>
      <c r="D434" s="1747">
        <v>2190</v>
      </c>
      <c r="E434" s="2">
        <v>72</v>
      </c>
      <c r="F434" s="2" t="s">
        <v>240</v>
      </c>
      <c r="G434" s="1745"/>
      <c r="H434" s="1745"/>
      <c r="I434" s="1745"/>
      <c r="J434" s="1745"/>
      <c r="K434" s="1745"/>
      <c r="L434" s="1745"/>
      <c r="M434" s="1745"/>
      <c r="N434" s="1745"/>
      <c r="O434" s="1745"/>
      <c r="P434" s="2"/>
      <c r="Q434" s="1745"/>
      <c r="R434" s="1745"/>
      <c r="S434" s="1745"/>
      <c r="T434" s="1745"/>
      <c r="U434" s="1745"/>
      <c r="V434" s="1745"/>
      <c r="W434" t="s">
        <v>2089</v>
      </c>
    </row>
    <row r="435" spans="1:23" ht="13.15" customHeight="1" x14ac:dyDescent="0.2">
      <c r="A435" s="2" t="s">
        <v>2219</v>
      </c>
      <c r="B435" s="2">
        <f t="shared" si="12"/>
        <v>2019</v>
      </c>
      <c r="C435" s="2" t="str">
        <f t="shared" si="13"/>
        <v>EC101</v>
      </c>
      <c r="D435" s="1747">
        <v>2191</v>
      </c>
      <c r="E435" s="2">
        <v>73</v>
      </c>
      <c r="F435" s="2" t="s">
        <v>807</v>
      </c>
      <c r="G435" s="1762"/>
      <c r="H435" s="1762"/>
      <c r="I435" s="1762"/>
      <c r="J435" s="1762"/>
      <c r="K435" s="1762"/>
      <c r="L435" s="1762"/>
      <c r="M435" s="1762"/>
      <c r="N435" s="1762"/>
      <c r="O435" s="1762"/>
      <c r="P435" s="2"/>
      <c r="Q435" s="1745"/>
      <c r="R435" s="1745"/>
      <c r="S435" s="1745"/>
      <c r="T435" s="1745"/>
      <c r="U435" s="1745"/>
      <c r="V435" s="1745"/>
      <c r="W435" t="s">
        <v>2089</v>
      </c>
    </row>
    <row r="436" spans="1:23" ht="13.15" customHeight="1" x14ac:dyDescent="0.2">
      <c r="A436" s="2" t="s">
        <v>2219</v>
      </c>
      <c r="B436" s="2">
        <f t="shared" si="12"/>
        <v>2019</v>
      </c>
      <c r="C436" s="2" t="str">
        <f t="shared" si="13"/>
        <v>EC101</v>
      </c>
      <c r="D436" s="1747"/>
      <c r="E436" s="2"/>
      <c r="F436" s="2"/>
      <c r="G436" s="1745"/>
      <c r="H436" s="1745"/>
      <c r="I436" s="1745"/>
      <c r="J436" s="1745"/>
      <c r="K436" s="1745"/>
      <c r="L436" s="1745"/>
      <c r="M436" s="1745"/>
      <c r="N436" s="1745"/>
      <c r="O436" s="1745"/>
      <c r="P436" s="2"/>
      <c r="Q436" s="1745"/>
      <c r="R436" s="1745"/>
      <c r="S436" s="1745"/>
      <c r="T436" s="1745"/>
      <c r="U436" s="1745"/>
      <c r="V436" s="1745"/>
      <c r="W436" t="s">
        <v>2089</v>
      </c>
    </row>
    <row r="437" spans="1:23" ht="13.15" customHeight="1" x14ac:dyDescent="0.2">
      <c r="A437" s="2" t="s">
        <v>2219</v>
      </c>
      <c r="B437" s="2">
        <f t="shared" si="12"/>
        <v>2019</v>
      </c>
      <c r="C437" s="2" t="str">
        <f t="shared" si="13"/>
        <v>EC101</v>
      </c>
      <c r="D437" s="1747">
        <v>2200</v>
      </c>
      <c r="E437" s="2">
        <v>74</v>
      </c>
      <c r="F437" s="2" t="s">
        <v>241</v>
      </c>
      <c r="G437" s="1745"/>
      <c r="H437" s="1745"/>
      <c r="I437" s="1745"/>
      <c r="J437" s="1745"/>
      <c r="K437" s="1745"/>
      <c r="L437" s="1745"/>
      <c r="M437" s="1745"/>
      <c r="N437" s="1745"/>
      <c r="O437" s="1745"/>
      <c r="P437" s="2"/>
      <c r="Q437" s="1745"/>
      <c r="R437" s="1745"/>
      <c r="S437" s="1745"/>
      <c r="T437" s="1745"/>
      <c r="U437" s="1745"/>
      <c r="V437" s="1745"/>
      <c r="W437" t="s">
        <v>2089</v>
      </c>
    </row>
    <row r="438" spans="1:23" ht="13.15" customHeight="1" x14ac:dyDescent="0.2">
      <c r="A438" s="2" t="s">
        <v>2219</v>
      </c>
      <c r="B438" s="2">
        <f t="shared" si="12"/>
        <v>2019</v>
      </c>
      <c r="C438" s="2" t="str">
        <f t="shared" si="13"/>
        <v>EC101</v>
      </c>
      <c r="D438" s="1747">
        <v>2201</v>
      </c>
      <c r="E438" s="2">
        <v>75</v>
      </c>
      <c r="F438" s="2" t="s">
        <v>1152</v>
      </c>
      <c r="G438" s="1745"/>
      <c r="H438" s="1745"/>
      <c r="I438" s="1745"/>
      <c r="J438" s="1745"/>
      <c r="K438" s="1745"/>
      <c r="L438" s="1745"/>
      <c r="M438" s="1745"/>
      <c r="N438" s="1745"/>
      <c r="O438" s="1745"/>
      <c r="P438" s="2"/>
      <c r="Q438" s="1745"/>
      <c r="R438" s="1745"/>
      <c r="S438" s="1745"/>
      <c r="T438" s="1745"/>
      <c r="U438" s="1745"/>
      <c r="V438" s="1745"/>
      <c r="W438" t="s">
        <v>2089</v>
      </c>
    </row>
    <row r="439" spans="1:23" ht="13.15" customHeight="1" x14ac:dyDescent="0.2">
      <c r="A439" s="2" t="s">
        <v>2219</v>
      </c>
      <c r="B439" s="2">
        <f t="shared" si="12"/>
        <v>2019</v>
      </c>
      <c r="C439" s="2" t="str">
        <f t="shared" si="13"/>
        <v>EC101</v>
      </c>
      <c r="D439" s="1747">
        <v>2202</v>
      </c>
      <c r="E439" s="2">
        <v>76</v>
      </c>
      <c r="F439" s="2" t="s">
        <v>1822</v>
      </c>
      <c r="G439" s="1745"/>
      <c r="H439" s="1745"/>
      <c r="I439" s="1745"/>
      <c r="J439" s="1745"/>
      <c r="K439" s="1745"/>
      <c r="L439" s="1745"/>
      <c r="M439" s="1745"/>
      <c r="N439" s="1745"/>
      <c r="O439" s="1745"/>
      <c r="P439" s="2"/>
      <c r="Q439" s="1745"/>
      <c r="R439" s="1745"/>
      <c r="S439" s="1745"/>
      <c r="T439" s="1745"/>
      <c r="U439" s="1745"/>
      <c r="V439" s="1745"/>
      <c r="W439" t="s">
        <v>2089</v>
      </c>
    </row>
    <row r="440" spans="1:23" ht="13.15" customHeight="1" x14ac:dyDescent="0.2">
      <c r="A440" s="2" t="s">
        <v>2219</v>
      </c>
      <c r="B440" s="2">
        <f t="shared" si="12"/>
        <v>2019</v>
      </c>
      <c r="C440" s="2" t="str">
        <f t="shared" si="13"/>
        <v>EC101</v>
      </c>
      <c r="D440" s="1747">
        <v>2203</v>
      </c>
      <c r="E440" s="2">
        <v>77</v>
      </c>
      <c r="F440" s="2" t="s">
        <v>659</v>
      </c>
      <c r="G440" s="1745"/>
      <c r="H440" s="1745"/>
      <c r="I440" s="1745"/>
      <c r="J440" s="1745"/>
      <c r="K440" s="1745"/>
      <c r="L440" s="1745"/>
      <c r="M440" s="1745"/>
      <c r="N440" s="1745"/>
      <c r="O440" s="1745"/>
      <c r="P440" s="2"/>
      <c r="Q440" s="1745"/>
      <c r="R440" s="1745"/>
      <c r="S440" s="1745"/>
      <c r="T440" s="1745"/>
      <c r="U440" s="1745"/>
      <c r="V440" s="1745"/>
      <c r="W440" t="s">
        <v>2089</v>
      </c>
    </row>
    <row r="441" spans="1:23" ht="13.15" customHeight="1" x14ac:dyDescent="0.2">
      <c r="A441" s="2" t="s">
        <v>2219</v>
      </c>
      <c r="B441" s="2">
        <f t="shared" si="12"/>
        <v>2019</v>
      </c>
      <c r="C441" s="2" t="str">
        <f t="shared" si="13"/>
        <v>EC101</v>
      </c>
      <c r="D441" s="1747">
        <v>2207</v>
      </c>
      <c r="E441" s="2">
        <v>78</v>
      </c>
      <c r="F441" s="2" t="s">
        <v>961</v>
      </c>
      <c r="G441" s="1745"/>
      <c r="H441" s="1745"/>
      <c r="I441" s="1745"/>
      <c r="J441" s="1745"/>
      <c r="K441" s="1745"/>
      <c r="L441" s="1745"/>
      <c r="M441" s="1745"/>
      <c r="N441" s="1745"/>
      <c r="O441" s="1745"/>
      <c r="P441" s="2"/>
      <c r="Q441" s="1745"/>
      <c r="R441" s="1745"/>
      <c r="S441" s="1745"/>
      <c r="T441" s="1745"/>
      <c r="U441" s="1745"/>
      <c r="V441" s="1745"/>
      <c r="W441" t="s">
        <v>2089</v>
      </c>
    </row>
    <row r="442" spans="1:23" ht="13.15" customHeight="1" x14ac:dyDescent="0.2">
      <c r="A442" s="2" t="s">
        <v>2219</v>
      </c>
      <c r="B442" s="2">
        <f t="shared" si="12"/>
        <v>2019</v>
      </c>
      <c r="C442" s="2" t="str">
        <f t="shared" si="13"/>
        <v>EC101</v>
      </c>
      <c r="D442" s="1747">
        <v>2208</v>
      </c>
      <c r="E442" s="2">
        <v>79</v>
      </c>
      <c r="F442" s="2" t="s">
        <v>661</v>
      </c>
      <c r="G442" s="1745"/>
      <c r="H442" s="1745"/>
      <c r="I442" s="1745"/>
      <c r="J442" s="1745"/>
      <c r="K442" s="1745"/>
      <c r="L442" s="1745"/>
      <c r="M442" s="1745"/>
      <c r="N442" s="1745"/>
      <c r="O442" s="1745"/>
      <c r="P442" s="2"/>
      <c r="Q442" s="1745"/>
      <c r="R442" s="1745"/>
      <c r="S442" s="1745"/>
      <c r="T442" s="1745"/>
      <c r="U442" s="1745"/>
      <c r="V442" s="1745"/>
      <c r="W442" t="s">
        <v>2089</v>
      </c>
    </row>
    <row r="443" spans="1:23" ht="13.15" customHeight="1" x14ac:dyDescent="0.2">
      <c r="A443" s="2" t="s">
        <v>2219</v>
      </c>
      <c r="B443" s="2">
        <f t="shared" si="12"/>
        <v>2019</v>
      </c>
      <c r="C443" s="2" t="str">
        <f t="shared" si="13"/>
        <v>EC101</v>
      </c>
      <c r="D443" s="1747">
        <v>2204</v>
      </c>
      <c r="E443" s="2">
        <v>80</v>
      </c>
      <c r="F443" s="2" t="s">
        <v>1970</v>
      </c>
      <c r="G443" s="1745"/>
      <c r="H443" s="1745"/>
      <c r="I443" s="1745"/>
      <c r="J443" s="1745"/>
      <c r="K443" s="1745"/>
      <c r="L443" s="1745"/>
      <c r="M443" s="1745"/>
      <c r="N443" s="1745"/>
      <c r="O443" s="1745"/>
      <c r="P443" s="2"/>
      <c r="Q443" s="1745"/>
      <c r="R443" s="1745"/>
      <c r="S443" s="1745"/>
      <c r="T443" s="1745"/>
      <c r="U443" s="1745"/>
      <c r="V443" s="1745"/>
      <c r="W443" t="s">
        <v>2089</v>
      </c>
    </row>
    <row r="444" spans="1:23" ht="13.15" customHeight="1" x14ac:dyDescent="0.2">
      <c r="A444" s="2" t="s">
        <v>2219</v>
      </c>
      <c r="B444" s="2">
        <f t="shared" si="12"/>
        <v>2019</v>
      </c>
      <c r="C444" s="2" t="str">
        <f t="shared" si="13"/>
        <v>EC101</v>
      </c>
      <c r="D444" s="1747">
        <v>2205</v>
      </c>
      <c r="E444" s="2">
        <v>81</v>
      </c>
      <c r="F444" s="2" t="s">
        <v>1823</v>
      </c>
      <c r="G444" s="1745"/>
      <c r="H444" s="1745"/>
      <c r="I444" s="1745"/>
      <c r="J444" s="1745"/>
      <c r="K444" s="1745"/>
      <c r="L444" s="1745"/>
      <c r="M444" s="1745"/>
      <c r="N444" s="1745"/>
      <c r="O444" s="1745"/>
      <c r="P444" s="2"/>
      <c r="Q444" s="1745"/>
      <c r="R444" s="1745"/>
      <c r="S444" s="1745"/>
      <c r="T444" s="1745"/>
      <c r="U444" s="1745"/>
      <c r="V444" s="1745"/>
      <c r="W444" t="s">
        <v>2089</v>
      </c>
    </row>
    <row r="445" spans="1:23" ht="13.15" customHeight="1" x14ac:dyDescent="0.2">
      <c r="A445" s="2" t="s">
        <v>2219</v>
      </c>
      <c r="B445" s="2">
        <f t="shared" si="12"/>
        <v>2019</v>
      </c>
      <c r="C445" s="2" t="str">
        <f t="shared" si="13"/>
        <v>EC101</v>
      </c>
      <c r="D445" s="1747">
        <v>2206</v>
      </c>
      <c r="E445" s="2">
        <v>82</v>
      </c>
      <c r="F445" s="2" t="s">
        <v>1971</v>
      </c>
      <c r="G445" s="1745"/>
      <c r="H445" s="1745"/>
      <c r="I445" s="1745"/>
      <c r="J445" s="1745"/>
      <c r="K445" s="1745"/>
      <c r="L445" s="1745"/>
      <c r="M445" s="1745"/>
      <c r="N445" s="1745"/>
      <c r="O445" s="1745"/>
      <c r="P445" s="2"/>
      <c r="Q445" s="1745"/>
      <c r="R445" s="1745"/>
      <c r="S445" s="1745"/>
      <c r="T445" s="1745"/>
      <c r="U445" s="1745"/>
      <c r="V445" s="1745"/>
      <c r="W445" t="s">
        <v>2089</v>
      </c>
    </row>
    <row r="446" spans="1:23" ht="13.15" customHeight="1" x14ac:dyDescent="0.2">
      <c r="A446" s="2" t="s">
        <v>2219</v>
      </c>
      <c r="B446" s="2">
        <f t="shared" si="12"/>
        <v>2019</v>
      </c>
      <c r="C446" s="2" t="str">
        <f t="shared" si="13"/>
        <v>EC101</v>
      </c>
      <c r="D446" s="1747">
        <v>2209</v>
      </c>
      <c r="E446" s="2">
        <v>83</v>
      </c>
      <c r="F446" s="2" t="s">
        <v>1364</v>
      </c>
      <c r="G446" s="1745"/>
      <c r="H446" s="1745"/>
      <c r="I446" s="1745"/>
      <c r="J446" s="1745"/>
      <c r="K446" s="1745"/>
      <c r="L446" s="1745"/>
      <c r="M446" s="1745"/>
      <c r="N446" s="1745"/>
      <c r="O446" s="1745"/>
      <c r="P446" s="2"/>
      <c r="Q446" s="1745"/>
      <c r="R446" s="1745"/>
      <c r="S446" s="1745"/>
      <c r="T446" s="1745"/>
      <c r="U446" s="1745"/>
      <c r="V446" s="1745"/>
      <c r="W446" t="s">
        <v>2089</v>
      </c>
    </row>
    <row r="447" spans="1:23" ht="13.15" customHeight="1" x14ac:dyDescent="0.2">
      <c r="A447" s="2" t="s">
        <v>2219</v>
      </c>
      <c r="B447" s="2">
        <f t="shared" si="12"/>
        <v>2019</v>
      </c>
      <c r="C447" s="2" t="str">
        <f t="shared" si="13"/>
        <v>EC101</v>
      </c>
      <c r="D447" s="1747">
        <v>2211</v>
      </c>
      <c r="E447" s="2">
        <v>84</v>
      </c>
      <c r="F447" s="2" t="s">
        <v>1477</v>
      </c>
      <c r="G447" s="1745"/>
      <c r="H447" s="1745"/>
      <c r="I447" s="1745"/>
      <c r="J447" s="1745"/>
      <c r="K447" s="1745"/>
      <c r="L447" s="1745"/>
      <c r="M447" s="1745"/>
      <c r="N447" s="1745"/>
      <c r="O447" s="1745"/>
      <c r="P447" s="2"/>
      <c r="Q447" s="1745"/>
      <c r="R447" s="1745"/>
      <c r="S447" s="1745"/>
      <c r="T447" s="1745"/>
      <c r="U447" s="1745"/>
      <c r="V447" s="1745"/>
      <c r="W447" t="s">
        <v>2089</v>
      </c>
    </row>
    <row r="448" spans="1:23" ht="13.15" customHeight="1" x14ac:dyDescent="0.2">
      <c r="A448" s="2" t="s">
        <v>2219</v>
      </c>
      <c r="B448" s="2">
        <f t="shared" si="12"/>
        <v>2019</v>
      </c>
      <c r="C448" s="2" t="str">
        <f t="shared" si="13"/>
        <v>EC101</v>
      </c>
      <c r="D448" s="1747">
        <v>2212</v>
      </c>
      <c r="E448" s="2">
        <v>85</v>
      </c>
      <c r="F448" s="2" t="s">
        <v>962</v>
      </c>
      <c r="G448" s="1745"/>
      <c r="H448" s="1745"/>
      <c r="I448" s="1745"/>
      <c r="J448" s="1745"/>
      <c r="K448" s="1745"/>
      <c r="L448" s="1745"/>
      <c r="M448" s="1745"/>
      <c r="N448" s="1745"/>
      <c r="O448" s="1745"/>
      <c r="P448" s="2"/>
      <c r="Q448" s="1745"/>
      <c r="R448" s="1745"/>
      <c r="S448" s="1745"/>
      <c r="T448" s="1745"/>
      <c r="U448" s="1745"/>
      <c r="V448" s="1745"/>
      <c r="W448" t="s">
        <v>2089</v>
      </c>
    </row>
    <row r="449" spans="1:23" ht="13.15" customHeight="1" x14ac:dyDescent="0.2">
      <c r="A449" s="2" t="s">
        <v>2219</v>
      </c>
      <c r="B449" s="2">
        <f t="shared" si="12"/>
        <v>2019</v>
      </c>
      <c r="C449" s="2" t="str">
        <f t="shared" si="13"/>
        <v>EC101</v>
      </c>
      <c r="D449" s="1747">
        <v>2213</v>
      </c>
      <c r="E449" s="2">
        <v>86</v>
      </c>
      <c r="F449" s="2" t="s">
        <v>1478</v>
      </c>
      <c r="G449" s="1745"/>
      <c r="H449" s="1745"/>
      <c r="I449" s="1745"/>
      <c r="J449" s="1745"/>
      <c r="K449" s="1745"/>
      <c r="L449" s="1745"/>
      <c r="M449" s="1745"/>
      <c r="N449" s="1745"/>
      <c r="O449" s="1745"/>
      <c r="P449" s="2"/>
      <c r="Q449" s="1745"/>
      <c r="R449" s="1745"/>
      <c r="S449" s="1745"/>
      <c r="T449" s="1745"/>
      <c r="U449" s="1745"/>
      <c r="V449" s="1745"/>
      <c r="W449" t="s">
        <v>2089</v>
      </c>
    </row>
    <row r="450" spans="1:23" ht="13.15" customHeight="1" x14ac:dyDescent="0.2">
      <c r="A450" s="2" t="s">
        <v>2219</v>
      </c>
      <c r="B450" s="2">
        <f t="shared" ref="B450:B513" si="14">+MTREF</f>
        <v>2019</v>
      </c>
      <c r="C450" s="2" t="str">
        <f t="shared" ref="C450:C513" si="15">LEFT(muni,(FIND(" ",muni,1)-1))</f>
        <v>EC101</v>
      </c>
      <c r="D450" s="1747">
        <v>2290</v>
      </c>
      <c r="E450" s="2">
        <v>87</v>
      </c>
      <c r="F450" s="2" t="s">
        <v>1150</v>
      </c>
      <c r="G450" s="1745"/>
      <c r="H450" s="1745"/>
      <c r="I450" s="1745"/>
      <c r="J450" s="1745"/>
      <c r="K450" s="1745"/>
      <c r="L450" s="1745"/>
      <c r="M450" s="1745"/>
      <c r="N450" s="1745"/>
      <c r="O450" s="1745"/>
      <c r="P450" s="2"/>
      <c r="Q450" s="1745"/>
      <c r="R450" s="1745"/>
      <c r="S450" s="1745"/>
      <c r="T450" s="1745"/>
      <c r="U450" s="1745"/>
      <c r="V450" s="1745"/>
      <c r="W450" t="s">
        <v>2089</v>
      </c>
    </row>
    <row r="451" spans="1:23" ht="13.15" customHeight="1" x14ac:dyDescent="0.2">
      <c r="A451" s="2" t="s">
        <v>2219</v>
      </c>
      <c r="B451" s="2">
        <f t="shared" si="14"/>
        <v>2019</v>
      </c>
      <c r="C451" s="2" t="str">
        <f t="shared" si="15"/>
        <v>EC101</v>
      </c>
      <c r="D451" s="1747">
        <v>2291</v>
      </c>
      <c r="E451" s="2">
        <v>89</v>
      </c>
      <c r="F451" s="2" t="s">
        <v>807</v>
      </c>
      <c r="G451" s="1762"/>
      <c r="H451" s="1762"/>
      <c r="I451" s="1762"/>
      <c r="J451" s="1762"/>
      <c r="K451" s="1762"/>
      <c r="L451" s="1762"/>
      <c r="M451" s="1762"/>
      <c r="N451" s="1762"/>
      <c r="O451" s="1762"/>
      <c r="P451" s="2"/>
      <c r="Q451" s="1745"/>
      <c r="R451" s="1745"/>
      <c r="S451" s="1745"/>
      <c r="T451" s="1745"/>
      <c r="U451" s="1745"/>
      <c r="V451" s="1745"/>
      <c r="W451" t="s">
        <v>2089</v>
      </c>
    </row>
    <row r="452" spans="1:23" ht="13.15" customHeight="1" x14ac:dyDescent="0.2">
      <c r="A452" s="2" t="s">
        <v>2219</v>
      </c>
      <c r="B452" s="2">
        <f t="shared" si="14"/>
        <v>2019</v>
      </c>
      <c r="C452" s="2" t="str">
        <f t="shared" si="15"/>
        <v>EC101</v>
      </c>
      <c r="D452" s="1747"/>
      <c r="E452" s="2"/>
      <c r="F452" s="2"/>
      <c r="G452" s="1745"/>
      <c r="H452" s="1745"/>
      <c r="I452" s="1745"/>
      <c r="J452" s="1745"/>
      <c r="K452" s="1745"/>
      <c r="L452" s="1745"/>
      <c r="M452" s="1745"/>
      <c r="N452" s="1745"/>
      <c r="O452" s="1745"/>
      <c r="P452" s="2"/>
      <c r="Q452" s="1745"/>
      <c r="R452" s="1745"/>
      <c r="S452" s="1745"/>
      <c r="T452" s="1745"/>
      <c r="U452" s="1745"/>
      <c r="V452" s="1745"/>
      <c r="W452" t="s">
        <v>2089</v>
      </c>
    </row>
    <row r="453" spans="1:23" ht="13.15" customHeight="1" x14ac:dyDescent="0.2">
      <c r="A453" s="2" t="s">
        <v>2219</v>
      </c>
      <c r="B453" s="2">
        <f t="shared" si="14"/>
        <v>2019</v>
      </c>
      <c r="C453" s="2" t="str">
        <f t="shared" si="15"/>
        <v>EC101</v>
      </c>
      <c r="D453" s="1747">
        <v>2295</v>
      </c>
      <c r="E453" s="2">
        <v>90</v>
      </c>
      <c r="F453" s="2" t="s">
        <v>1382</v>
      </c>
      <c r="G453" s="1745"/>
      <c r="H453" s="1745"/>
      <c r="I453" s="1745"/>
      <c r="J453" s="1745"/>
      <c r="K453" s="1745"/>
      <c r="L453" s="1745"/>
      <c r="M453" s="1745"/>
      <c r="N453" s="1745"/>
      <c r="O453" s="1745"/>
      <c r="P453" s="2"/>
      <c r="Q453" s="1745"/>
      <c r="R453" s="1745"/>
      <c r="S453" s="1745"/>
      <c r="T453" s="1745"/>
      <c r="U453" s="1745"/>
      <c r="V453" s="1745"/>
      <c r="W453" t="s">
        <v>2089</v>
      </c>
    </row>
    <row r="454" spans="1:23" ht="13.15" customHeight="1" x14ac:dyDescent="0.2">
      <c r="A454" s="2" t="s">
        <v>2219</v>
      </c>
      <c r="B454" s="2">
        <f t="shared" si="14"/>
        <v>2019</v>
      </c>
      <c r="C454" s="2" t="str">
        <f t="shared" si="15"/>
        <v>EC101</v>
      </c>
      <c r="D454" s="1747"/>
      <c r="E454" s="2"/>
      <c r="F454" s="2"/>
      <c r="G454" s="1745"/>
      <c r="H454" s="1745"/>
      <c r="I454" s="1745"/>
      <c r="J454" s="1745"/>
      <c r="K454" s="1745"/>
      <c r="L454" s="1745"/>
      <c r="M454" s="1745"/>
      <c r="N454" s="1745"/>
      <c r="O454" s="1745"/>
      <c r="P454" s="2"/>
      <c r="Q454" s="1745"/>
      <c r="R454" s="1745"/>
      <c r="S454" s="1745"/>
      <c r="T454" s="1745"/>
      <c r="U454" s="1745"/>
      <c r="V454" s="1745"/>
      <c r="W454" t="s">
        <v>2089</v>
      </c>
    </row>
    <row r="455" spans="1:23" ht="13.15" customHeight="1" x14ac:dyDescent="0.2">
      <c r="A455" s="2" t="s">
        <v>2219</v>
      </c>
      <c r="B455" s="2">
        <f t="shared" si="14"/>
        <v>2019</v>
      </c>
      <c r="C455" s="2" t="str">
        <f t="shared" si="15"/>
        <v>EC101</v>
      </c>
      <c r="D455" s="1747">
        <v>2296</v>
      </c>
      <c r="E455" s="2">
        <v>91</v>
      </c>
      <c r="F455" s="2" t="s">
        <v>494</v>
      </c>
      <c r="G455" s="1745"/>
      <c r="H455" s="1745"/>
      <c r="I455" s="1745"/>
      <c r="J455" s="1745"/>
      <c r="K455" s="1745"/>
      <c r="L455" s="1745"/>
      <c r="M455" s="1745"/>
      <c r="N455" s="1745"/>
      <c r="O455" s="1745"/>
      <c r="P455" s="2"/>
      <c r="Q455" s="1745"/>
      <c r="R455" s="1745"/>
      <c r="S455" s="1745"/>
      <c r="T455" s="1745"/>
      <c r="U455" s="1745"/>
      <c r="V455" s="1745"/>
      <c r="W455" t="s">
        <v>2089</v>
      </c>
    </row>
    <row r="456" spans="1:23" ht="13.15" customHeight="1" x14ac:dyDescent="0.2">
      <c r="A456" s="2" t="s">
        <v>2219</v>
      </c>
      <c r="B456" s="2">
        <f t="shared" si="14"/>
        <v>2019</v>
      </c>
      <c r="C456" s="2" t="str">
        <f t="shared" si="15"/>
        <v>EC101</v>
      </c>
      <c r="D456" s="1747">
        <v>2297</v>
      </c>
      <c r="E456" s="2">
        <v>92</v>
      </c>
      <c r="F456" s="2" t="s">
        <v>807</v>
      </c>
      <c r="G456" s="1762"/>
      <c r="H456" s="1762"/>
      <c r="I456" s="1762"/>
      <c r="J456" s="1762"/>
      <c r="K456" s="1762"/>
      <c r="L456" s="1762"/>
      <c r="M456" s="1762"/>
      <c r="N456" s="1762"/>
      <c r="O456" s="1762"/>
      <c r="P456" s="2"/>
      <c r="Q456" s="1745"/>
      <c r="R456" s="1745"/>
      <c r="S456" s="1745"/>
      <c r="T456" s="1745"/>
      <c r="U456" s="1745"/>
      <c r="V456" s="1745"/>
      <c r="W456" t="s">
        <v>2089</v>
      </c>
    </row>
    <row r="457" spans="1:23" ht="13.15" customHeight="1" x14ac:dyDescent="0.2">
      <c r="A457" s="2" t="s">
        <v>2219</v>
      </c>
      <c r="B457" s="2">
        <f t="shared" si="14"/>
        <v>2019</v>
      </c>
      <c r="C457" s="2" t="str">
        <f t="shared" si="15"/>
        <v>EC101</v>
      </c>
      <c r="D457" s="1747">
        <v>2298</v>
      </c>
      <c r="E457" s="2">
        <v>93</v>
      </c>
      <c r="F457" s="2" t="s">
        <v>1278</v>
      </c>
      <c r="G457" s="1745"/>
      <c r="H457" s="1745"/>
      <c r="I457" s="1745"/>
      <c r="J457" s="1745"/>
      <c r="K457" s="1745"/>
      <c r="L457" s="1745"/>
      <c r="M457" s="1745"/>
      <c r="N457" s="1745"/>
      <c r="O457" s="1745"/>
      <c r="P457" s="2"/>
      <c r="Q457" s="1745"/>
      <c r="R457" s="1745"/>
      <c r="S457" s="1745"/>
      <c r="T457" s="1745"/>
      <c r="U457" s="1745"/>
      <c r="V457" s="1745"/>
      <c r="W457" t="s">
        <v>2089</v>
      </c>
    </row>
    <row r="458" spans="1:23" ht="13.15" customHeight="1" x14ac:dyDescent="0.2">
      <c r="A458" s="2" t="s">
        <v>2220</v>
      </c>
      <c r="B458" s="2">
        <f t="shared" si="14"/>
        <v>2019</v>
      </c>
      <c r="C458" s="2" t="str">
        <f t="shared" si="15"/>
        <v>EC101</v>
      </c>
      <c r="D458" s="1747">
        <v>1000</v>
      </c>
      <c r="E458" s="2">
        <v>1</v>
      </c>
      <c r="F458" s="1763"/>
      <c r="G458" s="1745"/>
      <c r="H458" s="1745"/>
      <c r="I458" s="1745"/>
      <c r="J458" s="1745"/>
      <c r="K458" s="1745"/>
      <c r="L458" s="1745"/>
      <c r="M458" s="1745"/>
      <c r="N458" s="2"/>
      <c r="W458" t="s">
        <v>2089</v>
      </c>
    </row>
    <row r="459" spans="1:23" ht="13.15" customHeight="1" x14ac:dyDescent="0.2">
      <c r="A459" s="2" t="s">
        <v>2220</v>
      </c>
      <c r="B459" s="2">
        <f t="shared" si="14"/>
        <v>2019</v>
      </c>
      <c r="C459" s="2" t="str">
        <f t="shared" si="15"/>
        <v>EC101</v>
      </c>
      <c r="D459" s="1747">
        <v>1001</v>
      </c>
      <c r="E459" s="2">
        <v>2</v>
      </c>
      <c r="F459" s="1763"/>
      <c r="G459" s="1745"/>
      <c r="H459" s="1745"/>
      <c r="I459" s="1745"/>
      <c r="J459" s="1745"/>
      <c r="K459" s="1745"/>
      <c r="L459" s="1745"/>
      <c r="M459" s="1745"/>
      <c r="N459" s="2"/>
      <c r="W459" t="s">
        <v>2089</v>
      </c>
    </row>
    <row r="460" spans="1:23" ht="13.15" customHeight="1" x14ac:dyDescent="0.2">
      <c r="A460" s="2" t="s">
        <v>2220</v>
      </c>
      <c r="B460" s="2">
        <f t="shared" si="14"/>
        <v>2019</v>
      </c>
      <c r="C460" s="2" t="str">
        <f t="shared" si="15"/>
        <v>EC101</v>
      </c>
      <c r="D460" s="1747">
        <v>1002</v>
      </c>
      <c r="E460" s="2">
        <v>3</v>
      </c>
      <c r="F460" s="1763"/>
      <c r="G460" s="1745"/>
      <c r="H460" s="1745"/>
      <c r="I460" s="1745"/>
      <c r="J460" s="1745"/>
      <c r="K460" s="1745"/>
      <c r="L460" s="1745"/>
      <c r="M460" s="1745"/>
      <c r="N460" s="2"/>
      <c r="W460" t="s">
        <v>2089</v>
      </c>
    </row>
    <row r="461" spans="1:23" ht="13.15" customHeight="1" x14ac:dyDescent="0.2">
      <c r="A461" s="2" t="s">
        <v>2220</v>
      </c>
      <c r="B461" s="2">
        <f t="shared" si="14"/>
        <v>2019</v>
      </c>
      <c r="C461" s="2" t="str">
        <f t="shared" si="15"/>
        <v>EC101</v>
      </c>
      <c r="D461" s="1747">
        <v>1003</v>
      </c>
      <c r="E461" s="2">
        <v>4</v>
      </c>
      <c r="F461" s="1763"/>
      <c r="G461" s="1745"/>
      <c r="H461" s="1745"/>
      <c r="I461" s="1745"/>
      <c r="J461" s="1745"/>
      <c r="K461" s="1745"/>
      <c r="L461" s="1745"/>
      <c r="M461" s="1745"/>
      <c r="N461" s="2"/>
      <c r="W461" t="s">
        <v>2089</v>
      </c>
    </row>
    <row r="462" spans="1:23" ht="13.15" customHeight="1" x14ac:dyDescent="0.2">
      <c r="A462" s="2" t="s">
        <v>2220</v>
      </c>
      <c r="B462" s="2">
        <f t="shared" si="14"/>
        <v>2019</v>
      </c>
      <c r="C462" s="2" t="str">
        <f t="shared" si="15"/>
        <v>EC101</v>
      </c>
      <c r="D462" s="1747">
        <v>1004</v>
      </c>
      <c r="E462" s="2">
        <v>5</v>
      </c>
      <c r="F462" s="1763"/>
      <c r="G462" s="1745"/>
      <c r="H462" s="1745"/>
      <c r="I462" s="1745"/>
      <c r="J462" s="1745"/>
      <c r="K462" s="1745"/>
      <c r="L462" s="1745"/>
      <c r="M462" s="1745"/>
      <c r="N462" s="2"/>
      <c r="W462" t="s">
        <v>2089</v>
      </c>
    </row>
    <row r="463" spans="1:23" ht="13.15" customHeight="1" x14ac:dyDescent="0.2">
      <c r="A463" s="2" t="s">
        <v>2220</v>
      </c>
      <c r="B463" s="2">
        <f t="shared" si="14"/>
        <v>2019</v>
      </c>
      <c r="C463" s="2" t="str">
        <f t="shared" si="15"/>
        <v>EC101</v>
      </c>
      <c r="D463" s="1747">
        <v>1005</v>
      </c>
      <c r="E463" s="2">
        <v>6</v>
      </c>
      <c r="F463" s="1763"/>
      <c r="G463" s="1745"/>
      <c r="H463" s="1745"/>
      <c r="I463" s="1745"/>
      <c r="J463" s="1745"/>
      <c r="K463" s="1745"/>
      <c r="L463" s="1745"/>
      <c r="M463" s="1745"/>
      <c r="N463" s="2"/>
      <c r="W463" t="s">
        <v>2089</v>
      </c>
    </row>
    <row r="464" spans="1:23" ht="13.15" customHeight="1" x14ac:dyDescent="0.2">
      <c r="A464" s="2" t="s">
        <v>2220</v>
      </c>
      <c r="B464" s="2">
        <f t="shared" si="14"/>
        <v>2019</v>
      </c>
      <c r="C464" s="2" t="str">
        <f t="shared" si="15"/>
        <v>EC101</v>
      </c>
      <c r="D464" s="1747">
        <v>1006</v>
      </c>
      <c r="E464" s="2">
        <v>7</v>
      </c>
      <c r="F464" s="1763"/>
      <c r="G464" s="1745"/>
      <c r="H464" s="1745"/>
      <c r="I464" s="1745"/>
      <c r="J464" s="1745"/>
      <c r="K464" s="1745"/>
      <c r="L464" s="1745"/>
      <c r="M464" s="1745"/>
      <c r="N464" s="2"/>
      <c r="W464" t="s">
        <v>2089</v>
      </c>
    </row>
    <row r="465" spans="1:23" ht="13.15" customHeight="1" x14ac:dyDescent="0.2">
      <c r="A465" s="2" t="s">
        <v>2220</v>
      </c>
      <c r="B465" s="2">
        <f t="shared" si="14"/>
        <v>2019</v>
      </c>
      <c r="C465" s="2" t="str">
        <f t="shared" si="15"/>
        <v>EC101</v>
      </c>
      <c r="D465" s="1747">
        <v>1090</v>
      </c>
      <c r="E465" s="2">
        <v>8</v>
      </c>
      <c r="F465" s="1763"/>
      <c r="G465" s="1745"/>
      <c r="H465" s="1745"/>
      <c r="I465" s="1745"/>
      <c r="J465" s="1745"/>
      <c r="K465" s="1745"/>
      <c r="L465" s="1745"/>
      <c r="M465" s="1745"/>
      <c r="N465" s="2"/>
      <c r="W465" t="s">
        <v>2089</v>
      </c>
    </row>
    <row r="466" spans="1:23" ht="13.15" customHeight="1" x14ac:dyDescent="0.2">
      <c r="A466" s="2" t="s">
        <v>2220</v>
      </c>
      <c r="B466" s="2">
        <f t="shared" si="14"/>
        <v>2019</v>
      </c>
      <c r="C466" s="2" t="str">
        <f t="shared" si="15"/>
        <v>EC101</v>
      </c>
      <c r="D466" s="1747"/>
      <c r="E466" s="2"/>
      <c r="F466" s="1763"/>
      <c r="G466" s="1745"/>
      <c r="H466" s="1745"/>
      <c r="I466" s="1745"/>
      <c r="J466" s="1745"/>
      <c r="K466" s="1745"/>
      <c r="L466" s="1745"/>
      <c r="M466" s="1745"/>
      <c r="N466" s="2"/>
      <c r="W466" t="s">
        <v>2089</v>
      </c>
    </row>
    <row r="467" spans="1:23" ht="13.15" customHeight="1" x14ac:dyDescent="0.2">
      <c r="A467" s="2" t="s">
        <v>2220</v>
      </c>
      <c r="B467" s="2">
        <f t="shared" si="14"/>
        <v>2019</v>
      </c>
      <c r="C467" s="2" t="str">
        <f t="shared" si="15"/>
        <v>EC101</v>
      </c>
      <c r="D467" s="1747"/>
      <c r="E467" s="2"/>
      <c r="F467" s="1763"/>
      <c r="G467" s="1745"/>
      <c r="H467" s="1745"/>
      <c r="I467" s="1745"/>
      <c r="J467" s="1745"/>
      <c r="K467" s="1745"/>
      <c r="L467" s="1745"/>
      <c r="M467" s="1745"/>
      <c r="N467" s="2"/>
      <c r="W467" t="s">
        <v>2089</v>
      </c>
    </row>
    <row r="468" spans="1:23" ht="13.15" customHeight="1" x14ac:dyDescent="0.2">
      <c r="A468" s="2" t="s">
        <v>2220</v>
      </c>
      <c r="B468" s="2">
        <f t="shared" si="14"/>
        <v>2019</v>
      </c>
      <c r="C468" s="2" t="str">
        <f t="shared" si="15"/>
        <v>EC101</v>
      </c>
      <c r="D468" s="1747"/>
      <c r="E468" s="2"/>
      <c r="F468" s="1763"/>
      <c r="G468" s="1745"/>
      <c r="H468" s="1745"/>
      <c r="I468" s="1745"/>
      <c r="J468" s="1745"/>
      <c r="K468" s="1745"/>
      <c r="L468" s="1745"/>
      <c r="M468" s="1745"/>
      <c r="N468" s="2"/>
      <c r="W468" t="s">
        <v>2089</v>
      </c>
    </row>
    <row r="469" spans="1:23" ht="13.15" customHeight="1" x14ac:dyDescent="0.2">
      <c r="A469" s="2" t="s">
        <v>2220</v>
      </c>
      <c r="B469" s="2">
        <f t="shared" si="14"/>
        <v>2019</v>
      </c>
      <c r="C469" s="2" t="str">
        <f t="shared" si="15"/>
        <v>EC101</v>
      </c>
      <c r="D469" s="1747"/>
      <c r="E469" s="2"/>
      <c r="F469" s="1763"/>
      <c r="G469" s="1745"/>
      <c r="H469" s="1745"/>
      <c r="I469" s="1745"/>
      <c r="J469" s="1745"/>
      <c r="K469" s="1745"/>
      <c r="L469" s="1745"/>
      <c r="M469" s="1745"/>
      <c r="N469" s="2"/>
      <c r="W469" t="s">
        <v>2089</v>
      </c>
    </row>
    <row r="470" spans="1:23" ht="13.15" customHeight="1" x14ac:dyDescent="0.2">
      <c r="A470" s="2" t="s">
        <v>2220</v>
      </c>
      <c r="B470" s="2">
        <f t="shared" si="14"/>
        <v>2019</v>
      </c>
      <c r="C470" s="2" t="str">
        <f t="shared" si="15"/>
        <v>EC101</v>
      </c>
      <c r="D470" s="1747"/>
      <c r="E470" s="2"/>
      <c r="F470" s="1763"/>
      <c r="G470" s="1745"/>
      <c r="H470" s="1745"/>
      <c r="I470" s="1745"/>
      <c r="J470" s="1745"/>
      <c r="K470" s="1745"/>
      <c r="L470" s="1745"/>
      <c r="M470" s="1745"/>
      <c r="N470" s="2"/>
      <c r="W470" t="s">
        <v>2089</v>
      </c>
    </row>
    <row r="471" spans="1:23" ht="13.15" customHeight="1" x14ac:dyDescent="0.2">
      <c r="A471" s="2" t="s">
        <v>2220</v>
      </c>
      <c r="B471" s="2">
        <f t="shared" si="14"/>
        <v>2019</v>
      </c>
      <c r="C471" s="2" t="str">
        <f t="shared" si="15"/>
        <v>EC101</v>
      </c>
      <c r="D471" s="1747"/>
      <c r="E471" s="2"/>
      <c r="F471" s="1763"/>
      <c r="G471" s="1745"/>
      <c r="H471" s="1745"/>
      <c r="I471" s="1745"/>
      <c r="J471" s="1745"/>
      <c r="K471" s="1745"/>
      <c r="L471" s="1745"/>
      <c r="M471" s="1745"/>
      <c r="N471" s="2"/>
      <c r="W471" t="s">
        <v>2089</v>
      </c>
    </row>
    <row r="472" spans="1:23" ht="13.15" customHeight="1" x14ac:dyDescent="0.2">
      <c r="A472" s="2" t="s">
        <v>2220</v>
      </c>
      <c r="B472" s="2">
        <f t="shared" si="14"/>
        <v>2019</v>
      </c>
      <c r="C472" s="2" t="str">
        <f t="shared" si="15"/>
        <v>EC101</v>
      </c>
      <c r="D472" s="1747"/>
      <c r="E472" s="2"/>
      <c r="F472" s="1763"/>
      <c r="G472" s="1745"/>
      <c r="H472" s="1745"/>
      <c r="I472" s="1745"/>
      <c r="J472" s="1745"/>
      <c r="K472" s="1745"/>
      <c r="L472" s="1745"/>
      <c r="M472" s="1745"/>
      <c r="N472" s="2"/>
      <c r="W472" t="s">
        <v>2089</v>
      </c>
    </row>
    <row r="473" spans="1:23" ht="13.15" customHeight="1" x14ac:dyDescent="0.2">
      <c r="A473" s="2" t="s">
        <v>2220</v>
      </c>
      <c r="B473" s="2">
        <f t="shared" si="14"/>
        <v>2019</v>
      </c>
      <c r="C473" s="2" t="str">
        <f t="shared" si="15"/>
        <v>EC101</v>
      </c>
      <c r="D473" s="1747"/>
      <c r="E473" s="2"/>
      <c r="F473" s="1763"/>
      <c r="G473" s="1745"/>
      <c r="H473" s="1745"/>
      <c r="I473" s="1745"/>
      <c r="J473" s="1745"/>
      <c r="K473" s="1745"/>
      <c r="L473" s="1745"/>
      <c r="M473" s="1745"/>
      <c r="N473" s="2"/>
      <c r="W473" t="s">
        <v>2089</v>
      </c>
    </row>
    <row r="474" spans="1:23" ht="13.15" customHeight="1" x14ac:dyDescent="0.2">
      <c r="A474" s="2" t="s">
        <v>2220</v>
      </c>
      <c r="B474" s="2">
        <f t="shared" si="14"/>
        <v>2019</v>
      </c>
      <c r="C474" s="2" t="str">
        <f t="shared" si="15"/>
        <v>EC101</v>
      </c>
      <c r="D474" s="1747"/>
      <c r="E474" s="2"/>
      <c r="F474" s="1763"/>
      <c r="G474" s="1745"/>
      <c r="H474" s="1745"/>
      <c r="I474" s="1745"/>
      <c r="J474" s="1745"/>
      <c r="K474" s="1745"/>
      <c r="L474" s="1745"/>
      <c r="M474" s="1745"/>
      <c r="N474" s="2"/>
      <c r="W474" t="s">
        <v>2089</v>
      </c>
    </row>
    <row r="475" spans="1:23" ht="13.15" customHeight="1" x14ac:dyDescent="0.2">
      <c r="A475" s="2" t="s">
        <v>2220</v>
      </c>
      <c r="B475" s="2">
        <f t="shared" si="14"/>
        <v>2019</v>
      </c>
      <c r="C475" s="2" t="str">
        <f t="shared" si="15"/>
        <v>EC101</v>
      </c>
      <c r="D475" s="1747"/>
      <c r="E475" s="2"/>
      <c r="F475" s="1763"/>
      <c r="G475" s="1745"/>
      <c r="H475" s="1745"/>
      <c r="I475" s="1745"/>
      <c r="J475" s="1745"/>
      <c r="K475" s="1745"/>
      <c r="L475" s="1745"/>
      <c r="M475" s="1745"/>
      <c r="N475" s="2"/>
      <c r="W475" t="s">
        <v>2089</v>
      </c>
    </row>
    <row r="476" spans="1:23" ht="13.15" customHeight="1" x14ac:dyDescent="0.2">
      <c r="A476" s="2" t="s">
        <v>2220</v>
      </c>
      <c r="B476" s="2">
        <f t="shared" si="14"/>
        <v>2019</v>
      </c>
      <c r="C476" s="2" t="str">
        <f t="shared" si="15"/>
        <v>EC101</v>
      </c>
      <c r="D476" s="1747"/>
      <c r="E476" s="2"/>
      <c r="F476" s="1763"/>
      <c r="G476" s="1745"/>
      <c r="H476" s="1745"/>
      <c r="I476" s="1745"/>
      <c r="J476" s="1745"/>
      <c r="K476" s="1745"/>
      <c r="L476" s="1745"/>
      <c r="M476" s="1745"/>
      <c r="N476" s="2"/>
      <c r="W476" t="s">
        <v>2089</v>
      </c>
    </row>
    <row r="477" spans="1:23" ht="13.15" customHeight="1" x14ac:dyDescent="0.2">
      <c r="A477" s="2" t="s">
        <v>2220</v>
      </c>
      <c r="B477" s="2">
        <f t="shared" si="14"/>
        <v>2019</v>
      </c>
      <c r="C477" s="2" t="str">
        <f t="shared" si="15"/>
        <v>EC101</v>
      </c>
      <c r="D477" s="1747"/>
      <c r="E477" s="2"/>
      <c r="F477" s="1763"/>
      <c r="G477" s="1745"/>
      <c r="H477" s="1745"/>
      <c r="I477" s="1745"/>
      <c r="J477" s="1745"/>
      <c r="K477" s="1745"/>
      <c r="L477" s="1745"/>
      <c r="M477" s="1745"/>
      <c r="N477" s="2"/>
      <c r="W477" t="s">
        <v>2089</v>
      </c>
    </row>
    <row r="478" spans="1:23" ht="13.15" customHeight="1" x14ac:dyDescent="0.2">
      <c r="A478" s="2" t="s">
        <v>2220</v>
      </c>
      <c r="B478" s="2">
        <f t="shared" si="14"/>
        <v>2019</v>
      </c>
      <c r="C478" s="2" t="str">
        <f t="shared" si="15"/>
        <v>EC101</v>
      </c>
      <c r="D478" s="1747"/>
      <c r="E478" s="2"/>
      <c r="F478" s="1763"/>
      <c r="G478" s="1745"/>
      <c r="H478" s="1745"/>
      <c r="I478" s="1745"/>
      <c r="J478" s="1745"/>
      <c r="K478" s="1745"/>
      <c r="L478" s="1745"/>
      <c r="M478" s="1745"/>
      <c r="N478" s="2"/>
      <c r="W478" t="s">
        <v>2089</v>
      </c>
    </row>
    <row r="479" spans="1:23" ht="13.15" customHeight="1" x14ac:dyDescent="0.2">
      <c r="A479" s="2" t="s">
        <v>2220</v>
      </c>
      <c r="B479" s="2">
        <f t="shared" si="14"/>
        <v>2019</v>
      </c>
      <c r="C479" s="2" t="str">
        <f t="shared" si="15"/>
        <v>EC101</v>
      </c>
      <c r="D479" s="1747"/>
      <c r="E479" s="2"/>
      <c r="F479" s="1763"/>
      <c r="G479" s="1745"/>
      <c r="H479" s="1745"/>
      <c r="I479" s="1745"/>
      <c r="J479" s="1745"/>
      <c r="K479" s="1745"/>
      <c r="L479" s="1745"/>
      <c r="M479" s="1745"/>
      <c r="N479" s="2"/>
      <c r="W479" t="s">
        <v>2089</v>
      </c>
    </row>
    <row r="480" spans="1:23" ht="13.15" customHeight="1" x14ac:dyDescent="0.2">
      <c r="A480" s="2" t="s">
        <v>2220</v>
      </c>
      <c r="B480" s="2">
        <f t="shared" si="14"/>
        <v>2019</v>
      </c>
      <c r="C480" s="2" t="str">
        <f t="shared" si="15"/>
        <v>EC101</v>
      </c>
      <c r="D480" s="1747"/>
      <c r="E480" s="2"/>
      <c r="F480" s="1763"/>
      <c r="G480" s="1745"/>
      <c r="H480" s="1745"/>
      <c r="I480" s="1745"/>
      <c r="J480" s="1745"/>
      <c r="K480" s="1745"/>
      <c r="L480" s="1745"/>
      <c r="M480" s="1745"/>
      <c r="N480" s="2"/>
      <c r="W480" t="s">
        <v>2089</v>
      </c>
    </row>
    <row r="481" spans="1:23" ht="13.15" customHeight="1" x14ac:dyDescent="0.2">
      <c r="A481" s="2" t="s">
        <v>2220</v>
      </c>
      <c r="B481" s="2">
        <f t="shared" si="14"/>
        <v>2019</v>
      </c>
      <c r="C481" s="2" t="str">
        <f t="shared" si="15"/>
        <v>EC101</v>
      </c>
      <c r="D481" s="1747"/>
      <c r="E481" s="2"/>
      <c r="F481" s="1763"/>
      <c r="G481" s="1745"/>
      <c r="H481" s="1745"/>
      <c r="I481" s="1745"/>
      <c r="J481" s="1745"/>
      <c r="K481" s="1745"/>
      <c r="L481" s="1745"/>
      <c r="M481" s="1745"/>
      <c r="N481" s="2"/>
      <c r="W481" t="s">
        <v>2089</v>
      </c>
    </row>
    <row r="482" spans="1:23" ht="13.15" customHeight="1" x14ac:dyDescent="0.2">
      <c r="A482" s="2" t="s">
        <v>2220</v>
      </c>
      <c r="B482" s="2">
        <f t="shared" si="14"/>
        <v>2019</v>
      </c>
      <c r="C482" s="2" t="str">
        <f t="shared" si="15"/>
        <v>EC101</v>
      </c>
      <c r="D482" s="1747"/>
      <c r="E482" s="2"/>
      <c r="F482" s="1763"/>
      <c r="G482" s="1745"/>
      <c r="H482" s="1745"/>
      <c r="I482" s="1745"/>
      <c r="J482" s="1745"/>
      <c r="K482" s="1745"/>
      <c r="L482" s="1745"/>
      <c r="M482" s="1745"/>
      <c r="N482" s="2"/>
      <c r="W482" t="s">
        <v>2089</v>
      </c>
    </row>
    <row r="483" spans="1:23" ht="13.15" customHeight="1" x14ac:dyDescent="0.2">
      <c r="A483" s="2" t="s">
        <v>2220</v>
      </c>
      <c r="B483" s="2">
        <f t="shared" si="14"/>
        <v>2019</v>
      </c>
      <c r="C483" s="2" t="str">
        <f t="shared" si="15"/>
        <v>EC101</v>
      </c>
      <c r="D483" s="1747"/>
      <c r="E483" s="2"/>
      <c r="F483" s="1763"/>
      <c r="G483" s="1745"/>
      <c r="H483" s="1745"/>
      <c r="I483" s="1745"/>
      <c r="J483" s="1745"/>
      <c r="K483" s="1745"/>
      <c r="L483" s="1745"/>
      <c r="M483" s="1745"/>
      <c r="N483" s="2"/>
      <c r="W483" t="s">
        <v>2089</v>
      </c>
    </row>
    <row r="484" spans="1:23" ht="13.15" customHeight="1" x14ac:dyDescent="0.2">
      <c r="A484" s="2" t="s">
        <v>2220</v>
      </c>
      <c r="B484" s="2">
        <f t="shared" si="14"/>
        <v>2019</v>
      </c>
      <c r="C484" s="2" t="str">
        <f t="shared" si="15"/>
        <v>EC101</v>
      </c>
      <c r="D484" s="1747"/>
      <c r="E484" s="2"/>
      <c r="F484" s="1763"/>
      <c r="G484" s="1745"/>
      <c r="H484" s="1745"/>
      <c r="I484" s="1745"/>
      <c r="J484" s="1745"/>
      <c r="K484" s="1745"/>
      <c r="L484" s="1745"/>
      <c r="M484" s="1745"/>
      <c r="N484" s="2"/>
      <c r="W484" t="s">
        <v>2089</v>
      </c>
    </row>
    <row r="485" spans="1:23" ht="13.15" customHeight="1" x14ac:dyDescent="0.2">
      <c r="A485" s="2" t="s">
        <v>2220</v>
      </c>
      <c r="B485" s="2">
        <f t="shared" si="14"/>
        <v>2019</v>
      </c>
      <c r="C485" s="2" t="str">
        <f t="shared" si="15"/>
        <v>EC101</v>
      </c>
      <c r="D485" s="1747"/>
      <c r="E485" s="2"/>
      <c r="F485" s="1763"/>
      <c r="G485" s="1745"/>
      <c r="H485" s="1745"/>
      <c r="I485" s="1745"/>
      <c r="J485" s="1745"/>
      <c r="K485" s="1745"/>
      <c r="L485" s="1745"/>
      <c r="M485" s="1745"/>
      <c r="N485" s="2"/>
      <c r="W485" t="s">
        <v>2089</v>
      </c>
    </row>
    <row r="486" spans="1:23" ht="13.15" customHeight="1" x14ac:dyDescent="0.2">
      <c r="A486" s="2" t="s">
        <v>2220</v>
      </c>
      <c r="B486" s="2">
        <f t="shared" si="14"/>
        <v>2019</v>
      </c>
      <c r="C486" s="2" t="str">
        <f t="shared" si="15"/>
        <v>EC101</v>
      </c>
      <c r="D486" s="1747"/>
      <c r="E486" s="2"/>
      <c r="F486" s="1763"/>
      <c r="G486" s="1745"/>
      <c r="H486" s="1745"/>
      <c r="I486" s="1745"/>
      <c r="J486" s="1745"/>
      <c r="K486" s="1745"/>
      <c r="L486" s="1745"/>
      <c r="M486" s="1745"/>
      <c r="N486" s="2"/>
      <c r="W486" t="s">
        <v>2089</v>
      </c>
    </row>
    <row r="487" spans="1:23" ht="13.15" customHeight="1" x14ac:dyDescent="0.2">
      <c r="A487" s="2" t="s">
        <v>2220</v>
      </c>
      <c r="B487" s="2">
        <f t="shared" si="14"/>
        <v>2019</v>
      </c>
      <c r="C487" s="2" t="str">
        <f t="shared" si="15"/>
        <v>EC101</v>
      </c>
      <c r="D487" s="1747"/>
      <c r="E487" s="2"/>
      <c r="F487" s="1763"/>
      <c r="G487" s="1745"/>
      <c r="H487" s="1745"/>
      <c r="I487" s="1745"/>
      <c r="J487" s="1745"/>
      <c r="K487" s="1745"/>
      <c r="L487" s="1745"/>
      <c r="M487" s="1745"/>
      <c r="N487" s="2"/>
      <c r="W487" t="s">
        <v>2089</v>
      </c>
    </row>
    <row r="488" spans="1:23" ht="13.15" customHeight="1" x14ac:dyDescent="0.2">
      <c r="A488" s="2" t="s">
        <v>2220</v>
      </c>
      <c r="B488" s="2">
        <f t="shared" si="14"/>
        <v>2019</v>
      </c>
      <c r="C488" s="2" t="str">
        <f t="shared" si="15"/>
        <v>EC101</v>
      </c>
      <c r="D488" s="1747"/>
      <c r="E488" s="2"/>
      <c r="F488" s="1763"/>
      <c r="G488" s="1745"/>
      <c r="H488" s="1745"/>
      <c r="I488" s="1745"/>
      <c r="J488" s="1745"/>
      <c r="K488" s="1745"/>
      <c r="L488" s="1745"/>
      <c r="M488" s="1745"/>
      <c r="N488" s="2"/>
      <c r="W488" t="s">
        <v>2089</v>
      </c>
    </row>
    <row r="489" spans="1:23" ht="13.15" customHeight="1" x14ac:dyDescent="0.2">
      <c r="A489" s="2" t="s">
        <v>2220</v>
      </c>
      <c r="B489" s="2">
        <f t="shared" si="14"/>
        <v>2019</v>
      </c>
      <c r="C489" s="2" t="str">
        <f t="shared" si="15"/>
        <v>EC101</v>
      </c>
      <c r="D489" s="1747"/>
      <c r="E489" s="2"/>
      <c r="F489" s="1763"/>
      <c r="G489" s="1745"/>
      <c r="H489" s="1745"/>
      <c r="I489" s="1745"/>
      <c r="J489" s="1745"/>
      <c r="K489" s="1745"/>
      <c r="L489" s="1745"/>
      <c r="M489" s="1745"/>
      <c r="N489" s="2"/>
      <c r="W489" t="s">
        <v>2089</v>
      </c>
    </row>
    <row r="490" spans="1:23" ht="13.15" customHeight="1" x14ac:dyDescent="0.2">
      <c r="A490" s="2" t="s">
        <v>2220</v>
      </c>
      <c r="B490" s="2">
        <f t="shared" si="14"/>
        <v>2019</v>
      </c>
      <c r="C490" s="2" t="str">
        <f t="shared" si="15"/>
        <v>EC101</v>
      </c>
      <c r="D490" s="1747"/>
      <c r="E490" s="2"/>
      <c r="F490" s="1763"/>
      <c r="G490" s="1745"/>
      <c r="H490" s="1745"/>
      <c r="I490" s="1745"/>
      <c r="J490" s="1745"/>
      <c r="K490" s="1745"/>
      <c r="L490" s="1745"/>
      <c r="M490" s="1745"/>
      <c r="N490" s="2"/>
      <c r="W490" t="s">
        <v>2089</v>
      </c>
    </row>
    <row r="491" spans="1:23" ht="13.15" customHeight="1" x14ac:dyDescent="0.2">
      <c r="A491" s="2" t="s">
        <v>2220</v>
      </c>
      <c r="B491" s="2">
        <f t="shared" si="14"/>
        <v>2019</v>
      </c>
      <c r="C491" s="2" t="str">
        <f t="shared" si="15"/>
        <v>EC101</v>
      </c>
      <c r="D491" s="1747"/>
      <c r="E491" s="2"/>
      <c r="F491" s="1763"/>
      <c r="G491" s="1745"/>
      <c r="H491" s="1745"/>
      <c r="I491" s="1745"/>
      <c r="J491" s="1745"/>
      <c r="K491" s="1745"/>
      <c r="L491" s="1745"/>
      <c r="M491" s="1745"/>
      <c r="N491" s="2"/>
      <c r="W491" t="s">
        <v>2089</v>
      </c>
    </row>
    <row r="492" spans="1:23" ht="13.15" customHeight="1" x14ac:dyDescent="0.2">
      <c r="A492" s="2" t="s">
        <v>2220</v>
      </c>
      <c r="B492" s="2">
        <f t="shared" si="14"/>
        <v>2019</v>
      </c>
      <c r="C492" s="2" t="str">
        <f t="shared" si="15"/>
        <v>EC101</v>
      </c>
      <c r="D492" s="1747"/>
      <c r="E492" s="2"/>
      <c r="F492" s="1763"/>
      <c r="G492" s="1745"/>
      <c r="H492" s="1745"/>
      <c r="I492" s="1745"/>
      <c r="J492" s="1745"/>
      <c r="K492" s="1745"/>
      <c r="L492" s="1745"/>
      <c r="M492" s="1745"/>
      <c r="N492" s="2"/>
      <c r="W492" t="s">
        <v>2089</v>
      </c>
    </row>
    <row r="493" spans="1:23" ht="13.15" customHeight="1" x14ac:dyDescent="0.2">
      <c r="A493" s="2" t="s">
        <v>2220</v>
      </c>
      <c r="B493" s="2">
        <f t="shared" si="14"/>
        <v>2019</v>
      </c>
      <c r="C493" s="2" t="str">
        <f t="shared" si="15"/>
        <v>EC101</v>
      </c>
      <c r="D493" s="1747"/>
      <c r="E493" s="2"/>
      <c r="F493" s="1763"/>
      <c r="G493" s="1745"/>
      <c r="H493" s="1745"/>
      <c r="I493" s="1745"/>
      <c r="J493" s="1745"/>
      <c r="K493" s="1745"/>
      <c r="L493" s="1745"/>
      <c r="M493" s="1745"/>
      <c r="N493" s="2"/>
      <c r="W493" t="s">
        <v>2089</v>
      </c>
    </row>
    <row r="494" spans="1:23" ht="13.15" customHeight="1" x14ac:dyDescent="0.2">
      <c r="A494" s="2" t="s">
        <v>2220</v>
      </c>
      <c r="B494" s="2">
        <f t="shared" si="14"/>
        <v>2019</v>
      </c>
      <c r="C494" s="2" t="str">
        <f t="shared" si="15"/>
        <v>EC101</v>
      </c>
      <c r="D494" s="1747"/>
      <c r="E494" s="2"/>
      <c r="F494" s="1763"/>
      <c r="G494" s="1745"/>
      <c r="H494" s="1745"/>
      <c r="I494" s="1745"/>
      <c r="J494" s="1745"/>
      <c r="K494" s="1745"/>
      <c r="L494" s="1745"/>
      <c r="M494" s="1745"/>
      <c r="N494" s="2"/>
      <c r="W494" t="s">
        <v>2089</v>
      </c>
    </row>
    <row r="495" spans="1:23" ht="13.15" customHeight="1" x14ac:dyDescent="0.2">
      <c r="A495" s="2" t="s">
        <v>2220</v>
      </c>
      <c r="B495" s="2">
        <f t="shared" si="14"/>
        <v>2019</v>
      </c>
      <c r="C495" s="2" t="str">
        <f t="shared" si="15"/>
        <v>EC101</v>
      </c>
      <c r="D495" s="1747"/>
      <c r="E495" s="2"/>
      <c r="F495" s="1763"/>
      <c r="G495" s="1745"/>
      <c r="H495" s="1745"/>
      <c r="I495" s="1745"/>
      <c r="J495" s="1745"/>
      <c r="K495" s="1745"/>
      <c r="L495" s="1745"/>
      <c r="M495" s="1745"/>
      <c r="N495" s="2"/>
      <c r="W495" t="s">
        <v>2089</v>
      </c>
    </row>
    <row r="496" spans="1:23" ht="13.15" customHeight="1" x14ac:dyDescent="0.2">
      <c r="A496" s="2" t="s">
        <v>2220</v>
      </c>
      <c r="B496" s="2">
        <f t="shared" si="14"/>
        <v>2019</v>
      </c>
      <c r="C496" s="2" t="str">
        <f t="shared" si="15"/>
        <v>EC101</v>
      </c>
      <c r="D496" s="1747"/>
      <c r="E496" s="2"/>
      <c r="F496" s="1763"/>
      <c r="G496" s="1745"/>
      <c r="H496" s="1745"/>
      <c r="I496" s="1745"/>
      <c r="J496" s="1745"/>
      <c r="K496" s="1745"/>
      <c r="L496" s="1745"/>
      <c r="M496" s="1745"/>
      <c r="N496" s="2"/>
      <c r="W496" t="s">
        <v>2089</v>
      </c>
    </row>
    <row r="497" spans="1:23" ht="13.15" customHeight="1" x14ac:dyDescent="0.2">
      <c r="A497" s="2" t="s">
        <v>2220</v>
      </c>
      <c r="B497" s="2">
        <f t="shared" si="14"/>
        <v>2019</v>
      </c>
      <c r="C497" s="2" t="str">
        <f t="shared" si="15"/>
        <v>EC101</v>
      </c>
      <c r="D497" s="1747"/>
      <c r="E497" s="2"/>
      <c r="F497" s="1763"/>
      <c r="G497" s="1745"/>
      <c r="H497" s="1745"/>
      <c r="I497" s="1745"/>
      <c r="J497" s="1745"/>
      <c r="K497" s="1745"/>
      <c r="L497" s="1745"/>
      <c r="M497" s="1745"/>
      <c r="N497" s="2"/>
      <c r="W497" t="s">
        <v>2089</v>
      </c>
    </row>
    <row r="498" spans="1:23" ht="13.15" customHeight="1" x14ac:dyDescent="0.2">
      <c r="A498" s="2" t="s">
        <v>2220</v>
      </c>
      <c r="B498" s="2">
        <f t="shared" si="14"/>
        <v>2019</v>
      </c>
      <c r="C498" s="2" t="str">
        <f t="shared" si="15"/>
        <v>EC101</v>
      </c>
      <c r="D498" s="1747"/>
      <c r="E498" s="2"/>
      <c r="F498" s="1763"/>
      <c r="G498" s="1745"/>
      <c r="H498" s="1745"/>
      <c r="I498" s="1745"/>
      <c r="J498" s="1745"/>
      <c r="K498" s="1745"/>
      <c r="L498" s="1745"/>
      <c r="M498" s="1745"/>
      <c r="N498" s="2"/>
      <c r="W498" t="s">
        <v>2089</v>
      </c>
    </row>
    <row r="499" spans="1:23" ht="13.15" customHeight="1" x14ac:dyDescent="0.2">
      <c r="A499" s="2" t="s">
        <v>2220</v>
      </c>
      <c r="B499" s="2">
        <f t="shared" si="14"/>
        <v>2019</v>
      </c>
      <c r="C499" s="2" t="str">
        <f t="shared" si="15"/>
        <v>EC101</v>
      </c>
      <c r="D499" s="1747"/>
      <c r="E499" s="2"/>
      <c r="F499" s="1763"/>
      <c r="G499" s="1745"/>
      <c r="H499" s="1745"/>
      <c r="I499" s="1745"/>
      <c r="J499" s="1745"/>
      <c r="K499" s="1745"/>
      <c r="L499" s="1745"/>
      <c r="M499" s="1745"/>
      <c r="N499" s="2"/>
      <c r="W499" t="s">
        <v>2089</v>
      </c>
    </row>
    <row r="500" spans="1:23" ht="13.15" customHeight="1" x14ac:dyDescent="0.2">
      <c r="A500" s="2" t="s">
        <v>2220</v>
      </c>
      <c r="B500" s="2">
        <f t="shared" si="14"/>
        <v>2019</v>
      </c>
      <c r="C500" s="2" t="str">
        <f t="shared" si="15"/>
        <v>EC101</v>
      </c>
      <c r="D500" s="1747"/>
      <c r="E500" s="2"/>
      <c r="F500" s="1763"/>
      <c r="G500" s="1745"/>
      <c r="H500" s="1745"/>
      <c r="I500" s="1745"/>
      <c r="J500" s="1745"/>
      <c r="K500" s="1745"/>
      <c r="L500" s="1745"/>
      <c r="M500" s="1745"/>
      <c r="N500" s="2"/>
      <c r="W500" t="s">
        <v>2089</v>
      </c>
    </row>
    <row r="501" spans="1:23" ht="13.15" customHeight="1" x14ac:dyDescent="0.2">
      <c r="A501" s="2" t="s">
        <v>2220</v>
      </c>
      <c r="B501" s="2">
        <f t="shared" si="14"/>
        <v>2019</v>
      </c>
      <c r="C501" s="2" t="str">
        <f t="shared" si="15"/>
        <v>EC101</v>
      </c>
      <c r="D501" s="1747"/>
      <c r="E501" s="2"/>
      <c r="F501" s="1763"/>
      <c r="G501" s="1745"/>
      <c r="H501" s="1745"/>
      <c r="I501" s="1745"/>
      <c r="J501" s="1745"/>
      <c r="K501" s="1745"/>
      <c r="L501" s="1745"/>
      <c r="M501" s="1745"/>
      <c r="N501" s="2"/>
      <c r="W501" t="s">
        <v>2089</v>
      </c>
    </row>
    <row r="502" spans="1:23" ht="13.15" customHeight="1" x14ac:dyDescent="0.2">
      <c r="A502" s="2" t="s">
        <v>2220</v>
      </c>
      <c r="B502" s="2">
        <f t="shared" si="14"/>
        <v>2019</v>
      </c>
      <c r="C502" s="2" t="str">
        <f t="shared" si="15"/>
        <v>EC101</v>
      </c>
      <c r="D502" s="1747"/>
      <c r="E502" s="2"/>
      <c r="F502" s="1763"/>
      <c r="G502" s="1745"/>
      <c r="H502" s="1745"/>
      <c r="I502" s="1745"/>
      <c r="J502" s="1745"/>
      <c r="K502" s="1745"/>
      <c r="L502" s="1745"/>
      <c r="M502" s="1745"/>
      <c r="N502" s="2"/>
      <c r="W502" t="s">
        <v>2089</v>
      </c>
    </row>
    <row r="503" spans="1:23" ht="13.15" customHeight="1" x14ac:dyDescent="0.2">
      <c r="A503" s="2" t="s">
        <v>2220</v>
      </c>
      <c r="B503" s="2">
        <f t="shared" si="14"/>
        <v>2019</v>
      </c>
      <c r="C503" s="2" t="str">
        <f t="shared" si="15"/>
        <v>EC101</v>
      </c>
      <c r="D503" s="1747"/>
      <c r="E503" s="2"/>
      <c r="F503" s="1763"/>
      <c r="G503" s="1745"/>
      <c r="H503" s="1745"/>
      <c r="I503" s="1745"/>
      <c r="J503" s="1745"/>
      <c r="K503" s="1745"/>
      <c r="L503" s="1745"/>
      <c r="M503" s="1745"/>
      <c r="N503" s="2"/>
      <c r="W503" t="s">
        <v>2089</v>
      </c>
    </row>
    <row r="504" spans="1:23" ht="13.15" customHeight="1" x14ac:dyDescent="0.2">
      <c r="A504" s="2" t="s">
        <v>2220</v>
      </c>
      <c r="B504" s="2">
        <f t="shared" si="14"/>
        <v>2019</v>
      </c>
      <c r="C504" s="2" t="str">
        <f t="shared" si="15"/>
        <v>EC101</v>
      </c>
      <c r="D504" s="1747"/>
      <c r="E504" s="2"/>
      <c r="F504" s="1763"/>
      <c r="G504" s="1745"/>
      <c r="H504" s="1745"/>
      <c r="I504" s="1745"/>
      <c r="J504" s="1745"/>
      <c r="K504" s="1745"/>
      <c r="L504" s="1745"/>
      <c r="M504" s="1745"/>
      <c r="N504" s="2"/>
      <c r="W504" t="s">
        <v>2089</v>
      </c>
    </row>
    <row r="505" spans="1:23" ht="13.15" customHeight="1" x14ac:dyDescent="0.2">
      <c r="A505" s="2" t="s">
        <v>2220</v>
      </c>
      <c r="B505" s="2">
        <f t="shared" si="14"/>
        <v>2019</v>
      </c>
      <c r="C505" s="2" t="str">
        <f t="shared" si="15"/>
        <v>EC101</v>
      </c>
      <c r="D505" s="1747"/>
      <c r="E505" s="2"/>
      <c r="F505" s="1763"/>
      <c r="G505" s="1745"/>
      <c r="H505" s="1745"/>
      <c r="I505" s="1745"/>
      <c r="J505" s="1745"/>
      <c r="K505" s="1745"/>
      <c r="L505" s="1745"/>
      <c r="M505" s="1745"/>
      <c r="N505" s="2"/>
      <c r="W505" t="s">
        <v>2089</v>
      </c>
    </row>
    <row r="506" spans="1:23" ht="13.15" customHeight="1" x14ac:dyDescent="0.2">
      <c r="A506" s="2" t="s">
        <v>2220</v>
      </c>
      <c r="B506" s="2">
        <f t="shared" si="14"/>
        <v>2019</v>
      </c>
      <c r="C506" s="2" t="str">
        <f t="shared" si="15"/>
        <v>EC101</v>
      </c>
      <c r="D506" s="1747"/>
      <c r="E506" s="2"/>
      <c r="F506" s="1763"/>
      <c r="G506" s="1745"/>
      <c r="H506" s="1745"/>
      <c r="I506" s="1745"/>
      <c r="J506" s="1745"/>
      <c r="K506" s="1745"/>
      <c r="L506" s="1745"/>
      <c r="M506" s="1745"/>
      <c r="N506" s="2"/>
      <c r="W506" t="s">
        <v>2089</v>
      </c>
    </row>
    <row r="507" spans="1:23" ht="13.15" customHeight="1" x14ac:dyDescent="0.2">
      <c r="A507" s="2" t="s">
        <v>2220</v>
      </c>
      <c r="B507" s="2">
        <f t="shared" si="14"/>
        <v>2019</v>
      </c>
      <c r="C507" s="2" t="str">
        <f t="shared" si="15"/>
        <v>EC101</v>
      </c>
      <c r="D507" s="1747"/>
      <c r="E507" s="2"/>
      <c r="F507" s="1763"/>
      <c r="G507" s="1745"/>
      <c r="H507" s="1745"/>
      <c r="I507" s="1745"/>
      <c r="J507" s="1745"/>
      <c r="K507" s="1745"/>
      <c r="L507" s="1745"/>
      <c r="M507" s="1745"/>
      <c r="N507" s="2"/>
      <c r="W507" t="s">
        <v>2089</v>
      </c>
    </row>
    <row r="508" spans="1:23" ht="13.15" customHeight="1" x14ac:dyDescent="0.2">
      <c r="A508" s="2" t="s">
        <v>2220</v>
      </c>
      <c r="B508" s="2">
        <f t="shared" si="14"/>
        <v>2019</v>
      </c>
      <c r="C508" s="2" t="str">
        <f t="shared" si="15"/>
        <v>EC101</v>
      </c>
      <c r="D508" s="1747"/>
      <c r="E508" s="2"/>
      <c r="F508" s="1763"/>
      <c r="G508" s="1745"/>
      <c r="H508" s="1745"/>
      <c r="I508" s="1745"/>
      <c r="J508" s="1745"/>
      <c r="K508" s="1745"/>
      <c r="L508" s="1745"/>
      <c r="M508" s="1745"/>
      <c r="N508" s="2"/>
      <c r="W508" t="s">
        <v>2089</v>
      </c>
    </row>
    <row r="509" spans="1:23" ht="13.15" customHeight="1" x14ac:dyDescent="0.2">
      <c r="A509" s="2" t="s">
        <v>2220</v>
      </c>
      <c r="B509" s="2">
        <f t="shared" si="14"/>
        <v>2019</v>
      </c>
      <c r="C509" s="2" t="str">
        <f t="shared" si="15"/>
        <v>EC101</v>
      </c>
      <c r="D509" s="1747"/>
      <c r="E509" s="2"/>
      <c r="F509" s="1763"/>
      <c r="G509" s="1745"/>
      <c r="H509" s="1745"/>
      <c r="I509" s="1745"/>
      <c r="J509" s="1745"/>
      <c r="K509" s="1745"/>
      <c r="L509" s="1745"/>
      <c r="M509" s="1745"/>
      <c r="N509" s="2"/>
      <c r="W509" t="s">
        <v>2089</v>
      </c>
    </row>
    <row r="510" spans="1:23" ht="13.15" customHeight="1" x14ac:dyDescent="0.2">
      <c r="A510" s="2" t="s">
        <v>2220</v>
      </c>
      <c r="B510" s="2">
        <f t="shared" si="14"/>
        <v>2019</v>
      </c>
      <c r="C510" s="2" t="str">
        <f t="shared" si="15"/>
        <v>EC101</v>
      </c>
      <c r="D510" s="1747"/>
      <c r="E510" s="2"/>
      <c r="F510" s="1763"/>
      <c r="G510" s="1745"/>
      <c r="H510" s="1745"/>
      <c r="I510" s="1745"/>
      <c r="J510" s="1745"/>
      <c r="K510" s="1745"/>
      <c r="L510" s="1745"/>
      <c r="M510" s="1745"/>
      <c r="N510" s="2"/>
      <c r="W510" t="s">
        <v>2089</v>
      </c>
    </row>
    <row r="511" spans="1:23" ht="13.15" customHeight="1" x14ac:dyDescent="0.2">
      <c r="A511" s="2" t="s">
        <v>2220</v>
      </c>
      <c r="B511" s="2">
        <f t="shared" si="14"/>
        <v>2019</v>
      </c>
      <c r="C511" s="2" t="str">
        <f t="shared" si="15"/>
        <v>EC101</v>
      </c>
      <c r="D511" s="1747"/>
      <c r="E511" s="2"/>
      <c r="F511" s="1763"/>
      <c r="G511" s="1745"/>
      <c r="H511" s="1745"/>
      <c r="I511" s="1745"/>
      <c r="J511" s="1745"/>
      <c r="K511" s="1745"/>
      <c r="L511" s="1745"/>
      <c r="M511" s="1745"/>
      <c r="N511" s="2"/>
      <c r="W511" t="s">
        <v>2089</v>
      </c>
    </row>
    <row r="512" spans="1:23" ht="13.15" customHeight="1" x14ac:dyDescent="0.2">
      <c r="A512" s="2" t="s">
        <v>2220</v>
      </c>
      <c r="B512" s="2">
        <f t="shared" si="14"/>
        <v>2019</v>
      </c>
      <c r="C512" s="2" t="str">
        <f t="shared" si="15"/>
        <v>EC101</v>
      </c>
      <c r="D512" s="1747"/>
      <c r="E512" s="2"/>
      <c r="F512" s="1763"/>
      <c r="G512" s="1745"/>
      <c r="H512" s="1745"/>
      <c r="I512" s="1745"/>
      <c r="J512" s="1745"/>
      <c r="K512" s="1745"/>
      <c r="L512" s="1745"/>
      <c r="M512" s="1745"/>
      <c r="N512" s="2"/>
      <c r="W512" t="s">
        <v>2089</v>
      </c>
    </row>
    <row r="513" spans="1:23" ht="13.15" customHeight="1" x14ac:dyDescent="0.2">
      <c r="A513" s="2" t="s">
        <v>2220</v>
      </c>
      <c r="B513" s="2">
        <f t="shared" si="14"/>
        <v>2019</v>
      </c>
      <c r="C513" s="2" t="str">
        <f t="shared" si="15"/>
        <v>EC101</v>
      </c>
      <c r="D513" s="1747"/>
      <c r="E513" s="2"/>
      <c r="F513" s="1763"/>
      <c r="G513" s="1745"/>
      <c r="H513" s="1745"/>
      <c r="I513" s="1745"/>
      <c r="J513" s="1745"/>
      <c r="K513" s="1745"/>
      <c r="L513" s="1745"/>
      <c r="M513" s="1745"/>
      <c r="N513" s="2"/>
      <c r="W513" t="s">
        <v>2089</v>
      </c>
    </row>
    <row r="514" spans="1:23" ht="13.15" customHeight="1" x14ac:dyDescent="0.2">
      <c r="A514" s="2" t="s">
        <v>2220</v>
      </c>
      <c r="B514" s="2">
        <f t="shared" ref="B514:B577" si="16">+MTREF</f>
        <v>2019</v>
      </c>
      <c r="C514" s="2" t="str">
        <f t="shared" ref="C514:C577" si="17">LEFT(muni,(FIND(" ",muni,1)-1))</f>
        <v>EC101</v>
      </c>
      <c r="D514" s="1747"/>
      <c r="E514" s="2"/>
      <c r="F514" s="2"/>
      <c r="G514" s="1745"/>
      <c r="H514" s="1745"/>
      <c r="I514" s="1745"/>
      <c r="J514" s="1745"/>
      <c r="K514" s="1745"/>
      <c r="L514" s="1745"/>
      <c r="M514" s="1745"/>
      <c r="N514" s="2"/>
      <c r="W514" t="s">
        <v>2089</v>
      </c>
    </row>
    <row r="515" spans="1:23" ht="13.15" customHeight="1" x14ac:dyDescent="0.2">
      <c r="A515" s="2" t="s">
        <v>2220</v>
      </c>
      <c r="B515" s="2">
        <f t="shared" si="16"/>
        <v>2019</v>
      </c>
      <c r="C515" s="2" t="str">
        <f t="shared" si="17"/>
        <v>EC101</v>
      </c>
      <c r="D515" s="1747"/>
      <c r="E515" s="2"/>
      <c r="F515" s="2"/>
      <c r="G515" s="1745"/>
      <c r="H515" s="1745"/>
      <c r="I515" s="1745"/>
      <c r="J515" s="1745"/>
      <c r="K515" s="1745"/>
      <c r="L515" s="1745"/>
      <c r="M515" s="1745"/>
      <c r="N515" s="2"/>
      <c r="W515" t="s">
        <v>2089</v>
      </c>
    </row>
    <row r="516" spans="1:23" ht="13.15" customHeight="1" x14ac:dyDescent="0.2">
      <c r="A516" s="2" t="s">
        <v>2220</v>
      </c>
      <c r="B516" s="2">
        <f t="shared" si="16"/>
        <v>2019</v>
      </c>
      <c r="C516" s="2" t="str">
        <f t="shared" si="17"/>
        <v>EC101</v>
      </c>
      <c r="D516" s="1747"/>
      <c r="E516" s="2"/>
      <c r="F516" s="2"/>
      <c r="G516" s="1745"/>
      <c r="H516" s="1745"/>
      <c r="I516" s="1745"/>
      <c r="J516" s="1745"/>
      <c r="K516" s="1745"/>
      <c r="L516" s="1745"/>
      <c r="M516" s="1745"/>
      <c r="N516" s="2"/>
      <c r="W516" t="s">
        <v>2089</v>
      </c>
    </row>
    <row r="517" spans="1:23" ht="13.15" customHeight="1" x14ac:dyDescent="0.2">
      <c r="A517" s="2" t="s">
        <v>2220</v>
      </c>
      <c r="B517" s="2">
        <f t="shared" si="16"/>
        <v>2019</v>
      </c>
      <c r="C517" s="2" t="str">
        <f t="shared" si="17"/>
        <v>EC101</v>
      </c>
      <c r="D517" s="1747"/>
      <c r="E517" s="2"/>
      <c r="F517" s="2"/>
      <c r="G517" s="1745"/>
      <c r="H517" s="1745"/>
      <c r="I517" s="1745"/>
      <c r="J517" s="1745"/>
      <c r="K517" s="1745"/>
      <c r="L517" s="1745"/>
      <c r="M517" s="1745"/>
      <c r="N517" s="2"/>
      <c r="W517" t="s">
        <v>2089</v>
      </c>
    </row>
    <row r="518" spans="1:23" ht="13.15" customHeight="1" x14ac:dyDescent="0.2">
      <c r="A518" s="2" t="s">
        <v>2220</v>
      </c>
      <c r="B518" s="2">
        <f t="shared" si="16"/>
        <v>2019</v>
      </c>
      <c r="C518" s="2" t="str">
        <f t="shared" si="17"/>
        <v>EC101</v>
      </c>
      <c r="D518" s="1747"/>
      <c r="E518" s="2"/>
      <c r="F518" s="2"/>
      <c r="G518" s="1745"/>
      <c r="H518" s="1745"/>
      <c r="I518" s="1745"/>
      <c r="J518" s="1745"/>
      <c r="K518" s="1745"/>
      <c r="L518" s="1745"/>
      <c r="M518" s="1745"/>
      <c r="N518" s="2"/>
      <c r="W518" t="s">
        <v>2089</v>
      </c>
    </row>
    <row r="519" spans="1:23" ht="13.15" customHeight="1" x14ac:dyDescent="0.2">
      <c r="A519" s="2" t="s">
        <v>2220</v>
      </c>
      <c r="B519" s="2">
        <f t="shared" si="16"/>
        <v>2019</v>
      </c>
      <c r="C519" s="2" t="str">
        <f t="shared" si="17"/>
        <v>EC101</v>
      </c>
      <c r="D519" s="1747"/>
      <c r="E519" s="2"/>
      <c r="F519" s="2"/>
      <c r="G519" s="1745"/>
      <c r="H519" s="1745"/>
      <c r="I519" s="1745"/>
      <c r="J519" s="1745"/>
      <c r="K519" s="1745"/>
      <c r="L519" s="1745"/>
      <c r="M519" s="1745"/>
      <c r="N519" s="2"/>
      <c r="W519" t="s">
        <v>2089</v>
      </c>
    </row>
    <row r="520" spans="1:23" ht="13.15" customHeight="1" x14ac:dyDescent="0.2">
      <c r="A520" s="2" t="s">
        <v>2220</v>
      </c>
      <c r="B520" s="2">
        <f t="shared" si="16"/>
        <v>2019</v>
      </c>
      <c r="C520" s="2" t="str">
        <f t="shared" si="17"/>
        <v>EC101</v>
      </c>
      <c r="D520" s="1747"/>
      <c r="E520" s="2"/>
      <c r="F520" s="2"/>
      <c r="G520" s="1745"/>
      <c r="H520" s="1745"/>
      <c r="I520" s="1745"/>
      <c r="J520" s="1745"/>
      <c r="K520" s="1745"/>
      <c r="L520" s="1745"/>
      <c r="M520" s="1745"/>
      <c r="N520" s="2"/>
      <c r="W520" t="s">
        <v>2089</v>
      </c>
    </row>
    <row r="521" spans="1:23" ht="13.15" customHeight="1" x14ac:dyDescent="0.2">
      <c r="A521" s="2" t="s">
        <v>2220</v>
      </c>
      <c r="B521" s="2">
        <f t="shared" si="16"/>
        <v>2019</v>
      </c>
      <c r="C521" s="2" t="str">
        <f t="shared" si="17"/>
        <v>EC101</v>
      </c>
      <c r="D521" s="1747"/>
      <c r="E521" s="2"/>
      <c r="F521" s="2"/>
      <c r="G521" s="1745"/>
      <c r="H521" s="1745"/>
      <c r="I521" s="1745"/>
      <c r="J521" s="1745"/>
      <c r="K521" s="1745"/>
      <c r="L521" s="1745"/>
      <c r="M521" s="1745"/>
      <c r="N521" s="2"/>
      <c r="W521" t="s">
        <v>2089</v>
      </c>
    </row>
    <row r="522" spans="1:23" ht="13.15" customHeight="1" x14ac:dyDescent="0.2">
      <c r="A522" s="2" t="s">
        <v>2220</v>
      </c>
      <c r="B522" s="2">
        <f t="shared" si="16"/>
        <v>2019</v>
      </c>
      <c r="C522" s="2" t="str">
        <f t="shared" si="17"/>
        <v>EC101</v>
      </c>
      <c r="D522" s="1747"/>
      <c r="E522" s="2"/>
      <c r="F522" s="2"/>
      <c r="G522" s="1745"/>
      <c r="H522" s="1745"/>
      <c r="I522" s="1745"/>
      <c r="J522" s="1745"/>
      <c r="K522" s="1745"/>
      <c r="L522" s="1745"/>
      <c r="M522" s="1745"/>
      <c r="N522" s="2"/>
      <c r="W522" t="s">
        <v>2089</v>
      </c>
    </row>
    <row r="523" spans="1:23" ht="13.15" customHeight="1" x14ac:dyDescent="0.2">
      <c r="A523" s="2" t="s">
        <v>2220</v>
      </c>
      <c r="B523" s="2">
        <f t="shared" si="16"/>
        <v>2019</v>
      </c>
      <c r="C523" s="2" t="str">
        <f t="shared" si="17"/>
        <v>EC101</v>
      </c>
      <c r="D523" s="1747"/>
      <c r="E523" s="2"/>
      <c r="F523" s="2"/>
      <c r="G523" s="1745"/>
      <c r="H523" s="1745"/>
      <c r="I523" s="1745"/>
      <c r="J523" s="1745"/>
      <c r="K523" s="1745"/>
      <c r="L523" s="1745"/>
      <c r="M523" s="1745"/>
      <c r="N523" s="2"/>
      <c r="W523" t="s">
        <v>2089</v>
      </c>
    </row>
    <row r="524" spans="1:23" ht="13.15" customHeight="1" x14ac:dyDescent="0.2">
      <c r="A524" s="2" t="s">
        <v>2220</v>
      </c>
      <c r="B524" s="2">
        <f t="shared" si="16"/>
        <v>2019</v>
      </c>
      <c r="C524" s="2" t="str">
        <f t="shared" si="17"/>
        <v>EC101</v>
      </c>
      <c r="D524" s="1747"/>
      <c r="E524" s="2"/>
      <c r="F524" s="2"/>
      <c r="G524" s="1745"/>
      <c r="H524" s="1745"/>
      <c r="I524" s="1745"/>
      <c r="J524" s="1745"/>
      <c r="K524" s="1745"/>
      <c r="L524" s="1745"/>
      <c r="M524" s="1745"/>
      <c r="N524" s="2"/>
      <c r="W524" t="s">
        <v>2089</v>
      </c>
    </row>
    <row r="525" spans="1:23" ht="13.15" customHeight="1" x14ac:dyDescent="0.2">
      <c r="A525" s="2" t="s">
        <v>2220</v>
      </c>
      <c r="B525" s="2">
        <f t="shared" si="16"/>
        <v>2019</v>
      </c>
      <c r="C525" s="2" t="str">
        <f t="shared" si="17"/>
        <v>EC101</v>
      </c>
      <c r="D525" s="1747"/>
      <c r="E525" s="2"/>
      <c r="F525" s="2"/>
      <c r="G525" s="1745"/>
      <c r="H525" s="1745"/>
      <c r="I525" s="1745"/>
      <c r="J525" s="1745"/>
      <c r="K525" s="1745"/>
      <c r="L525" s="1745"/>
      <c r="M525" s="1745"/>
      <c r="N525" s="2"/>
      <c r="W525" t="s">
        <v>2089</v>
      </c>
    </row>
    <row r="526" spans="1:23" ht="13.15" customHeight="1" x14ac:dyDescent="0.2">
      <c r="A526" s="2" t="s">
        <v>2220</v>
      </c>
      <c r="B526" s="2">
        <f t="shared" si="16"/>
        <v>2019</v>
      </c>
      <c r="C526" s="2" t="str">
        <f t="shared" si="17"/>
        <v>EC101</v>
      </c>
      <c r="D526" s="1747"/>
      <c r="E526" s="2"/>
      <c r="F526" s="2"/>
      <c r="G526" s="1745"/>
      <c r="H526" s="1745"/>
      <c r="I526" s="1745"/>
      <c r="J526" s="1745"/>
      <c r="K526" s="1745"/>
      <c r="L526" s="1745"/>
      <c r="M526" s="1745"/>
      <c r="N526" s="2"/>
      <c r="W526" t="s">
        <v>2089</v>
      </c>
    </row>
    <row r="527" spans="1:23" ht="13.15" customHeight="1" x14ac:dyDescent="0.2">
      <c r="A527" s="2" t="s">
        <v>2220</v>
      </c>
      <c r="B527" s="2">
        <f t="shared" si="16"/>
        <v>2019</v>
      </c>
      <c r="C527" s="2" t="str">
        <f t="shared" si="17"/>
        <v>EC101</v>
      </c>
      <c r="D527" s="1747"/>
      <c r="E527" s="2"/>
      <c r="F527" s="2"/>
      <c r="G527" s="1745"/>
      <c r="H527" s="1745"/>
      <c r="I527" s="1745"/>
      <c r="J527" s="1745"/>
      <c r="K527" s="1745"/>
      <c r="L527" s="1745"/>
      <c r="M527" s="1745"/>
      <c r="N527" s="2"/>
      <c r="W527" t="s">
        <v>2089</v>
      </c>
    </row>
    <row r="528" spans="1:23" ht="13.15" customHeight="1" x14ac:dyDescent="0.2">
      <c r="A528" s="2" t="s">
        <v>2220</v>
      </c>
      <c r="B528" s="2">
        <f t="shared" si="16"/>
        <v>2019</v>
      </c>
      <c r="C528" s="2" t="str">
        <f t="shared" si="17"/>
        <v>EC101</v>
      </c>
      <c r="D528" s="1747"/>
      <c r="E528" s="2"/>
      <c r="F528" s="2"/>
      <c r="G528" s="1745"/>
      <c r="H528" s="1745"/>
      <c r="I528" s="1745"/>
      <c r="J528" s="1745"/>
      <c r="K528" s="1745"/>
      <c r="L528" s="1745"/>
      <c r="M528" s="1745"/>
      <c r="N528" s="2"/>
      <c r="W528" t="s">
        <v>2089</v>
      </c>
    </row>
    <row r="529" spans="1:23" ht="13.15" customHeight="1" x14ac:dyDescent="0.2">
      <c r="A529" s="2" t="s">
        <v>2220</v>
      </c>
      <c r="B529" s="2">
        <f t="shared" si="16"/>
        <v>2019</v>
      </c>
      <c r="C529" s="2" t="str">
        <f t="shared" si="17"/>
        <v>EC101</v>
      </c>
      <c r="D529" s="1747"/>
      <c r="E529" s="2"/>
      <c r="F529" s="2"/>
      <c r="G529" s="1745"/>
      <c r="H529" s="1745"/>
      <c r="I529" s="1745"/>
      <c r="J529" s="1745"/>
      <c r="K529" s="1745"/>
      <c r="L529" s="1745"/>
      <c r="M529" s="1745"/>
      <c r="N529" s="2"/>
      <c r="W529" t="s">
        <v>2089</v>
      </c>
    </row>
    <row r="530" spans="1:23" ht="13.15" customHeight="1" x14ac:dyDescent="0.2">
      <c r="A530" s="2" t="s">
        <v>2220</v>
      </c>
      <c r="B530" s="2">
        <f t="shared" si="16"/>
        <v>2019</v>
      </c>
      <c r="C530" s="2" t="str">
        <f t="shared" si="17"/>
        <v>EC101</v>
      </c>
      <c r="D530" s="1747"/>
      <c r="E530" s="2"/>
      <c r="F530" s="2"/>
      <c r="G530" s="1745"/>
      <c r="H530" s="1745"/>
      <c r="I530" s="1745"/>
      <c r="J530" s="1745"/>
      <c r="K530" s="1745"/>
      <c r="L530" s="1745"/>
      <c r="M530" s="1745"/>
      <c r="N530" s="2"/>
      <c r="W530" t="s">
        <v>2089</v>
      </c>
    </row>
    <row r="531" spans="1:23" ht="13.15" customHeight="1" x14ac:dyDescent="0.2">
      <c r="A531" s="2" t="s">
        <v>2220</v>
      </c>
      <c r="B531" s="2">
        <f t="shared" si="16"/>
        <v>2019</v>
      </c>
      <c r="C531" s="2" t="str">
        <f t="shared" si="17"/>
        <v>EC101</v>
      </c>
      <c r="D531" s="1747"/>
      <c r="E531" s="2"/>
      <c r="F531" s="2"/>
      <c r="G531" s="1745"/>
      <c r="H531" s="1745"/>
      <c r="I531" s="1745"/>
      <c r="J531" s="1745"/>
      <c r="K531" s="1745"/>
      <c r="L531" s="1745"/>
      <c r="M531" s="1745"/>
      <c r="N531" s="2"/>
      <c r="W531" t="s">
        <v>2089</v>
      </c>
    </row>
    <row r="532" spans="1:23" ht="13.15" customHeight="1" x14ac:dyDescent="0.2">
      <c r="A532" s="2" t="s">
        <v>2220</v>
      </c>
      <c r="B532" s="2">
        <f t="shared" si="16"/>
        <v>2019</v>
      </c>
      <c r="C532" s="2" t="str">
        <f t="shared" si="17"/>
        <v>EC101</v>
      </c>
      <c r="D532" s="1747"/>
      <c r="E532" s="2"/>
      <c r="F532" s="2"/>
      <c r="G532" s="1745"/>
      <c r="H532" s="1745"/>
      <c r="I532" s="1745"/>
      <c r="J532" s="1745"/>
      <c r="K532" s="1745"/>
      <c r="L532" s="1745"/>
      <c r="M532" s="1745"/>
      <c r="N532" s="2"/>
      <c r="W532" t="s">
        <v>2089</v>
      </c>
    </row>
    <row r="533" spans="1:23" ht="13.15" customHeight="1" x14ac:dyDescent="0.2">
      <c r="A533" s="2" t="s">
        <v>2220</v>
      </c>
      <c r="B533" s="2">
        <f t="shared" si="16"/>
        <v>2019</v>
      </c>
      <c r="C533" s="2" t="str">
        <f t="shared" si="17"/>
        <v>EC101</v>
      </c>
      <c r="D533" s="1747"/>
      <c r="E533" s="2"/>
      <c r="F533" s="2"/>
      <c r="G533" s="1745"/>
      <c r="H533" s="1745"/>
      <c r="I533" s="1745"/>
      <c r="J533" s="1745"/>
      <c r="K533" s="1745"/>
      <c r="L533" s="1745"/>
      <c r="M533" s="1745"/>
      <c r="N533" s="2"/>
      <c r="W533" t="s">
        <v>2089</v>
      </c>
    </row>
    <row r="534" spans="1:23" ht="13.15" customHeight="1" x14ac:dyDescent="0.2">
      <c r="A534" s="2" t="s">
        <v>2220</v>
      </c>
      <c r="B534" s="2">
        <f t="shared" si="16"/>
        <v>2019</v>
      </c>
      <c r="C534" s="2" t="str">
        <f t="shared" si="17"/>
        <v>EC101</v>
      </c>
      <c r="D534" s="1747"/>
      <c r="E534" s="2"/>
      <c r="F534" s="2"/>
      <c r="G534" s="1745"/>
      <c r="H534" s="1745"/>
      <c r="I534" s="1745"/>
      <c r="J534" s="1745"/>
      <c r="K534" s="1745"/>
      <c r="L534" s="1745"/>
      <c r="M534" s="1745"/>
      <c r="N534" s="2"/>
      <c r="W534" t="s">
        <v>2089</v>
      </c>
    </row>
    <row r="535" spans="1:23" ht="13.15" customHeight="1" x14ac:dyDescent="0.2">
      <c r="A535" s="2" t="s">
        <v>2220</v>
      </c>
      <c r="B535" s="2">
        <f t="shared" si="16"/>
        <v>2019</v>
      </c>
      <c r="C535" s="2" t="str">
        <f t="shared" si="17"/>
        <v>EC101</v>
      </c>
      <c r="D535" s="1747"/>
      <c r="E535" s="2"/>
      <c r="F535" s="2"/>
      <c r="G535" s="1745"/>
      <c r="H535" s="1745"/>
      <c r="I535" s="1745"/>
      <c r="J535" s="1745"/>
      <c r="K535" s="1745"/>
      <c r="L535" s="1745"/>
      <c r="M535" s="1745"/>
      <c r="N535" s="2"/>
      <c r="W535" t="s">
        <v>2089</v>
      </c>
    </row>
    <row r="536" spans="1:23" ht="13.15" customHeight="1" x14ac:dyDescent="0.2">
      <c r="A536" s="2" t="s">
        <v>2220</v>
      </c>
      <c r="B536" s="2">
        <f t="shared" si="16"/>
        <v>2019</v>
      </c>
      <c r="C536" s="2" t="str">
        <f t="shared" si="17"/>
        <v>EC101</v>
      </c>
      <c r="D536" s="1747"/>
      <c r="E536" s="2"/>
      <c r="F536" s="2"/>
      <c r="G536" s="1745"/>
      <c r="H536" s="1745"/>
      <c r="I536" s="1745"/>
      <c r="J536" s="1745"/>
      <c r="K536" s="1745"/>
      <c r="L536" s="1745"/>
      <c r="M536" s="1745"/>
      <c r="N536" s="2"/>
      <c r="W536" t="s">
        <v>2089</v>
      </c>
    </row>
    <row r="537" spans="1:23" ht="13.15" customHeight="1" x14ac:dyDescent="0.2">
      <c r="A537" s="2" t="s">
        <v>2220</v>
      </c>
      <c r="B537" s="2">
        <f t="shared" si="16"/>
        <v>2019</v>
      </c>
      <c r="C537" s="2" t="str">
        <f t="shared" si="17"/>
        <v>EC101</v>
      </c>
      <c r="D537" s="1747"/>
      <c r="E537" s="2"/>
      <c r="F537" s="2"/>
      <c r="G537" s="1745"/>
      <c r="H537" s="1745"/>
      <c r="I537" s="1745"/>
      <c r="J537" s="1745"/>
      <c r="K537" s="1745"/>
      <c r="L537" s="1745"/>
      <c r="M537" s="1745"/>
      <c r="N537" s="2"/>
      <c r="W537" t="s">
        <v>2089</v>
      </c>
    </row>
    <row r="538" spans="1:23" ht="13.15" customHeight="1" x14ac:dyDescent="0.2">
      <c r="A538" s="2" t="s">
        <v>2220</v>
      </c>
      <c r="B538" s="2">
        <f t="shared" si="16"/>
        <v>2019</v>
      </c>
      <c r="C538" s="2" t="str">
        <f t="shared" si="17"/>
        <v>EC101</v>
      </c>
      <c r="D538" s="1747"/>
      <c r="E538" s="2"/>
      <c r="F538" s="2"/>
      <c r="G538" s="1745"/>
      <c r="H538" s="1745"/>
      <c r="I538" s="1745"/>
      <c r="J538" s="1745"/>
      <c r="K538" s="1745"/>
      <c r="L538" s="1745"/>
      <c r="M538" s="1745"/>
      <c r="N538" s="2"/>
      <c r="W538" t="s">
        <v>2089</v>
      </c>
    </row>
    <row r="539" spans="1:23" ht="13.15" customHeight="1" x14ac:dyDescent="0.2">
      <c r="A539" s="2" t="s">
        <v>2220</v>
      </c>
      <c r="B539" s="2">
        <f t="shared" si="16"/>
        <v>2019</v>
      </c>
      <c r="C539" s="2" t="str">
        <f t="shared" si="17"/>
        <v>EC101</v>
      </c>
      <c r="D539" s="1747"/>
      <c r="E539" s="2"/>
      <c r="F539" s="2"/>
      <c r="G539" s="1745"/>
      <c r="H539" s="1745"/>
      <c r="I539" s="1745"/>
      <c r="J539" s="1745"/>
      <c r="K539" s="1745"/>
      <c r="L539" s="1745"/>
      <c r="M539" s="1745"/>
      <c r="N539" s="2"/>
      <c r="W539" t="s">
        <v>2089</v>
      </c>
    </row>
    <row r="540" spans="1:23" ht="13.15" customHeight="1" x14ac:dyDescent="0.2">
      <c r="A540" s="2" t="s">
        <v>2220</v>
      </c>
      <c r="B540" s="2">
        <f t="shared" si="16"/>
        <v>2019</v>
      </c>
      <c r="C540" s="2" t="str">
        <f t="shared" si="17"/>
        <v>EC101</v>
      </c>
      <c r="D540" s="1747"/>
      <c r="E540" s="2"/>
      <c r="F540" s="2"/>
      <c r="G540" s="1745"/>
      <c r="H540" s="1745"/>
      <c r="I540" s="1745"/>
      <c r="J540" s="1745"/>
      <c r="K540" s="1745"/>
      <c r="L540" s="1745"/>
      <c r="M540" s="1745"/>
      <c r="N540" s="2"/>
      <c r="W540" t="s">
        <v>2089</v>
      </c>
    </row>
    <row r="541" spans="1:23" ht="13.15" customHeight="1" x14ac:dyDescent="0.2">
      <c r="A541" s="2" t="s">
        <v>2220</v>
      </c>
      <c r="B541" s="2">
        <f t="shared" si="16"/>
        <v>2019</v>
      </c>
      <c r="C541" s="2" t="str">
        <f t="shared" si="17"/>
        <v>EC101</v>
      </c>
      <c r="D541" s="1747"/>
      <c r="E541" s="2"/>
      <c r="F541" s="2"/>
      <c r="G541" s="1745"/>
      <c r="H541" s="1745"/>
      <c r="I541" s="1745"/>
      <c r="J541" s="1745"/>
      <c r="K541" s="1745"/>
      <c r="L541" s="1745"/>
      <c r="M541" s="1745"/>
      <c r="N541" s="2"/>
      <c r="W541" t="s">
        <v>2089</v>
      </c>
    </row>
    <row r="542" spans="1:23" ht="13.15" customHeight="1" x14ac:dyDescent="0.2">
      <c r="A542" s="2" t="s">
        <v>2220</v>
      </c>
      <c r="B542" s="2">
        <f t="shared" si="16"/>
        <v>2019</v>
      </c>
      <c r="C542" s="2" t="str">
        <f t="shared" si="17"/>
        <v>EC101</v>
      </c>
      <c r="D542" s="1747"/>
      <c r="E542" s="2"/>
      <c r="F542" s="2"/>
      <c r="G542" s="1745"/>
      <c r="H542" s="1745"/>
      <c r="I542" s="1745"/>
      <c r="J542" s="1745"/>
      <c r="K542" s="1745"/>
      <c r="L542" s="1745"/>
      <c r="M542" s="1745"/>
      <c r="N542" s="2"/>
      <c r="W542" t="s">
        <v>2089</v>
      </c>
    </row>
    <row r="543" spans="1:23" ht="13.15" customHeight="1" x14ac:dyDescent="0.2">
      <c r="A543" s="2" t="s">
        <v>2220</v>
      </c>
      <c r="B543" s="2">
        <f t="shared" si="16"/>
        <v>2019</v>
      </c>
      <c r="C543" s="2" t="str">
        <f t="shared" si="17"/>
        <v>EC101</v>
      </c>
      <c r="D543" s="1747"/>
      <c r="E543" s="2"/>
      <c r="F543" s="2"/>
      <c r="G543" s="1745"/>
      <c r="H543" s="1745"/>
      <c r="I543" s="1745"/>
      <c r="J543" s="1745"/>
      <c r="K543" s="1745"/>
      <c r="L543" s="1745"/>
      <c r="M543" s="1745"/>
      <c r="N543" s="2"/>
      <c r="W543" t="s">
        <v>2089</v>
      </c>
    </row>
    <row r="544" spans="1:23" ht="13.15" customHeight="1" x14ac:dyDescent="0.2">
      <c r="A544" s="2" t="s">
        <v>2220</v>
      </c>
      <c r="B544" s="2">
        <f t="shared" si="16"/>
        <v>2019</v>
      </c>
      <c r="C544" s="2" t="str">
        <f t="shared" si="17"/>
        <v>EC101</v>
      </c>
      <c r="D544" s="1747"/>
      <c r="E544" s="2"/>
      <c r="F544" s="2"/>
      <c r="G544" s="1745"/>
      <c r="H544" s="1745"/>
      <c r="I544" s="1745"/>
      <c r="J544" s="1745"/>
      <c r="K544" s="1745"/>
      <c r="L544" s="1745"/>
      <c r="M544" s="1745"/>
      <c r="N544" s="2"/>
      <c r="W544" t="s">
        <v>2089</v>
      </c>
    </row>
    <row r="545" spans="1:23" ht="13.15" customHeight="1" x14ac:dyDescent="0.2">
      <c r="A545" s="2" t="s">
        <v>2220</v>
      </c>
      <c r="B545" s="2">
        <f t="shared" si="16"/>
        <v>2019</v>
      </c>
      <c r="C545" s="2" t="str">
        <f t="shared" si="17"/>
        <v>EC101</v>
      </c>
      <c r="D545" s="1747"/>
      <c r="E545" s="2"/>
      <c r="F545" s="2"/>
      <c r="G545" s="1745"/>
      <c r="H545" s="1745"/>
      <c r="I545" s="1745"/>
      <c r="J545" s="1745"/>
      <c r="K545" s="1745"/>
      <c r="L545" s="1745"/>
      <c r="M545" s="1745"/>
      <c r="N545" s="2"/>
      <c r="W545" t="s">
        <v>2089</v>
      </c>
    </row>
    <row r="546" spans="1:23" ht="13.15" customHeight="1" x14ac:dyDescent="0.2">
      <c r="A546" s="2" t="s">
        <v>2220</v>
      </c>
      <c r="B546" s="2">
        <f t="shared" si="16"/>
        <v>2019</v>
      </c>
      <c r="C546" s="2" t="str">
        <f t="shared" si="17"/>
        <v>EC101</v>
      </c>
      <c r="D546" s="1747"/>
      <c r="E546" s="2"/>
      <c r="F546" s="2"/>
      <c r="G546" s="1745"/>
      <c r="H546" s="1745"/>
      <c r="I546" s="1745"/>
      <c r="J546" s="1745"/>
      <c r="K546" s="1745"/>
      <c r="L546" s="1745"/>
      <c r="M546" s="1745"/>
      <c r="N546" s="2"/>
      <c r="W546" t="s">
        <v>2089</v>
      </c>
    </row>
    <row r="547" spans="1:23" ht="13.15" customHeight="1" x14ac:dyDescent="0.2">
      <c r="A547" s="2" t="s">
        <v>2220</v>
      </c>
      <c r="B547" s="2">
        <f t="shared" si="16"/>
        <v>2019</v>
      </c>
      <c r="C547" s="2" t="str">
        <f t="shared" si="17"/>
        <v>EC101</v>
      </c>
      <c r="D547" s="1747"/>
      <c r="E547" s="2"/>
      <c r="F547" s="2"/>
      <c r="G547" s="1745"/>
      <c r="H547" s="1745"/>
      <c r="I547" s="1745"/>
      <c r="J547" s="1745"/>
      <c r="K547" s="1745"/>
      <c r="L547" s="1745"/>
      <c r="M547" s="1745"/>
      <c r="N547" s="2"/>
      <c r="W547" t="s">
        <v>2089</v>
      </c>
    </row>
    <row r="548" spans="1:23" ht="13.15" customHeight="1" x14ac:dyDescent="0.2">
      <c r="A548" s="2" t="s">
        <v>2220</v>
      </c>
      <c r="B548" s="2">
        <f t="shared" si="16"/>
        <v>2019</v>
      </c>
      <c r="C548" s="2" t="str">
        <f t="shared" si="17"/>
        <v>EC101</v>
      </c>
      <c r="D548" s="1747"/>
      <c r="E548" s="2"/>
      <c r="F548" s="2"/>
      <c r="G548" s="1745"/>
      <c r="H548" s="1745"/>
      <c r="I548" s="1745"/>
      <c r="J548" s="1745"/>
      <c r="K548" s="1745"/>
      <c r="L548" s="1745"/>
      <c r="M548" s="1745"/>
      <c r="N548" s="2"/>
      <c r="W548" t="s">
        <v>2089</v>
      </c>
    </row>
    <row r="549" spans="1:23" ht="13.15" customHeight="1" x14ac:dyDescent="0.2">
      <c r="A549" s="2" t="s">
        <v>2220</v>
      </c>
      <c r="B549" s="2">
        <f t="shared" si="16"/>
        <v>2019</v>
      </c>
      <c r="C549" s="2" t="str">
        <f t="shared" si="17"/>
        <v>EC101</v>
      </c>
      <c r="D549" s="1747"/>
      <c r="E549" s="2"/>
      <c r="F549" s="2"/>
      <c r="G549" s="1745"/>
      <c r="H549" s="1745"/>
      <c r="I549" s="1745"/>
      <c r="J549" s="1745"/>
      <c r="K549" s="1745"/>
      <c r="L549" s="1745"/>
      <c r="M549" s="1745"/>
      <c r="N549" s="2"/>
      <c r="W549" t="s">
        <v>2089</v>
      </c>
    </row>
    <row r="550" spans="1:23" ht="13.15" customHeight="1" x14ac:dyDescent="0.2">
      <c r="A550" s="2" t="s">
        <v>2220</v>
      </c>
      <c r="B550" s="2">
        <f t="shared" si="16"/>
        <v>2019</v>
      </c>
      <c r="C550" s="2" t="str">
        <f t="shared" si="17"/>
        <v>EC101</v>
      </c>
      <c r="D550" s="1747"/>
      <c r="E550" s="2"/>
      <c r="F550" s="2"/>
      <c r="G550" s="1745"/>
      <c r="H550" s="1745"/>
      <c r="I550" s="1745"/>
      <c r="J550" s="1745"/>
      <c r="K550" s="1745"/>
      <c r="L550" s="1745"/>
      <c r="M550" s="1745"/>
      <c r="N550" s="2"/>
      <c r="W550" t="s">
        <v>2089</v>
      </c>
    </row>
    <row r="551" spans="1:23" ht="13.15" customHeight="1" x14ac:dyDescent="0.2">
      <c r="A551" s="2" t="s">
        <v>2220</v>
      </c>
      <c r="B551" s="2">
        <f t="shared" si="16"/>
        <v>2019</v>
      </c>
      <c r="C551" s="2" t="str">
        <f t="shared" si="17"/>
        <v>EC101</v>
      </c>
      <c r="D551" s="1747"/>
      <c r="E551" s="2"/>
      <c r="F551" s="2"/>
      <c r="G551" s="1745"/>
      <c r="H551" s="1745"/>
      <c r="I551" s="1745"/>
      <c r="J551" s="1745"/>
      <c r="K551" s="1745"/>
      <c r="L551" s="1745"/>
      <c r="M551" s="1745"/>
      <c r="N551" s="2"/>
      <c r="W551" t="s">
        <v>2089</v>
      </c>
    </row>
    <row r="552" spans="1:23" ht="13.15" customHeight="1" x14ac:dyDescent="0.2">
      <c r="A552" s="2" t="s">
        <v>2220</v>
      </c>
      <c r="B552" s="2">
        <f t="shared" si="16"/>
        <v>2019</v>
      </c>
      <c r="C552" s="2" t="str">
        <f t="shared" si="17"/>
        <v>EC101</v>
      </c>
      <c r="D552" s="1747"/>
      <c r="E552" s="2"/>
      <c r="F552" s="2"/>
      <c r="G552" s="1745"/>
      <c r="H552" s="1745"/>
      <c r="I552" s="1745"/>
      <c r="J552" s="1745"/>
      <c r="K552" s="1745"/>
      <c r="L552" s="1745"/>
      <c r="M552" s="1745"/>
      <c r="N552" s="2"/>
      <c r="W552" t="s">
        <v>2089</v>
      </c>
    </row>
    <row r="553" spans="1:23" ht="13.15" customHeight="1" x14ac:dyDescent="0.2">
      <c r="A553" s="2" t="s">
        <v>2220</v>
      </c>
      <c r="B553" s="2">
        <f t="shared" si="16"/>
        <v>2019</v>
      </c>
      <c r="C553" s="2" t="str">
        <f t="shared" si="17"/>
        <v>EC101</v>
      </c>
      <c r="D553" s="1747"/>
      <c r="E553" s="2"/>
      <c r="F553" s="2"/>
      <c r="G553" s="1745"/>
      <c r="H553" s="1745"/>
      <c r="I553" s="1745"/>
      <c r="J553" s="1745"/>
      <c r="K553" s="1745"/>
      <c r="L553" s="1745"/>
      <c r="M553" s="1745"/>
      <c r="N553" s="2"/>
      <c r="W553" t="s">
        <v>2089</v>
      </c>
    </row>
    <row r="554" spans="1:23" ht="13.15" customHeight="1" x14ac:dyDescent="0.2">
      <c r="A554" s="2" t="s">
        <v>2220</v>
      </c>
      <c r="B554" s="2">
        <f t="shared" si="16"/>
        <v>2019</v>
      </c>
      <c r="C554" s="2" t="str">
        <f t="shared" si="17"/>
        <v>EC101</v>
      </c>
      <c r="D554" s="1747"/>
      <c r="E554" s="2"/>
      <c r="F554" s="2"/>
      <c r="G554" s="1745"/>
      <c r="H554" s="1745"/>
      <c r="I554" s="1745"/>
      <c r="J554" s="1745"/>
      <c r="K554" s="1745"/>
      <c r="L554" s="1745"/>
      <c r="M554" s="1745"/>
      <c r="N554" s="2"/>
      <c r="W554" t="s">
        <v>2089</v>
      </c>
    </row>
    <row r="555" spans="1:23" ht="13.15" customHeight="1" x14ac:dyDescent="0.2">
      <c r="A555" s="2" t="s">
        <v>2220</v>
      </c>
      <c r="B555" s="2">
        <f t="shared" si="16"/>
        <v>2019</v>
      </c>
      <c r="C555" s="2" t="str">
        <f t="shared" si="17"/>
        <v>EC101</v>
      </c>
      <c r="D555" s="1747"/>
      <c r="E555" s="2"/>
      <c r="F555" s="2"/>
      <c r="G555" s="1745"/>
      <c r="H555" s="1745"/>
      <c r="I555" s="1745"/>
      <c r="J555" s="1745"/>
      <c r="K555" s="1745"/>
      <c r="L555" s="1745"/>
      <c r="M555" s="1745"/>
      <c r="N555" s="2"/>
      <c r="W555" t="s">
        <v>2089</v>
      </c>
    </row>
    <row r="556" spans="1:23" ht="13.15" customHeight="1" x14ac:dyDescent="0.2">
      <c r="A556" s="2" t="s">
        <v>2220</v>
      </c>
      <c r="B556" s="2">
        <f t="shared" si="16"/>
        <v>2019</v>
      </c>
      <c r="C556" s="2" t="str">
        <f t="shared" si="17"/>
        <v>EC101</v>
      </c>
      <c r="D556" s="1747"/>
      <c r="E556" s="2"/>
      <c r="F556" s="2"/>
      <c r="G556" s="1745"/>
      <c r="H556" s="1745"/>
      <c r="I556" s="1745"/>
      <c r="J556" s="1745"/>
      <c r="K556" s="1745"/>
      <c r="L556" s="1745"/>
      <c r="M556" s="1745"/>
      <c r="N556" s="2"/>
      <c r="W556" t="s">
        <v>2089</v>
      </c>
    </row>
    <row r="557" spans="1:23" ht="13.15" customHeight="1" x14ac:dyDescent="0.2">
      <c r="A557" s="2" t="s">
        <v>2221</v>
      </c>
      <c r="B557" s="2">
        <f t="shared" si="16"/>
        <v>2019</v>
      </c>
      <c r="C557" s="2" t="str">
        <f t="shared" si="17"/>
        <v>EC101</v>
      </c>
      <c r="D557" s="1747">
        <v>1000</v>
      </c>
      <c r="E557" s="2">
        <v>1</v>
      </c>
      <c r="F557" s="1763" t="s">
        <v>384</v>
      </c>
      <c r="G557" s="1745"/>
      <c r="H557" s="1745"/>
      <c r="I557" s="1745"/>
      <c r="J557" s="1745"/>
      <c r="K557" s="1745"/>
      <c r="L557" s="1745"/>
      <c r="M557" s="1745"/>
      <c r="N557" s="1745"/>
      <c r="O557" s="1745"/>
      <c r="P557" s="2"/>
      <c r="Q557" s="2"/>
      <c r="T557" s="2"/>
      <c r="U557" s="2"/>
      <c r="V557" s="2"/>
      <c r="W557" t="s">
        <v>2089</v>
      </c>
    </row>
    <row r="558" spans="1:23" ht="13.15" customHeight="1" x14ac:dyDescent="0.2">
      <c r="A558" s="2" t="s">
        <v>2221</v>
      </c>
      <c r="B558" s="2">
        <f t="shared" si="16"/>
        <v>2019</v>
      </c>
      <c r="C558" s="2" t="str">
        <f t="shared" si="17"/>
        <v>EC101</v>
      </c>
      <c r="D558" s="1747">
        <v>1001</v>
      </c>
      <c r="E558" s="2">
        <v>2</v>
      </c>
      <c r="F558" s="1763" t="s">
        <v>2222</v>
      </c>
      <c r="G558" s="1745"/>
      <c r="H558" s="1745"/>
      <c r="I558" s="1745"/>
      <c r="J558" s="1745"/>
      <c r="K558" s="1745"/>
      <c r="L558" s="1745"/>
      <c r="M558" s="1745"/>
      <c r="N558" s="1745"/>
      <c r="O558" s="1745"/>
      <c r="P558" s="2"/>
      <c r="Q558" s="2"/>
      <c r="T558" s="2"/>
      <c r="U558" s="2"/>
      <c r="V558" s="2"/>
      <c r="W558" t="s">
        <v>2089</v>
      </c>
    </row>
    <row r="559" spans="1:23" ht="13.15" customHeight="1" x14ac:dyDescent="0.2">
      <c r="A559" s="2" t="s">
        <v>2221</v>
      </c>
      <c r="B559" s="2">
        <f t="shared" si="16"/>
        <v>2019</v>
      </c>
      <c r="C559" s="2" t="str">
        <f t="shared" si="17"/>
        <v>EC101</v>
      </c>
      <c r="D559" s="1747">
        <v>1002</v>
      </c>
      <c r="E559" s="2">
        <v>3</v>
      </c>
      <c r="F559" s="1763" t="s">
        <v>1255</v>
      </c>
      <c r="G559" s="1745"/>
      <c r="H559" s="1745"/>
      <c r="I559" s="1745"/>
      <c r="J559" s="1745"/>
      <c r="K559" s="1745"/>
      <c r="L559" s="1745"/>
      <c r="M559" s="1745"/>
      <c r="N559" s="1745"/>
      <c r="O559" s="1745"/>
      <c r="P559" s="2"/>
      <c r="Q559" s="2"/>
      <c r="T559" s="2"/>
      <c r="U559" s="2"/>
      <c r="V559" s="2"/>
      <c r="W559" t="s">
        <v>2089</v>
      </c>
    </row>
    <row r="560" spans="1:23" ht="13.15" customHeight="1" x14ac:dyDescent="0.2">
      <c r="A560" s="2" t="s">
        <v>2221</v>
      </c>
      <c r="B560" s="2">
        <f t="shared" si="16"/>
        <v>2019</v>
      </c>
      <c r="C560" s="2" t="str">
        <f t="shared" si="17"/>
        <v>EC101</v>
      </c>
      <c r="D560" s="1747">
        <v>1100</v>
      </c>
      <c r="E560" s="2">
        <v>4</v>
      </c>
      <c r="F560" s="1763" t="s">
        <v>1256</v>
      </c>
      <c r="G560" s="1745"/>
      <c r="H560" s="1745"/>
      <c r="I560" s="1745"/>
      <c r="J560" s="1745"/>
      <c r="K560" s="1745"/>
      <c r="L560" s="1745"/>
      <c r="M560" s="1745"/>
      <c r="N560" s="1745"/>
      <c r="O560" s="1745"/>
      <c r="P560" s="2"/>
      <c r="Q560" s="2"/>
      <c r="T560" s="2"/>
      <c r="U560" s="2"/>
      <c r="V560" s="2"/>
      <c r="W560" t="s">
        <v>2089</v>
      </c>
    </row>
    <row r="561" spans="1:23" ht="13.15" customHeight="1" x14ac:dyDescent="0.2">
      <c r="A561" s="2" t="s">
        <v>2221</v>
      </c>
      <c r="B561" s="2">
        <f t="shared" si="16"/>
        <v>2019</v>
      </c>
      <c r="C561" s="2" t="str">
        <f t="shared" si="17"/>
        <v>EC101</v>
      </c>
      <c r="D561" s="1747">
        <v>1101</v>
      </c>
      <c r="E561" s="2">
        <v>5</v>
      </c>
      <c r="F561" s="1763" t="s">
        <v>1257</v>
      </c>
      <c r="G561" s="1745"/>
      <c r="H561" s="1745"/>
      <c r="I561" s="1745"/>
      <c r="J561" s="1745"/>
      <c r="K561" s="1745"/>
      <c r="L561" s="1745"/>
      <c r="M561" s="1745"/>
      <c r="N561" s="1745"/>
      <c r="O561" s="1745"/>
      <c r="P561" s="2"/>
      <c r="Q561" s="2"/>
      <c r="T561" s="2"/>
      <c r="U561" s="2"/>
      <c r="V561" s="2"/>
      <c r="W561" t="s">
        <v>2089</v>
      </c>
    </row>
    <row r="562" spans="1:23" ht="13.15" customHeight="1" x14ac:dyDescent="0.2">
      <c r="A562" s="2" t="s">
        <v>2221</v>
      </c>
      <c r="B562" s="2">
        <f t="shared" si="16"/>
        <v>2019</v>
      </c>
      <c r="C562" s="2" t="str">
        <f t="shared" si="17"/>
        <v>EC101</v>
      </c>
      <c r="D562" s="1747">
        <v>1102</v>
      </c>
      <c r="E562" s="2">
        <v>6</v>
      </c>
      <c r="F562" s="1763" t="s">
        <v>490</v>
      </c>
      <c r="G562" s="1745"/>
      <c r="H562" s="1745"/>
      <c r="I562" s="1745"/>
      <c r="J562" s="1745"/>
      <c r="K562" s="1745"/>
      <c r="L562" s="1745"/>
      <c r="M562" s="1745"/>
      <c r="N562" s="1745"/>
      <c r="O562" s="1745"/>
      <c r="P562" s="2"/>
      <c r="Q562" s="2"/>
      <c r="T562" s="2"/>
      <c r="U562" s="2"/>
      <c r="V562" s="2"/>
      <c r="W562" t="s">
        <v>2089</v>
      </c>
    </row>
    <row r="563" spans="1:23" ht="13.15" customHeight="1" x14ac:dyDescent="0.2">
      <c r="A563" s="2" t="s">
        <v>2221</v>
      </c>
      <c r="B563" s="2">
        <f t="shared" si="16"/>
        <v>2019</v>
      </c>
      <c r="C563" s="2" t="str">
        <f t="shared" si="17"/>
        <v>EC101</v>
      </c>
      <c r="D563" s="1747">
        <v>1103</v>
      </c>
      <c r="E563" s="2">
        <v>7</v>
      </c>
      <c r="F563" s="1763" t="s">
        <v>1258</v>
      </c>
      <c r="G563" s="1745"/>
      <c r="H563" s="1745"/>
      <c r="I563" s="1745"/>
      <c r="J563" s="1745"/>
      <c r="K563" s="1745"/>
      <c r="L563" s="1745"/>
      <c r="M563" s="1745"/>
      <c r="N563" s="1745"/>
      <c r="O563" s="1745"/>
      <c r="P563" s="2"/>
      <c r="Q563" s="2"/>
      <c r="T563" s="2"/>
      <c r="U563" s="2"/>
      <c r="V563" s="2"/>
      <c r="W563" t="s">
        <v>2089</v>
      </c>
    </row>
    <row r="564" spans="1:23" ht="13.15" customHeight="1" x14ac:dyDescent="0.2">
      <c r="A564" s="2" t="s">
        <v>2221</v>
      </c>
      <c r="B564" s="2">
        <f t="shared" si="16"/>
        <v>2019</v>
      </c>
      <c r="C564" s="2" t="str">
        <f t="shared" si="17"/>
        <v>EC101</v>
      </c>
      <c r="D564" s="1747">
        <v>1104</v>
      </c>
      <c r="E564" s="2">
        <v>8</v>
      </c>
      <c r="F564" s="1763" t="s">
        <v>1600</v>
      </c>
      <c r="G564" s="1745"/>
      <c r="H564" s="1745"/>
      <c r="I564" s="1745"/>
      <c r="J564" s="1745"/>
      <c r="K564" s="1745"/>
      <c r="L564" s="1745"/>
      <c r="M564" s="1745"/>
      <c r="N564" s="1745"/>
      <c r="O564" s="1745"/>
      <c r="P564" s="2"/>
      <c r="Q564" s="2"/>
      <c r="T564" s="2"/>
      <c r="U564" s="2"/>
      <c r="V564" s="2"/>
      <c r="W564" t="s">
        <v>2089</v>
      </c>
    </row>
    <row r="565" spans="1:23" ht="13.15" customHeight="1" x14ac:dyDescent="0.2">
      <c r="A565" s="2" t="s">
        <v>2221</v>
      </c>
      <c r="B565" s="2">
        <f t="shared" si="16"/>
        <v>2019</v>
      </c>
      <c r="C565" s="2" t="str">
        <f t="shared" si="17"/>
        <v>EC101</v>
      </c>
      <c r="D565" s="1747">
        <v>1105</v>
      </c>
      <c r="E565" s="2">
        <v>9</v>
      </c>
      <c r="F565" s="1763" t="s">
        <v>1259</v>
      </c>
      <c r="G565" s="1745"/>
      <c r="H565" s="1745"/>
      <c r="I565" s="1745"/>
      <c r="J565" s="1745"/>
      <c r="K565" s="1745"/>
      <c r="L565" s="1745"/>
      <c r="M565" s="1745"/>
      <c r="N565" s="1745"/>
      <c r="O565" s="1745"/>
      <c r="P565" s="2"/>
      <c r="Q565" s="2"/>
      <c r="T565" s="2"/>
      <c r="U565" s="2"/>
      <c r="V565" s="2"/>
      <c r="W565" t="s">
        <v>2089</v>
      </c>
    </row>
    <row r="566" spans="1:23" ht="13.15" customHeight="1" x14ac:dyDescent="0.2">
      <c r="A566" s="2" t="s">
        <v>2221</v>
      </c>
      <c r="B566" s="2">
        <f t="shared" si="16"/>
        <v>2019</v>
      </c>
      <c r="C566" s="2" t="str">
        <f t="shared" si="17"/>
        <v>EC101</v>
      </c>
      <c r="D566" s="1747">
        <v>1106</v>
      </c>
      <c r="E566" s="2">
        <v>10</v>
      </c>
      <c r="F566" s="1763" t="s">
        <v>287</v>
      </c>
      <c r="G566" s="1745"/>
      <c r="H566" s="1745"/>
      <c r="I566" s="1745"/>
      <c r="J566" s="1745"/>
      <c r="K566" s="1745"/>
      <c r="L566" s="1745"/>
      <c r="M566" s="1745"/>
      <c r="N566" s="1745"/>
      <c r="O566" s="1745"/>
      <c r="P566" s="2"/>
      <c r="Q566" s="2"/>
      <c r="T566" s="2"/>
      <c r="U566" s="2"/>
      <c r="V566" s="2"/>
      <c r="W566" t="s">
        <v>2089</v>
      </c>
    </row>
    <row r="567" spans="1:23" ht="13.15" customHeight="1" x14ac:dyDescent="0.2">
      <c r="A567" s="2" t="s">
        <v>2221</v>
      </c>
      <c r="B567" s="2">
        <f t="shared" si="16"/>
        <v>2019</v>
      </c>
      <c r="C567" s="2" t="str">
        <f t="shared" si="17"/>
        <v>EC101</v>
      </c>
      <c r="D567" s="1747">
        <v>1107</v>
      </c>
      <c r="E567" s="2">
        <v>11</v>
      </c>
      <c r="F567" s="1763" t="s">
        <v>638</v>
      </c>
      <c r="G567" s="1745"/>
      <c r="H567" s="1745"/>
      <c r="I567" s="1745"/>
      <c r="J567" s="1745"/>
      <c r="K567" s="1745"/>
      <c r="L567" s="1745"/>
      <c r="M567" s="1745"/>
      <c r="N567" s="1745"/>
      <c r="O567" s="1745"/>
      <c r="P567" s="2"/>
      <c r="Q567" s="2"/>
      <c r="T567" s="2"/>
      <c r="U567" s="2"/>
      <c r="V567" s="2"/>
      <c r="W567" t="s">
        <v>2089</v>
      </c>
    </row>
    <row r="568" spans="1:23" ht="13.15" customHeight="1" x14ac:dyDescent="0.2">
      <c r="A568" s="2" t="s">
        <v>2221</v>
      </c>
      <c r="B568" s="2">
        <f t="shared" si="16"/>
        <v>2019</v>
      </c>
      <c r="C568" s="2" t="str">
        <f t="shared" si="17"/>
        <v>EC101</v>
      </c>
      <c r="D568" s="1747">
        <v>1108</v>
      </c>
      <c r="E568" s="2">
        <v>12</v>
      </c>
      <c r="F568" s="1763" t="s">
        <v>560</v>
      </c>
      <c r="G568" s="1745"/>
      <c r="H568" s="1745"/>
      <c r="I568" s="1745"/>
      <c r="J568" s="1745"/>
      <c r="K568" s="1745"/>
      <c r="L568" s="1745"/>
      <c r="M568" s="1745"/>
      <c r="N568" s="1745"/>
      <c r="O568" s="1745"/>
      <c r="P568" s="2"/>
      <c r="Q568" s="2"/>
      <c r="T568" s="2"/>
      <c r="U568" s="2"/>
      <c r="V568" s="2"/>
      <c r="W568" t="s">
        <v>2089</v>
      </c>
    </row>
    <row r="569" spans="1:23" ht="13.15" customHeight="1" x14ac:dyDescent="0.2">
      <c r="A569" s="2" t="s">
        <v>2221</v>
      </c>
      <c r="B569" s="2">
        <f t="shared" si="16"/>
        <v>2019</v>
      </c>
      <c r="C569" s="2" t="str">
        <f t="shared" si="17"/>
        <v>EC101</v>
      </c>
      <c r="D569" s="1747">
        <v>1109</v>
      </c>
      <c r="E569" s="2">
        <v>13</v>
      </c>
      <c r="F569" s="1763" t="s">
        <v>835</v>
      </c>
      <c r="G569" s="1745"/>
      <c r="H569" s="1745"/>
      <c r="I569" s="1745"/>
      <c r="J569" s="1745"/>
      <c r="K569" s="1745"/>
      <c r="L569" s="1745"/>
      <c r="M569" s="1745"/>
      <c r="N569" s="1745"/>
      <c r="O569" s="1745"/>
      <c r="P569" s="2"/>
      <c r="Q569" s="2"/>
      <c r="T569" s="2"/>
      <c r="U569" s="2"/>
      <c r="V569" s="2"/>
      <c r="W569" t="s">
        <v>2089</v>
      </c>
    </row>
    <row r="570" spans="1:23" ht="13.15" customHeight="1" x14ac:dyDescent="0.2">
      <c r="A570" s="2" t="s">
        <v>2221</v>
      </c>
      <c r="B570" s="2">
        <f t="shared" si="16"/>
        <v>2019</v>
      </c>
      <c r="C570" s="2" t="str">
        <f t="shared" si="17"/>
        <v>EC101</v>
      </c>
      <c r="D570" s="1747">
        <v>1110</v>
      </c>
      <c r="E570" s="2">
        <v>14</v>
      </c>
      <c r="F570" s="1763" t="s">
        <v>836</v>
      </c>
      <c r="G570" s="1745"/>
      <c r="H570" s="1745"/>
      <c r="I570" s="1745"/>
      <c r="J570" s="1745"/>
      <c r="K570" s="1745"/>
      <c r="L570" s="1745"/>
      <c r="M570" s="1745"/>
      <c r="N570" s="1745"/>
      <c r="O570" s="1745"/>
      <c r="P570" s="2"/>
      <c r="Q570" s="2"/>
      <c r="T570" s="2"/>
      <c r="U570" s="2"/>
      <c r="V570" s="2"/>
      <c r="W570" t="s">
        <v>2089</v>
      </c>
    </row>
    <row r="571" spans="1:23" ht="13.15" customHeight="1" x14ac:dyDescent="0.2">
      <c r="A571" s="2" t="s">
        <v>2221</v>
      </c>
      <c r="B571" s="2">
        <f t="shared" si="16"/>
        <v>2019</v>
      </c>
      <c r="C571" s="2" t="str">
        <f t="shared" si="17"/>
        <v>EC101</v>
      </c>
      <c r="D571" s="1747">
        <v>1111</v>
      </c>
      <c r="E571" s="2">
        <v>15</v>
      </c>
      <c r="F571" s="1763" t="s">
        <v>1139</v>
      </c>
      <c r="G571" s="1745"/>
      <c r="H571" s="1745"/>
      <c r="I571" s="1745"/>
      <c r="J571" s="1745"/>
      <c r="K571" s="1745"/>
      <c r="L571" s="1745"/>
      <c r="M571" s="1745"/>
      <c r="N571" s="1745"/>
      <c r="O571" s="1745"/>
      <c r="P571" s="2"/>
      <c r="Q571" s="2"/>
      <c r="T571" s="2"/>
      <c r="U571" s="2"/>
      <c r="V571" s="2"/>
      <c r="W571" t="s">
        <v>2089</v>
      </c>
    </row>
    <row r="572" spans="1:23" ht="13.15" customHeight="1" x14ac:dyDescent="0.2">
      <c r="A572" s="2" t="s">
        <v>2221</v>
      </c>
      <c r="B572" s="2">
        <f t="shared" si="16"/>
        <v>2019</v>
      </c>
      <c r="C572" s="2" t="str">
        <f t="shared" si="17"/>
        <v>EC101</v>
      </c>
      <c r="D572" s="1747">
        <v>1112</v>
      </c>
      <c r="E572" s="2">
        <v>16</v>
      </c>
      <c r="F572" s="1763" t="s">
        <v>246</v>
      </c>
      <c r="G572" s="1745"/>
      <c r="H572" s="1745"/>
      <c r="I572" s="1745"/>
      <c r="J572" s="1745"/>
      <c r="K572" s="1745"/>
      <c r="L572" s="1745"/>
      <c r="M572" s="1745"/>
      <c r="N572" s="1745"/>
      <c r="O572" s="1745"/>
      <c r="P572" s="2"/>
      <c r="Q572" s="2"/>
      <c r="T572" s="2"/>
      <c r="U572" s="2"/>
      <c r="V572" s="2"/>
      <c r="W572" t="s">
        <v>2089</v>
      </c>
    </row>
    <row r="573" spans="1:23" ht="13.15" customHeight="1" x14ac:dyDescent="0.2">
      <c r="A573" s="2" t="s">
        <v>2221</v>
      </c>
      <c r="B573" s="2">
        <f t="shared" si="16"/>
        <v>2019</v>
      </c>
      <c r="C573" s="2" t="str">
        <f t="shared" si="17"/>
        <v>EC101</v>
      </c>
      <c r="D573" s="1747">
        <v>1113</v>
      </c>
      <c r="E573" s="2">
        <v>17</v>
      </c>
      <c r="F573" s="1763" t="s">
        <v>1260</v>
      </c>
      <c r="G573" s="1745"/>
      <c r="H573" s="1745"/>
      <c r="I573" s="1745"/>
      <c r="J573" s="1745"/>
      <c r="K573" s="1745"/>
      <c r="L573" s="1745"/>
      <c r="M573" s="1745"/>
      <c r="N573" s="1745"/>
      <c r="O573" s="1745"/>
      <c r="P573" s="2"/>
      <c r="Q573" s="2"/>
      <c r="T573" s="2"/>
      <c r="U573" s="2"/>
      <c r="V573" s="2"/>
      <c r="W573" t="s">
        <v>2089</v>
      </c>
    </row>
    <row r="574" spans="1:23" ht="13.15" customHeight="1" x14ac:dyDescent="0.2">
      <c r="A574" s="2" t="s">
        <v>2221</v>
      </c>
      <c r="B574" s="2">
        <f t="shared" si="16"/>
        <v>2019</v>
      </c>
      <c r="C574" s="2" t="str">
        <f t="shared" si="17"/>
        <v>EC101</v>
      </c>
      <c r="D574" s="1747">
        <v>1114</v>
      </c>
      <c r="E574" s="2">
        <v>18</v>
      </c>
      <c r="F574" s="1763" t="s">
        <v>1600</v>
      </c>
      <c r="G574" s="1745"/>
      <c r="H574" s="1745"/>
      <c r="I574" s="1745"/>
      <c r="J574" s="1745"/>
      <c r="K574" s="1745"/>
      <c r="L574" s="1745"/>
      <c r="M574" s="1745"/>
      <c r="N574" s="1745"/>
      <c r="O574" s="1745"/>
      <c r="P574" s="2"/>
      <c r="Q574" s="2"/>
      <c r="T574" s="2"/>
      <c r="U574" s="2"/>
      <c r="V574" s="2"/>
      <c r="W574" t="s">
        <v>2089</v>
      </c>
    </row>
    <row r="575" spans="1:23" ht="13.15" customHeight="1" x14ac:dyDescent="0.2">
      <c r="A575" s="2" t="s">
        <v>2221</v>
      </c>
      <c r="B575" s="2">
        <f t="shared" si="16"/>
        <v>2019</v>
      </c>
      <c r="C575" s="2" t="str">
        <f t="shared" si="17"/>
        <v>EC101</v>
      </c>
      <c r="D575" s="1747">
        <v>1115</v>
      </c>
      <c r="E575" s="2">
        <v>19</v>
      </c>
      <c r="F575" s="1763" t="s">
        <v>1259</v>
      </c>
      <c r="G575" s="1745"/>
      <c r="H575" s="1745"/>
      <c r="I575" s="1745"/>
      <c r="J575" s="1745"/>
      <c r="K575" s="1745"/>
      <c r="L575" s="1745"/>
      <c r="M575" s="1745"/>
      <c r="N575" s="1745"/>
      <c r="O575" s="1745"/>
      <c r="P575" s="2"/>
      <c r="Q575" s="2"/>
      <c r="T575" s="2"/>
      <c r="U575" s="2"/>
      <c r="V575" s="2"/>
      <c r="W575" t="s">
        <v>2089</v>
      </c>
    </row>
    <row r="576" spans="1:23" ht="13.15" customHeight="1" x14ac:dyDescent="0.2">
      <c r="A576" s="2" t="s">
        <v>2221</v>
      </c>
      <c r="B576" s="2">
        <f t="shared" si="16"/>
        <v>2019</v>
      </c>
      <c r="C576" s="2" t="str">
        <f t="shared" si="17"/>
        <v>EC101</v>
      </c>
      <c r="D576" s="1747">
        <v>1116</v>
      </c>
      <c r="E576" s="2">
        <v>20</v>
      </c>
      <c r="F576" s="1763" t="s">
        <v>287</v>
      </c>
      <c r="G576" s="1745"/>
      <c r="H576" s="1745"/>
      <c r="I576" s="1745"/>
      <c r="J576" s="1745"/>
      <c r="K576" s="1745"/>
      <c r="L576" s="1745"/>
      <c r="M576" s="1745"/>
      <c r="N576" s="1745"/>
      <c r="O576" s="1745"/>
      <c r="P576" s="2"/>
      <c r="Q576" s="2"/>
      <c r="T576" s="2"/>
      <c r="U576" s="2"/>
      <c r="V576" s="2"/>
      <c r="W576" t="s">
        <v>2089</v>
      </c>
    </row>
    <row r="577" spans="1:23" ht="13.15" customHeight="1" x14ac:dyDescent="0.2">
      <c r="A577" s="2" t="s">
        <v>2221</v>
      </c>
      <c r="B577" s="2">
        <f t="shared" si="16"/>
        <v>2019</v>
      </c>
      <c r="C577" s="2" t="str">
        <f t="shared" si="17"/>
        <v>EC101</v>
      </c>
      <c r="D577" s="1747">
        <v>1117</v>
      </c>
      <c r="E577" s="2">
        <v>21</v>
      </c>
      <c r="F577" s="1763" t="s">
        <v>638</v>
      </c>
      <c r="G577" s="1745"/>
      <c r="H577" s="1745"/>
      <c r="I577" s="1745"/>
      <c r="J577" s="1745"/>
      <c r="K577" s="1745"/>
      <c r="L577" s="1745"/>
      <c r="M577" s="1745"/>
      <c r="N577" s="1745"/>
      <c r="O577" s="1745"/>
      <c r="P577" s="2"/>
      <c r="Q577" s="2"/>
      <c r="T577" s="2"/>
      <c r="U577" s="2"/>
      <c r="V577" s="2"/>
      <c r="W577" t="s">
        <v>2089</v>
      </c>
    </row>
    <row r="578" spans="1:23" ht="13.15" customHeight="1" x14ac:dyDescent="0.2">
      <c r="A578" s="2" t="s">
        <v>2221</v>
      </c>
      <c r="B578" s="2">
        <f t="shared" ref="B578:B641" si="18">+MTREF</f>
        <v>2019</v>
      </c>
      <c r="C578" s="2" t="str">
        <f t="shared" ref="C578:C641" si="19">LEFT(muni,(FIND(" ",muni,1)-1))</f>
        <v>EC101</v>
      </c>
      <c r="D578" s="1747">
        <v>1118</v>
      </c>
      <c r="E578" s="2">
        <v>22</v>
      </c>
      <c r="F578" s="1763" t="s">
        <v>560</v>
      </c>
      <c r="G578" s="1745"/>
      <c r="H578" s="1745"/>
      <c r="I578" s="1745"/>
      <c r="J578" s="1745"/>
      <c r="K578" s="1745"/>
      <c r="L578" s="1745"/>
      <c r="M578" s="1745"/>
      <c r="N578" s="1745"/>
      <c r="O578" s="1745"/>
      <c r="P578" s="2"/>
      <c r="Q578" s="2"/>
      <c r="T578" s="2"/>
      <c r="U578" s="2"/>
      <c r="V578" s="2"/>
      <c r="W578" t="s">
        <v>2089</v>
      </c>
    </row>
    <row r="579" spans="1:23" ht="13.15" customHeight="1" x14ac:dyDescent="0.2">
      <c r="A579" s="2" t="s">
        <v>2221</v>
      </c>
      <c r="B579" s="2">
        <f t="shared" si="18"/>
        <v>2019</v>
      </c>
      <c r="C579" s="2" t="str">
        <f t="shared" si="19"/>
        <v>EC101</v>
      </c>
      <c r="D579" s="1747">
        <v>1119</v>
      </c>
      <c r="E579" s="2">
        <v>23</v>
      </c>
      <c r="F579" s="1763" t="s">
        <v>835</v>
      </c>
      <c r="G579" s="1745"/>
      <c r="H579" s="1745"/>
      <c r="I579" s="1745"/>
      <c r="J579" s="1745"/>
      <c r="K579" s="1745"/>
      <c r="L579" s="1745"/>
      <c r="M579" s="1745"/>
      <c r="N579" s="1745"/>
      <c r="O579" s="1745"/>
      <c r="P579" s="2"/>
      <c r="Q579" s="2"/>
      <c r="T579" s="2"/>
      <c r="U579" s="2"/>
      <c r="V579" s="2"/>
      <c r="W579" t="s">
        <v>2089</v>
      </c>
    </row>
    <row r="580" spans="1:23" ht="13.15" customHeight="1" x14ac:dyDescent="0.2">
      <c r="A580" s="2" t="s">
        <v>2221</v>
      </c>
      <c r="B580" s="2">
        <f t="shared" si="18"/>
        <v>2019</v>
      </c>
      <c r="C580" s="2" t="str">
        <f t="shared" si="19"/>
        <v>EC101</v>
      </c>
      <c r="D580" s="1747">
        <v>1120</v>
      </c>
      <c r="E580" s="2">
        <v>24</v>
      </c>
      <c r="F580" s="1763" t="s">
        <v>836</v>
      </c>
      <c r="G580" s="1745"/>
      <c r="H580" s="1745"/>
      <c r="I580" s="1745"/>
      <c r="J580" s="1745"/>
      <c r="K580" s="1745"/>
      <c r="L580" s="1745"/>
      <c r="M580" s="1745"/>
      <c r="N580" s="1745"/>
      <c r="O580" s="1745"/>
      <c r="P580" s="2"/>
      <c r="Q580" s="2"/>
      <c r="T580" s="2"/>
      <c r="U580" s="2"/>
      <c r="V580" s="2"/>
      <c r="W580" t="s">
        <v>2089</v>
      </c>
    </row>
    <row r="581" spans="1:23" ht="13.15" customHeight="1" x14ac:dyDescent="0.2">
      <c r="A581" s="2" t="s">
        <v>2221</v>
      </c>
      <c r="B581" s="2">
        <f t="shared" si="18"/>
        <v>2019</v>
      </c>
      <c r="C581" s="2" t="str">
        <f t="shared" si="19"/>
        <v>EC101</v>
      </c>
      <c r="D581" s="1747">
        <v>1121</v>
      </c>
      <c r="E581" s="2">
        <v>25</v>
      </c>
      <c r="F581" s="1763" t="s">
        <v>1139</v>
      </c>
      <c r="G581" s="1745"/>
      <c r="H581" s="1745"/>
      <c r="I581" s="1745"/>
      <c r="J581" s="1745"/>
      <c r="K581" s="1745"/>
      <c r="L581" s="1745"/>
      <c r="M581" s="1745"/>
      <c r="N581" s="1745"/>
      <c r="O581" s="1745"/>
      <c r="P581" s="2"/>
      <c r="Q581" s="2"/>
      <c r="T581" s="2"/>
      <c r="U581" s="2"/>
      <c r="V581" s="2"/>
      <c r="W581" t="s">
        <v>2089</v>
      </c>
    </row>
    <row r="582" spans="1:23" ht="13.15" customHeight="1" x14ac:dyDescent="0.2">
      <c r="A582" s="2" t="s">
        <v>2221</v>
      </c>
      <c r="B582" s="2">
        <f t="shared" si="18"/>
        <v>2019</v>
      </c>
      <c r="C582" s="2" t="str">
        <f t="shared" si="19"/>
        <v>EC101</v>
      </c>
      <c r="D582" s="1747">
        <v>1122</v>
      </c>
      <c r="E582" s="2">
        <v>26</v>
      </c>
      <c r="F582" s="1763" t="s">
        <v>246</v>
      </c>
      <c r="G582" s="1745"/>
      <c r="H582" s="1745"/>
      <c r="I582" s="1745"/>
      <c r="J582" s="1745"/>
      <c r="K582" s="1745"/>
      <c r="L582" s="1745"/>
      <c r="M582" s="1745"/>
      <c r="N582" s="1745"/>
      <c r="O582" s="1745"/>
      <c r="P582" s="2"/>
      <c r="Q582" s="2"/>
      <c r="T582" s="2"/>
      <c r="U582" s="2"/>
      <c r="V582" s="2"/>
      <c r="W582" t="s">
        <v>2089</v>
      </c>
    </row>
    <row r="583" spans="1:23" ht="13.15" customHeight="1" x14ac:dyDescent="0.2">
      <c r="A583" s="2" t="s">
        <v>2221</v>
      </c>
      <c r="B583" s="2">
        <f t="shared" si="18"/>
        <v>2019</v>
      </c>
      <c r="C583" s="2" t="str">
        <f t="shared" si="19"/>
        <v>EC101</v>
      </c>
      <c r="D583" s="1747">
        <v>1123</v>
      </c>
      <c r="E583" s="2">
        <v>27</v>
      </c>
      <c r="F583" s="1763" t="s">
        <v>1261</v>
      </c>
      <c r="G583" s="1745"/>
      <c r="H583" s="1745"/>
      <c r="I583" s="1745"/>
      <c r="J583" s="1745"/>
      <c r="K583" s="1745"/>
      <c r="L583" s="1745"/>
      <c r="M583" s="1745"/>
      <c r="N583" s="1745"/>
      <c r="O583" s="1745"/>
      <c r="P583" s="2"/>
      <c r="Q583" s="2"/>
      <c r="T583" s="2"/>
      <c r="U583" s="2"/>
      <c r="V583" s="2"/>
      <c r="W583" t="s">
        <v>2089</v>
      </c>
    </row>
    <row r="584" spans="1:23" ht="13.15" customHeight="1" x14ac:dyDescent="0.2">
      <c r="A584" s="2" t="s">
        <v>2221</v>
      </c>
      <c r="B584" s="2">
        <f t="shared" si="18"/>
        <v>2019</v>
      </c>
      <c r="C584" s="2" t="str">
        <f t="shared" si="19"/>
        <v>EC101</v>
      </c>
      <c r="D584" s="1747">
        <v>1124</v>
      </c>
      <c r="E584" s="2">
        <v>28</v>
      </c>
      <c r="F584" s="1763" t="s">
        <v>1262</v>
      </c>
      <c r="G584" s="1745"/>
      <c r="H584" s="1745"/>
      <c r="I584" s="1745"/>
      <c r="J584" s="1745"/>
      <c r="K584" s="1745"/>
      <c r="L584" s="1745"/>
      <c r="M584" s="1745"/>
      <c r="N584" s="1745"/>
      <c r="O584" s="1745"/>
      <c r="P584" s="2"/>
      <c r="Q584" s="2"/>
      <c r="T584" s="2"/>
      <c r="U584" s="2"/>
      <c r="V584" s="2"/>
      <c r="W584" t="s">
        <v>2089</v>
      </c>
    </row>
    <row r="585" spans="1:23" ht="13.15" customHeight="1" x14ac:dyDescent="0.2">
      <c r="A585" s="2" t="s">
        <v>2221</v>
      </c>
      <c r="B585" s="2">
        <f t="shared" si="18"/>
        <v>2019</v>
      </c>
      <c r="C585" s="2" t="str">
        <f t="shared" si="19"/>
        <v>EC101</v>
      </c>
      <c r="D585" s="1747">
        <v>1125</v>
      </c>
      <c r="E585" s="2">
        <v>29</v>
      </c>
      <c r="F585" s="1763" t="s">
        <v>708</v>
      </c>
      <c r="G585" s="1745"/>
      <c r="H585" s="1745"/>
      <c r="I585" s="1745"/>
      <c r="J585" s="1745"/>
      <c r="K585" s="1745"/>
      <c r="L585" s="1745"/>
      <c r="M585" s="1745"/>
      <c r="N585" s="1745"/>
      <c r="O585" s="1745"/>
      <c r="P585" s="2"/>
      <c r="Q585" s="2"/>
      <c r="T585" s="2"/>
      <c r="U585" s="2"/>
      <c r="V585" s="2"/>
      <c r="W585" t="s">
        <v>2089</v>
      </c>
    </row>
    <row r="586" spans="1:23" ht="13.15" customHeight="1" x14ac:dyDescent="0.2">
      <c r="A586" s="2" t="s">
        <v>2221</v>
      </c>
      <c r="B586" s="2">
        <f t="shared" si="18"/>
        <v>2019</v>
      </c>
      <c r="C586" s="2" t="str">
        <f t="shared" si="19"/>
        <v>EC101</v>
      </c>
      <c r="D586" s="1747">
        <v>1126</v>
      </c>
      <c r="E586" s="2">
        <v>30</v>
      </c>
      <c r="F586" s="1763" t="s">
        <v>1263</v>
      </c>
      <c r="G586" s="1745"/>
      <c r="H586" s="1745"/>
      <c r="I586" s="1745"/>
      <c r="J586" s="1745"/>
      <c r="K586" s="1745"/>
      <c r="L586" s="1745"/>
      <c r="M586" s="1745"/>
      <c r="N586" s="1745"/>
      <c r="O586" s="1745"/>
      <c r="P586" s="2"/>
      <c r="Q586" s="2"/>
      <c r="T586" s="2"/>
      <c r="U586" s="2"/>
      <c r="V586" s="2"/>
      <c r="W586" t="s">
        <v>2089</v>
      </c>
    </row>
    <row r="587" spans="1:23" ht="13.15" customHeight="1" x14ac:dyDescent="0.2">
      <c r="A587" s="2" t="s">
        <v>2221</v>
      </c>
      <c r="B587" s="2">
        <f t="shared" si="18"/>
        <v>2019</v>
      </c>
      <c r="C587" s="2" t="str">
        <f t="shared" si="19"/>
        <v>EC101</v>
      </c>
      <c r="D587" s="1747">
        <v>1127</v>
      </c>
      <c r="E587" s="2">
        <v>31</v>
      </c>
      <c r="F587" s="1763" t="s">
        <v>1264</v>
      </c>
      <c r="G587" s="1745"/>
      <c r="H587" s="1745"/>
      <c r="I587" s="1745"/>
      <c r="J587" s="1745"/>
      <c r="K587" s="1745"/>
      <c r="L587" s="1745"/>
      <c r="M587" s="1745"/>
      <c r="N587" s="1745"/>
      <c r="O587" s="1745"/>
      <c r="P587" s="2"/>
      <c r="Q587" s="2"/>
      <c r="T587" s="2"/>
      <c r="U587" s="2"/>
      <c r="V587" s="2"/>
      <c r="W587" t="s">
        <v>2089</v>
      </c>
    </row>
    <row r="588" spans="1:23" ht="13.15" customHeight="1" x14ac:dyDescent="0.2">
      <c r="A588" s="2" t="s">
        <v>2221</v>
      </c>
      <c r="B588" s="2">
        <f t="shared" si="18"/>
        <v>2019</v>
      </c>
      <c r="C588" s="2" t="str">
        <f t="shared" si="19"/>
        <v>EC101</v>
      </c>
      <c r="D588" s="1747">
        <v>1128</v>
      </c>
      <c r="E588" s="2">
        <v>32</v>
      </c>
      <c r="F588" s="1763" t="s">
        <v>1265</v>
      </c>
      <c r="G588" s="1745"/>
      <c r="H588" s="1745"/>
      <c r="I588" s="1745"/>
      <c r="J588" s="1745"/>
      <c r="K588" s="1745"/>
      <c r="L588" s="1745"/>
      <c r="M588" s="1745"/>
      <c r="N588" s="1745"/>
      <c r="O588" s="1745"/>
      <c r="P588" s="2"/>
      <c r="Q588" s="2"/>
      <c r="T588" s="2"/>
      <c r="U588" s="2"/>
      <c r="V588" s="2"/>
      <c r="W588" t="s">
        <v>2089</v>
      </c>
    </row>
    <row r="589" spans="1:23" ht="13.15" customHeight="1" x14ac:dyDescent="0.2">
      <c r="A589" s="2" t="s">
        <v>2221</v>
      </c>
      <c r="B589" s="2">
        <f t="shared" si="18"/>
        <v>2019</v>
      </c>
      <c r="C589" s="2" t="str">
        <f t="shared" si="19"/>
        <v>EC101</v>
      </c>
      <c r="D589" s="1747">
        <v>1190</v>
      </c>
      <c r="E589" s="2">
        <v>33</v>
      </c>
      <c r="F589" s="1763" t="s">
        <v>586</v>
      </c>
      <c r="G589" s="1745"/>
      <c r="H589" s="1745"/>
      <c r="I589" s="1745"/>
      <c r="J589" s="1745"/>
      <c r="K589" s="1745"/>
      <c r="L589" s="1745"/>
      <c r="M589" s="1745"/>
      <c r="N589" s="1745"/>
      <c r="O589" s="1745"/>
      <c r="P589" s="2"/>
      <c r="Q589" s="2"/>
      <c r="T589" s="2"/>
      <c r="U589" s="2"/>
      <c r="V589" s="2"/>
      <c r="W589" t="s">
        <v>2089</v>
      </c>
    </row>
    <row r="590" spans="1:23" ht="13.15" customHeight="1" x14ac:dyDescent="0.2">
      <c r="A590" s="2" t="s">
        <v>2221</v>
      </c>
      <c r="B590" s="2">
        <f t="shared" si="18"/>
        <v>2019</v>
      </c>
      <c r="C590" s="2" t="str">
        <f t="shared" si="19"/>
        <v>EC101</v>
      </c>
      <c r="D590" s="1747">
        <v>1191</v>
      </c>
      <c r="E590" s="2">
        <v>34</v>
      </c>
      <c r="F590" s="1763" t="s">
        <v>807</v>
      </c>
      <c r="G590" s="1762"/>
      <c r="H590" s="1762"/>
      <c r="I590" s="1762"/>
      <c r="J590" s="1762"/>
      <c r="K590" s="1762"/>
      <c r="L590" s="1762"/>
      <c r="M590" s="1762"/>
      <c r="N590" s="1762"/>
      <c r="O590" s="1762"/>
      <c r="P590" s="2"/>
      <c r="Q590" s="1745"/>
      <c r="T590" s="1745"/>
      <c r="U590" s="1745"/>
      <c r="V590" s="1745"/>
      <c r="W590" t="s">
        <v>2089</v>
      </c>
    </row>
    <row r="591" spans="1:23" ht="13.15" customHeight="1" x14ac:dyDescent="0.2">
      <c r="A591" s="2" t="s">
        <v>2221</v>
      </c>
      <c r="B591" s="2">
        <f t="shared" si="18"/>
        <v>2019</v>
      </c>
      <c r="C591" s="2" t="str">
        <f t="shared" si="19"/>
        <v>EC101</v>
      </c>
      <c r="D591" s="1747"/>
      <c r="E591" s="2"/>
      <c r="F591" s="1763"/>
      <c r="G591" s="1745"/>
      <c r="H591" s="1745"/>
      <c r="I591" s="1745"/>
      <c r="J591" s="1745"/>
      <c r="K591" s="1745"/>
      <c r="L591" s="1745"/>
      <c r="M591" s="1745"/>
      <c r="N591" s="1745"/>
      <c r="O591" s="1745"/>
      <c r="P591" s="2"/>
      <c r="Q591" s="2"/>
      <c r="T591" s="2"/>
      <c r="U591" s="2"/>
      <c r="V591" s="2"/>
      <c r="W591" t="s">
        <v>2089</v>
      </c>
    </row>
    <row r="592" spans="1:23" ht="13.15" customHeight="1" x14ac:dyDescent="0.2">
      <c r="A592" s="2" t="s">
        <v>2221</v>
      </c>
      <c r="B592" s="2">
        <f t="shared" si="18"/>
        <v>2019</v>
      </c>
      <c r="C592" s="2" t="str">
        <f t="shared" si="19"/>
        <v>EC101</v>
      </c>
      <c r="D592" s="1747">
        <v>1200</v>
      </c>
      <c r="E592" s="2">
        <v>35</v>
      </c>
      <c r="F592" s="1763" t="s">
        <v>1266</v>
      </c>
      <c r="G592" s="1745"/>
      <c r="H592" s="1745"/>
      <c r="I592" s="1745"/>
      <c r="J592" s="1745"/>
      <c r="K592" s="1745"/>
      <c r="L592" s="1745"/>
      <c r="M592" s="1745"/>
      <c r="N592" s="1745"/>
      <c r="O592" s="1745"/>
      <c r="P592" s="2"/>
      <c r="Q592" s="2"/>
      <c r="T592" s="2"/>
      <c r="U592" s="2"/>
      <c r="V592" s="2"/>
      <c r="W592" t="s">
        <v>2089</v>
      </c>
    </row>
    <row r="593" spans="1:23" ht="13.15" customHeight="1" x14ac:dyDescent="0.2">
      <c r="A593" s="2" t="s">
        <v>2221</v>
      </c>
      <c r="B593" s="2">
        <f t="shared" si="18"/>
        <v>2019</v>
      </c>
      <c r="C593" s="2" t="str">
        <f t="shared" si="19"/>
        <v>EC101</v>
      </c>
      <c r="D593" s="1747">
        <v>1201</v>
      </c>
      <c r="E593" s="2">
        <v>36</v>
      </c>
      <c r="F593" s="1763" t="s">
        <v>1267</v>
      </c>
      <c r="G593" s="1745"/>
      <c r="H593" s="1745"/>
      <c r="I593" s="1745"/>
      <c r="J593" s="1745"/>
      <c r="K593" s="1745"/>
      <c r="L593" s="1745"/>
      <c r="M593" s="1745"/>
      <c r="N593" s="1745"/>
      <c r="O593" s="1745"/>
      <c r="P593" s="2"/>
      <c r="Q593" s="2"/>
      <c r="T593" s="2"/>
      <c r="U593" s="2"/>
      <c r="V593" s="2"/>
      <c r="W593" t="s">
        <v>2089</v>
      </c>
    </row>
    <row r="594" spans="1:23" ht="13.15" customHeight="1" x14ac:dyDescent="0.2">
      <c r="A594" s="2" t="s">
        <v>2221</v>
      </c>
      <c r="B594" s="2">
        <f t="shared" si="18"/>
        <v>2019</v>
      </c>
      <c r="C594" s="2" t="str">
        <f t="shared" si="19"/>
        <v>EC101</v>
      </c>
      <c r="D594" s="1747">
        <v>1202</v>
      </c>
      <c r="E594" s="2">
        <v>37</v>
      </c>
      <c r="F594" s="1763" t="s">
        <v>1268</v>
      </c>
      <c r="G594" s="1745"/>
      <c r="H594" s="1745"/>
      <c r="I594" s="1745"/>
      <c r="J594" s="1745"/>
      <c r="K594" s="1745"/>
      <c r="L594" s="1745"/>
      <c r="M594" s="1745"/>
      <c r="N594" s="1745"/>
      <c r="O594" s="1745"/>
      <c r="P594" s="2"/>
      <c r="Q594" s="2"/>
      <c r="T594" s="2"/>
      <c r="U594" s="2"/>
      <c r="V594" s="2"/>
      <c r="W594" t="s">
        <v>2089</v>
      </c>
    </row>
    <row r="595" spans="1:23" ht="13.15" customHeight="1" x14ac:dyDescent="0.2">
      <c r="A595" s="2" t="s">
        <v>2223</v>
      </c>
      <c r="B595" s="2">
        <f t="shared" si="18"/>
        <v>2019</v>
      </c>
      <c r="C595" s="2" t="str">
        <f t="shared" si="19"/>
        <v>EC101</v>
      </c>
      <c r="D595" s="1744" t="s">
        <v>2224</v>
      </c>
      <c r="E595" s="2">
        <v>1</v>
      </c>
      <c r="F595" s="2" t="s">
        <v>940</v>
      </c>
      <c r="G595" s="1745"/>
      <c r="H595" s="1745"/>
      <c r="I595" s="1745"/>
      <c r="J595" s="1745"/>
      <c r="K595" s="1745"/>
      <c r="L595" s="1745"/>
      <c r="M595" s="1745"/>
      <c r="N595" s="1745"/>
      <c r="O595" s="1745"/>
      <c r="P595" s="1745"/>
      <c r="Q595" s="2"/>
      <c r="W595" t="s">
        <v>2089</v>
      </c>
    </row>
    <row r="596" spans="1:23" ht="13.15" customHeight="1" x14ac:dyDescent="0.2">
      <c r="A596" s="2" t="s">
        <v>2223</v>
      </c>
      <c r="B596" s="2">
        <f t="shared" si="18"/>
        <v>2019</v>
      </c>
      <c r="C596" s="2" t="str">
        <f t="shared" si="19"/>
        <v>EC101</v>
      </c>
      <c r="D596" s="1744" t="s">
        <v>2225</v>
      </c>
      <c r="E596" s="2">
        <v>2</v>
      </c>
      <c r="F596" s="2" t="s">
        <v>133</v>
      </c>
      <c r="G596" s="1745"/>
      <c r="H596" s="1745"/>
      <c r="I596" s="1745"/>
      <c r="J596" s="1745"/>
      <c r="K596" s="1745"/>
      <c r="L596" s="1745"/>
      <c r="M596" s="1745"/>
      <c r="N596" s="1745"/>
      <c r="O596" s="1745"/>
      <c r="P596" s="1745"/>
      <c r="Q596" s="2"/>
      <c r="W596" t="s">
        <v>2089</v>
      </c>
    </row>
    <row r="597" spans="1:23" ht="13.15" customHeight="1" x14ac:dyDescent="0.2">
      <c r="A597" s="2" t="s">
        <v>2223</v>
      </c>
      <c r="B597" s="2">
        <f t="shared" si="18"/>
        <v>2019</v>
      </c>
      <c r="C597" s="2" t="str">
        <f t="shared" si="19"/>
        <v>EC101</v>
      </c>
      <c r="D597" s="1744" t="s">
        <v>2226</v>
      </c>
      <c r="E597" s="2">
        <v>3</v>
      </c>
      <c r="F597" s="2" t="s">
        <v>997</v>
      </c>
      <c r="G597" s="1745"/>
      <c r="H597" s="1745"/>
      <c r="I597" s="1745"/>
      <c r="J597" s="1745"/>
      <c r="K597" s="1745"/>
      <c r="L597" s="1745"/>
      <c r="M597" s="1745"/>
      <c r="N597" s="1745"/>
      <c r="O597" s="1745"/>
      <c r="P597" s="1745"/>
      <c r="Q597" s="2"/>
      <c r="W597" t="s">
        <v>2089</v>
      </c>
    </row>
    <row r="598" spans="1:23" ht="13.15" customHeight="1" x14ac:dyDescent="0.2">
      <c r="A598" s="2" t="s">
        <v>2223</v>
      </c>
      <c r="B598" s="2">
        <f t="shared" si="18"/>
        <v>2019</v>
      </c>
      <c r="C598" s="2" t="str">
        <f t="shared" si="19"/>
        <v>EC101</v>
      </c>
      <c r="D598" s="1744" t="s">
        <v>2227</v>
      </c>
      <c r="E598" s="2">
        <v>5</v>
      </c>
      <c r="F598" s="2" t="s">
        <v>512</v>
      </c>
      <c r="G598" s="1745"/>
      <c r="H598" s="1745"/>
      <c r="I598" s="1745"/>
      <c r="J598" s="1745"/>
      <c r="K598" s="1745"/>
      <c r="L598" s="1745"/>
      <c r="M598" s="1745"/>
      <c r="N598" s="1745"/>
      <c r="O598" s="1745"/>
      <c r="P598" s="1745"/>
      <c r="Q598" s="2"/>
      <c r="W598" t="s">
        <v>2089</v>
      </c>
    </row>
    <row r="599" spans="1:23" ht="13.15" customHeight="1" x14ac:dyDescent="0.2">
      <c r="A599" s="2" t="s">
        <v>2223</v>
      </c>
      <c r="B599" s="2">
        <f t="shared" si="18"/>
        <v>2019</v>
      </c>
      <c r="C599" s="2" t="str">
        <f t="shared" si="19"/>
        <v>EC101</v>
      </c>
      <c r="D599" s="1744" t="s">
        <v>2228</v>
      </c>
      <c r="E599" s="2">
        <v>6</v>
      </c>
      <c r="F599" s="2" t="s">
        <v>336</v>
      </c>
      <c r="G599" s="1745"/>
      <c r="H599" s="1745"/>
      <c r="I599" s="1745"/>
      <c r="J599" s="1745"/>
      <c r="K599" s="1745"/>
      <c r="L599" s="1745"/>
      <c r="M599" s="1745"/>
      <c r="N599" s="1745"/>
      <c r="O599" s="1745"/>
      <c r="P599" s="1745"/>
      <c r="Q599" s="2"/>
      <c r="W599" t="s">
        <v>2089</v>
      </c>
    </row>
    <row r="600" spans="1:23" ht="13.15" customHeight="1" x14ac:dyDescent="0.2">
      <c r="A600" s="2" t="s">
        <v>2223</v>
      </c>
      <c r="B600" s="2">
        <f t="shared" si="18"/>
        <v>2019</v>
      </c>
      <c r="C600" s="2" t="str">
        <f t="shared" si="19"/>
        <v>EC101</v>
      </c>
      <c r="D600" s="1744" t="s">
        <v>2229</v>
      </c>
      <c r="E600" s="2">
        <v>7</v>
      </c>
      <c r="F600" s="2" t="s">
        <v>1070</v>
      </c>
      <c r="G600" s="1745"/>
      <c r="H600" s="1745"/>
      <c r="I600" s="1745"/>
      <c r="J600" s="1745"/>
      <c r="K600" s="1745"/>
      <c r="L600" s="1745"/>
      <c r="M600" s="1745"/>
      <c r="N600" s="1745"/>
      <c r="O600" s="1745"/>
      <c r="P600" s="1745"/>
      <c r="Q600" s="2"/>
      <c r="W600" t="s">
        <v>2089</v>
      </c>
    </row>
    <row r="601" spans="1:23" ht="13.15" customHeight="1" x14ac:dyDescent="0.2">
      <c r="A601" s="2" t="s">
        <v>2223</v>
      </c>
      <c r="B601" s="2">
        <f t="shared" si="18"/>
        <v>2019</v>
      </c>
      <c r="C601" s="2" t="str">
        <f t="shared" si="19"/>
        <v>EC101</v>
      </c>
      <c r="D601" s="1744" t="s">
        <v>2230</v>
      </c>
      <c r="E601" s="2">
        <v>8</v>
      </c>
      <c r="F601" s="2" t="s">
        <v>2231</v>
      </c>
      <c r="G601" s="1745"/>
      <c r="H601" s="1745"/>
      <c r="I601" s="1745"/>
      <c r="J601" s="1745"/>
      <c r="K601" s="1745"/>
      <c r="L601" s="1745"/>
      <c r="M601" s="1745"/>
      <c r="N601" s="1745"/>
      <c r="O601" s="1745"/>
      <c r="P601" s="1745"/>
      <c r="Q601" s="2"/>
      <c r="W601" t="s">
        <v>2089</v>
      </c>
    </row>
    <row r="602" spans="1:23" ht="13.15" customHeight="1" x14ac:dyDescent="0.2">
      <c r="A602" s="2" t="s">
        <v>2223</v>
      </c>
      <c r="B602" s="2">
        <f t="shared" si="18"/>
        <v>2019</v>
      </c>
      <c r="C602" s="2" t="str">
        <f t="shared" si="19"/>
        <v>EC101</v>
      </c>
      <c r="D602" s="1747">
        <v>2001</v>
      </c>
      <c r="E602" s="2">
        <v>9</v>
      </c>
      <c r="F602" s="2" t="s">
        <v>709</v>
      </c>
      <c r="G602" s="1745"/>
      <c r="H602" s="1745"/>
      <c r="I602" s="1745"/>
      <c r="J602" s="1745"/>
      <c r="K602" s="1745"/>
      <c r="L602" s="1745"/>
      <c r="M602" s="1745"/>
      <c r="N602" s="1745"/>
      <c r="O602" s="1745"/>
      <c r="P602" s="1745"/>
      <c r="Q602" s="2"/>
      <c r="W602" t="s">
        <v>2089</v>
      </c>
    </row>
    <row r="603" spans="1:23" ht="13.15" customHeight="1" x14ac:dyDescent="0.2">
      <c r="A603" s="2" t="s">
        <v>2223</v>
      </c>
      <c r="B603" s="2">
        <f t="shared" si="18"/>
        <v>2019</v>
      </c>
      <c r="C603" s="2" t="str">
        <f t="shared" si="19"/>
        <v>EC101</v>
      </c>
      <c r="D603" s="1744" t="s">
        <v>2232</v>
      </c>
      <c r="E603" s="2">
        <v>10</v>
      </c>
      <c r="F603" s="2" t="s">
        <v>1182</v>
      </c>
      <c r="G603" s="1745"/>
      <c r="H603" s="1745"/>
      <c r="I603" s="1745"/>
      <c r="J603" s="1745"/>
      <c r="K603" s="1745"/>
      <c r="L603" s="1745"/>
      <c r="M603" s="1745"/>
      <c r="N603" s="1745"/>
      <c r="O603" s="1745"/>
      <c r="P603" s="1745"/>
      <c r="Q603" s="2"/>
      <c r="W603" t="s">
        <v>2089</v>
      </c>
    </row>
    <row r="604" spans="1:23" ht="13.15" customHeight="1" x14ac:dyDescent="0.2">
      <c r="A604" s="2" t="s">
        <v>2223</v>
      </c>
      <c r="B604" s="2">
        <f t="shared" si="18"/>
        <v>2019</v>
      </c>
      <c r="C604" s="2" t="str">
        <f t="shared" si="19"/>
        <v>EC101</v>
      </c>
      <c r="D604" s="1744" t="s">
        <v>2233</v>
      </c>
      <c r="E604" s="2">
        <v>11</v>
      </c>
      <c r="F604" s="2" t="s">
        <v>1287</v>
      </c>
      <c r="G604" s="1762"/>
      <c r="H604" s="1762"/>
      <c r="I604" s="1762"/>
      <c r="J604" s="1762"/>
      <c r="K604" s="1762"/>
      <c r="L604" s="1762"/>
      <c r="M604" s="1762"/>
      <c r="N604" s="1762"/>
      <c r="O604" s="1762"/>
      <c r="P604" s="1762"/>
      <c r="Q604" s="2"/>
      <c r="W604" t="s">
        <v>2089</v>
      </c>
    </row>
    <row r="605" spans="1:23" ht="13.15" customHeight="1" x14ac:dyDescent="0.2">
      <c r="A605" s="2" t="s">
        <v>2223</v>
      </c>
      <c r="B605" s="2">
        <f t="shared" si="18"/>
        <v>2019</v>
      </c>
      <c r="C605" s="2" t="str">
        <f t="shared" si="19"/>
        <v>EC101</v>
      </c>
      <c r="D605" s="1747">
        <v>5000</v>
      </c>
      <c r="E605" s="2">
        <v>50</v>
      </c>
      <c r="F605" s="2" t="s">
        <v>2234</v>
      </c>
      <c r="G605" s="1745"/>
      <c r="H605" s="1745"/>
      <c r="I605" s="1745"/>
      <c r="J605" s="1745"/>
      <c r="K605" s="1745"/>
      <c r="L605" s="1745"/>
      <c r="M605" s="1745"/>
      <c r="N605" s="1745"/>
      <c r="O605" s="1745"/>
      <c r="P605" s="1745"/>
      <c r="Q605" s="2"/>
      <c r="W605" t="s">
        <v>2089</v>
      </c>
    </row>
    <row r="606" spans="1:23" ht="13.15" customHeight="1" x14ac:dyDescent="0.2">
      <c r="A606" s="2" t="s">
        <v>2223</v>
      </c>
      <c r="B606" s="2">
        <f t="shared" si="18"/>
        <v>2019</v>
      </c>
      <c r="C606" s="2" t="str">
        <f t="shared" si="19"/>
        <v>EC101</v>
      </c>
      <c r="D606" s="1747">
        <v>5001</v>
      </c>
      <c r="E606" s="2">
        <v>51</v>
      </c>
      <c r="F606" s="2" t="s">
        <v>409</v>
      </c>
      <c r="G606" s="1745"/>
      <c r="H606" s="1745"/>
      <c r="I606" s="1745"/>
      <c r="J606" s="1745"/>
      <c r="K606" s="1745"/>
      <c r="L606" s="1745"/>
      <c r="M606" s="1745"/>
      <c r="N606" s="1745"/>
      <c r="O606" s="1745"/>
      <c r="P606" s="1745"/>
      <c r="Q606" s="2"/>
      <c r="W606" t="s">
        <v>2089</v>
      </c>
    </row>
    <row r="607" spans="1:23" ht="13.15" customHeight="1" x14ac:dyDescent="0.2">
      <c r="A607" s="2" t="s">
        <v>2223</v>
      </c>
      <c r="B607" s="2">
        <f t="shared" si="18"/>
        <v>2019</v>
      </c>
      <c r="C607" s="2" t="str">
        <f t="shared" si="19"/>
        <v>EC101</v>
      </c>
      <c r="D607" s="1747">
        <v>5002</v>
      </c>
      <c r="E607" s="2">
        <v>52</v>
      </c>
      <c r="F607" s="2" t="s">
        <v>1358</v>
      </c>
      <c r="G607" s="1745"/>
      <c r="H607" s="1745"/>
      <c r="I607" s="1745"/>
      <c r="J607" s="1745"/>
      <c r="K607" s="1745"/>
      <c r="L607" s="1745"/>
      <c r="M607" s="1745"/>
      <c r="N607" s="1745"/>
      <c r="O607" s="1745"/>
      <c r="P607" s="1745"/>
      <c r="Q607" s="2"/>
      <c r="W607" t="s">
        <v>2089</v>
      </c>
    </row>
    <row r="608" spans="1:23" ht="13.15" customHeight="1" x14ac:dyDescent="0.2">
      <c r="A608" s="2" t="s">
        <v>2223</v>
      </c>
      <c r="B608" s="2">
        <f t="shared" si="18"/>
        <v>2019</v>
      </c>
      <c r="C608" s="2" t="str">
        <f t="shared" si="19"/>
        <v>EC101</v>
      </c>
      <c r="D608" s="1747">
        <v>5003</v>
      </c>
      <c r="E608" s="2">
        <v>53</v>
      </c>
      <c r="F608" s="2" t="s">
        <v>1715</v>
      </c>
      <c r="G608" s="1745"/>
      <c r="H608" s="1745"/>
      <c r="I608" s="1745"/>
      <c r="J608" s="1745"/>
      <c r="K608" s="1745"/>
      <c r="L608" s="1745"/>
      <c r="M608" s="1745"/>
      <c r="N608" s="1745"/>
      <c r="O608" s="1745"/>
      <c r="P608" s="1745"/>
      <c r="Q608" s="1745"/>
      <c r="W608" t="s">
        <v>2089</v>
      </c>
    </row>
    <row r="609" spans="1:23" ht="13.15" customHeight="1" x14ac:dyDescent="0.2">
      <c r="A609" s="2" t="s">
        <v>2223</v>
      </c>
      <c r="B609" s="2">
        <f t="shared" si="18"/>
        <v>2019</v>
      </c>
      <c r="C609" s="2" t="str">
        <f t="shared" si="19"/>
        <v>EC101</v>
      </c>
      <c r="D609" s="1747">
        <v>5004</v>
      </c>
      <c r="E609" s="2">
        <v>54</v>
      </c>
      <c r="F609" s="2" t="s">
        <v>1716</v>
      </c>
      <c r="G609" s="1745"/>
      <c r="H609" s="1745"/>
      <c r="I609" s="1745"/>
      <c r="J609" s="1745"/>
      <c r="K609" s="1745"/>
      <c r="L609" s="1745"/>
      <c r="M609" s="1745"/>
      <c r="N609" s="1745"/>
      <c r="O609" s="1745"/>
      <c r="P609" s="1745"/>
      <c r="Q609" s="2"/>
      <c r="W609" t="s">
        <v>2089</v>
      </c>
    </row>
    <row r="610" spans="1:23" ht="13.15" customHeight="1" x14ac:dyDescent="0.2">
      <c r="A610" s="2" t="s">
        <v>2223</v>
      </c>
      <c r="B610" s="2">
        <f t="shared" si="18"/>
        <v>2019</v>
      </c>
      <c r="C610" s="2" t="str">
        <f t="shared" si="19"/>
        <v>EC101</v>
      </c>
      <c r="D610" s="1747">
        <v>5005</v>
      </c>
      <c r="E610" s="2">
        <v>55</v>
      </c>
      <c r="F610" s="2" t="s">
        <v>1082</v>
      </c>
      <c r="G610" s="1745"/>
      <c r="H610" s="1745"/>
      <c r="I610" s="1745"/>
      <c r="J610" s="1745"/>
      <c r="K610" s="1745"/>
      <c r="L610" s="1745"/>
      <c r="M610" s="1745"/>
      <c r="N610" s="1745"/>
      <c r="O610" s="1745"/>
      <c r="P610" s="1745"/>
      <c r="Q610" s="2"/>
      <c r="W610" t="s">
        <v>2089</v>
      </c>
    </row>
    <row r="611" spans="1:23" ht="13.15" customHeight="1" x14ac:dyDescent="0.2">
      <c r="A611" s="2" t="s">
        <v>2223</v>
      </c>
      <c r="B611" s="2">
        <f t="shared" si="18"/>
        <v>2019</v>
      </c>
      <c r="C611" s="2" t="str">
        <f t="shared" si="19"/>
        <v>EC101</v>
      </c>
      <c r="D611" s="1747">
        <v>6001</v>
      </c>
      <c r="E611" s="2">
        <v>61</v>
      </c>
      <c r="F611" s="2" t="s">
        <v>2235</v>
      </c>
      <c r="G611" s="1745"/>
      <c r="H611" s="1745"/>
      <c r="I611" s="1745"/>
      <c r="J611" s="1745"/>
      <c r="K611" s="1745"/>
      <c r="L611" s="1745"/>
      <c r="M611" s="1745"/>
      <c r="N611" s="1745"/>
      <c r="O611" s="1745"/>
      <c r="P611" s="1745"/>
      <c r="Q611" s="2"/>
      <c r="W611" t="s">
        <v>2089</v>
      </c>
    </row>
    <row r="612" spans="1:23" ht="13.15" customHeight="1" x14ac:dyDescent="0.2">
      <c r="A612" s="2" t="s">
        <v>2223</v>
      </c>
      <c r="B612" s="2">
        <f t="shared" si="18"/>
        <v>2019</v>
      </c>
      <c r="C612" s="2" t="str">
        <f t="shared" si="19"/>
        <v>EC101</v>
      </c>
      <c r="D612" s="1747">
        <v>6002</v>
      </c>
      <c r="E612" s="2">
        <v>62</v>
      </c>
      <c r="F612" s="2" t="s">
        <v>2236</v>
      </c>
      <c r="G612" s="1745"/>
      <c r="H612" s="1745"/>
      <c r="I612" s="1745"/>
      <c r="J612" s="1745"/>
      <c r="K612" s="1745"/>
      <c r="L612" s="1745"/>
      <c r="M612" s="1745"/>
      <c r="N612" s="1745"/>
      <c r="O612" s="1745"/>
      <c r="P612" s="1745"/>
      <c r="Q612" s="2"/>
      <c r="W612" t="s">
        <v>2089</v>
      </c>
    </row>
    <row r="613" spans="1:23" ht="13.15" customHeight="1" x14ac:dyDescent="0.2">
      <c r="A613" s="2" t="s">
        <v>2223</v>
      </c>
      <c r="B613" s="2">
        <f t="shared" si="18"/>
        <v>2019</v>
      </c>
      <c r="C613" s="2" t="str">
        <f t="shared" si="19"/>
        <v>EC101</v>
      </c>
      <c r="D613" s="1747"/>
      <c r="E613" s="2"/>
      <c r="F613" s="2"/>
      <c r="G613" s="1745"/>
      <c r="H613" s="1745"/>
      <c r="I613" s="1745"/>
      <c r="J613" s="1745"/>
      <c r="K613" s="1745"/>
      <c r="L613" s="1745"/>
      <c r="M613" s="1745"/>
      <c r="N613" s="1745"/>
      <c r="O613" s="1745"/>
      <c r="P613" s="1745"/>
      <c r="Q613" s="2"/>
      <c r="W613" t="s">
        <v>2089</v>
      </c>
    </row>
    <row r="614" spans="1:23" ht="13.15" customHeight="1" x14ac:dyDescent="0.2">
      <c r="A614" s="2" t="s">
        <v>2223</v>
      </c>
      <c r="B614" s="2">
        <f t="shared" si="18"/>
        <v>2019</v>
      </c>
      <c r="C614" s="2" t="str">
        <f t="shared" si="19"/>
        <v>EC101</v>
      </c>
      <c r="D614" s="1747">
        <v>6003</v>
      </c>
      <c r="E614" s="2">
        <v>63</v>
      </c>
      <c r="F614" s="2" t="s">
        <v>2237</v>
      </c>
      <c r="G614" s="1745"/>
      <c r="H614" s="1745"/>
      <c r="I614" s="1745"/>
      <c r="J614" s="1745"/>
      <c r="K614" s="1745"/>
      <c r="L614" s="1745"/>
      <c r="M614" s="1745"/>
      <c r="N614" s="1745"/>
      <c r="O614" s="1745"/>
      <c r="P614" s="1745"/>
      <c r="Q614" s="2"/>
      <c r="W614" t="s">
        <v>2089</v>
      </c>
    </row>
    <row r="615" spans="1:23" ht="13.15" customHeight="1" x14ac:dyDescent="0.2">
      <c r="A615" s="2" t="s">
        <v>2223</v>
      </c>
      <c r="B615" s="2">
        <f t="shared" si="18"/>
        <v>2019</v>
      </c>
      <c r="C615" s="2" t="str">
        <f t="shared" si="19"/>
        <v>EC101</v>
      </c>
      <c r="D615" s="1747">
        <v>6004</v>
      </c>
      <c r="E615" s="2">
        <v>64</v>
      </c>
      <c r="F615" s="2" t="s">
        <v>2238</v>
      </c>
      <c r="G615" s="1745"/>
      <c r="H615" s="1745"/>
      <c r="I615" s="1745"/>
      <c r="J615" s="1745"/>
      <c r="K615" s="1745"/>
      <c r="L615" s="1745"/>
      <c r="M615" s="1745"/>
      <c r="N615" s="1745"/>
      <c r="O615" s="1745"/>
      <c r="P615" s="1745"/>
      <c r="Q615" s="2"/>
      <c r="W615" t="s">
        <v>2089</v>
      </c>
    </row>
    <row r="616" spans="1:23" ht="13.15" customHeight="1" x14ac:dyDescent="0.2">
      <c r="A616" s="2" t="s">
        <v>2223</v>
      </c>
      <c r="B616" s="2">
        <f t="shared" si="18"/>
        <v>2019</v>
      </c>
      <c r="C616" s="2" t="str">
        <f t="shared" si="19"/>
        <v>EC101</v>
      </c>
      <c r="D616" s="1747"/>
      <c r="E616" s="2"/>
      <c r="F616" s="2"/>
      <c r="G616" s="1745"/>
      <c r="H616" s="1745"/>
      <c r="I616" s="1745"/>
      <c r="J616" s="1745"/>
      <c r="K616" s="1745"/>
      <c r="L616" s="1745"/>
      <c r="M616" s="1745"/>
      <c r="N616" s="1745"/>
      <c r="O616" s="1745"/>
      <c r="P616" s="1745"/>
      <c r="Q616" s="2"/>
      <c r="W616" t="s">
        <v>2089</v>
      </c>
    </row>
    <row r="617" spans="1:23" ht="13.15" customHeight="1" x14ac:dyDescent="0.2">
      <c r="A617" s="2" t="s">
        <v>2223</v>
      </c>
      <c r="B617" s="2">
        <f t="shared" si="18"/>
        <v>2019</v>
      </c>
      <c r="C617" s="2" t="str">
        <f t="shared" si="19"/>
        <v>EC101</v>
      </c>
      <c r="D617" s="1747">
        <v>7001</v>
      </c>
      <c r="E617" s="2">
        <v>71</v>
      </c>
      <c r="F617" s="2" t="s">
        <v>2239</v>
      </c>
      <c r="G617" s="1745"/>
      <c r="H617" s="1745"/>
      <c r="I617" s="1745"/>
      <c r="J617" s="1745"/>
      <c r="K617" s="1745"/>
      <c r="L617" s="1745"/>
      <c r="M617" s="1745"/>
      <c r="N617" s="1745"/>
      <c r="O617" s="1745"/>
      <c r="P617" s="1745"/>
      <c r="Q617" s="2"/>
      <c r="W617" t="s">
        <v>2089</v>
      </c>
    </row>
    <row r="618" spans="1:23" ht="13.15" customHeight="1" x14ac:dyDescent="0.2">
      <c r="A618" s="2" t="s">
        <v>2223</v>
      </c>
      <c r="B618" s="2">
        <f t="shared" si="18"/>
        <v>2019</v>
      </c>
      <c r="C618" s="2" t="str">
        <f t="shared" si="19"/>
        <v>EC101</v>
      </c>
      <c r="D618" s="1747">
        <v>7002</v>
      </c>
      <c r="E618" s="2">
        <v>72</v>
      </c>
      <c r="F618" s="2" t="s">
        <v>2240</v>
      </c>
      <c r="G618" s="1745"/>
      <c r="H618" s="1745"/>
      <c r="I618" s="1745"/>
      <c r="J618" s="1745"/>
      <c r="K618" s="1745"/>
      <c r="L618" s="1745"/>
      <c r="M618" s="1745"/>
      <c r="N618" s="1745"/>
      <c r="O618" s="1745"/>
      <c r="P618" s="1745"/>
      <c r="Q618" s="2"/>
      <c r="W618" t="s">
        <v>2089</v>
      </c>
    </row>
    <row r="619" spans="1:23" ht="13.15" customHeight="1" x14ac:dyDescent="0.2">
      <c r="A619" s="2" t="s">
        <v>2241</v>
      </c>
      <c r="B619" s="2">
        <f t="shared" si="18"/>
        <v>2019</v>
      </c>
      <c r="C619" s="2" t="str">
        <f t="shared" si="19"/>
        <v>EC101</v>
      </c>
      <c r="D619" s="2">
        <v>1</v>
      </c>
      <c r="F619" s="1764"/>
      <c r="G619" s="1764"/>
      <c r="H619" s="1764"/>
      <c r="I619" s="1764"/>
      <c r="J619" s="1764"/>
      <c r="K619" s="1764"/>
      <c r="L619" s="1764"/>
      <c r="M619" s="1765"/>
      <c r="N619" s="1765"/>
      <c r="O619" s="1765"/>
      <c r="P619" s="1765"/>
      <c r="Q619" s="1765"/>
      <c r="W619" t="s">
        <v>2089</v>
      </c>
    </row>
    <row r="620" spans="1:23" ht="13.15" customHeight="1" x14ac:dyDescent="0.2">
      <c r="A620" s="2" t="s">
        <v>2241</v>
      </c>
      <c r="B620" s="2">
        <f t="shared" si="18"/>
        <v>2019</v>
      </c>
      <c r="C620" s="2" t="str">
        <f t="shared" si="19"/>
        <v>EC101</v>
      </c>
      <c r="D620" s="2">
        <v>2</v>
      </c>
      <c r="F620" s="1764"/>
      <c r="G620" s="1764"/>
      <c r="H620" s="1764"/>
      <c r="I620" s="1764"/>
      <c r="J620" s="1764"/>
      <c r="K620" s="1764"/>
      <c r="L620" s="1764"/>
      <c r="M620" s="1765"/>
      <c r="N620" s="1765"/>
      <c r="O620" s="1765"/>
      <c r="P620" s="1765"/>
      <c r="Q620" s="1765"/>
      <c r="W620" t="s">
        <v>2089</v>
      </c>
    </row>
    <row r="621" spans="1:23" ht="13.15" customHeight="1" x14ac:dyDescent="0.2">
      <c r="A621" s="2" t="s">
        <v>2241</v>
      </c>
      <c r="B621" s="2">
        <f t="shared" si="18"/>
        <v>2019</v>
      </c>
      <c r="C621" s="2" t="str">
        <f t="shared" si="19"/>
        <v>EC101</v>
      </c>
      <c r="D621" s="2">
        <v>3</v>
      </c>
      <c r="F621" s="1764"/>
      <c r="G621" s="1764"/>
      <c r="H621" s="1764"/>
      <c r="I621" s="1764"/>
      <c r="J621" s="1764"/>
      <c r="K621" s="1764"/>
      <c r="L621" s="1764"/>
      <c r="M621" s="1765"/>
      <c r="N621" s="1765"/>
      <c r="O621" s="1765"/>
      <c r="P621" s="1765"/>
      <c r="Q621" s="1765"/>
      <c r="W621" t="s">
        <v>2089</v>
      </c>
    </row>
    <row r="622" spans="1:23" ht="13.15" customHeight="1" x14ac:dyDescent="0.2">
      <c r="A622" s="2" t="s">
        <v>2241</v>
      </c>
      <c r="B622" s="2">
        <f t="shared" si="18"/>
        <v>2019</v>
      </c>
      <c r="C622" s="2" t="str">
        <f t="shared" si="19"/>
        <v>EC101</v>
      </c>
      <c r="D622" s="2">
        <v>4</v>
      </c>
      <c r="F622" s="1764"/>
      <c r="G622" s="1764"/>
      <c r="H622" s="1764"/>
      <c r="I622" s="1764"/>
      <c r="J622" s="1764"/>
      <c r="K622" s="1764"/>
      <c r="L622" s="1764"/>
      <c r="M622" s="1765"/>
      <c r="N622" s="1765"/>
      <c r="O622" s="1765"/>
      <c r="P622" s="1765"/>
      <c r="Q622" s="1765"/>
      <c r="W622" t="s">
        <v>2089</v>
      </c>
    </row>
    <row r="623" spans="1:23" ht="13.15" customHeight="1" x14ac:dyDescent="0.2">
      <c r="A623" s="2" t="s">
        <v>2241</v>
      </c>
      <c r="B623" s="2">
        <f t="shared" si="18"/>
        <v>2019</v>
      </c>
      <c r="C623" s="2" t="str">
        <f t="shared" si="19"/>
        <v>EC101</v>
      </c>
      <c r="D623" s="2">
        <v>5</v>
      </c>
      <c r="F623" s="1764"/>
      <c r="G623" s="1764"/>
      <c r="H623" s="1764"/>
      <c r="I623" s="1764"/>
      <c r="J623" s="1764"/>
      <c r="K623" s="1764"/>
      <c r="L623" s="1764"/>
      <c r="M623" s="1765"/>
      <c r="N623" s="1765"/>
      <c r="O623" s="1765"/>
      <c r="P623" s="1765"/>
      <c r="Q623" s="1765"/>
      <c r="W623" t="s">
        <v>2089</v>
      </c>
    </row>
    <row r="624" spans="1:23" ht="13.15" customHeight="1" x14ac:dyDescent="0.2">
      <c r="A624" s="2" t="s">
        <v>2241</v>
      </c>
      <c r="B624" s="2">
        <f t="shared" si="18"/>
        <v>2019</v>
      </c>
      <c r="C624" s="2" t="str">
        <f t="shared" si="19"/>
        <v>EC101</v>
      </c>
      <c r="D624" s="2">
        <v>6</v>
      </c>
      <c r="F624" s="1764"/>
      <c r="G624" s="1764"/>
      <c r="H624" s="1764"/>
      <c r="I624" s="1764"/>
      <c r="J624" s="1764"/>
      <c r="K624" s="1764"/>
      <c r="L624" s="1764"/>
      <c r="M624" s="1765"/>
      <c r="N624" s="1765"/>
      <c r="O624" s="1765"/>
      <c r="P624" s="1765"/>
      <c r="Q624" s="1765"/>
      <c r="W624" t="s">
        <v>2089</v>
      </c>
    </row>
    <row r="625" spans="1:23" ht="13.15" customHeight="1" x14ac:dyDescent="0.2">
      <c r="A625" s="2" t="s">
        <v>2241</v>
      </c>
      <c r="B625" s="2">
        <f t="shared" si="18"/>
        <v>2019</v>
      </c>
      <c r="C625" s="2" t="str">
        <f t="shared" si="19"/>
        <v>EC101</v>
      </c>
      <c r="D625" s="2">
        <v>7</v>
      </c>
      <c r="F625" s="1764"/>
      <c r="G625" s="1764"/>
      <c r="H625" s="1764"/>
      <c r="I625" s="1764"/>
      <c r="J625" s="1764"/>
      <c r="K625" s="1764"/>
      <c r="L625" s="1764"/>
      <c r="M625" s="1765"/>
      <c r="N625" s="1765"/>
      <c r="O625" s="1765"/>
      <c r="P625" s="1765"/>
      <c r="Q625" s="1765"/>
      <c r="W625" t="s">
        <v>2089</v>
      </c>
    </row>
    <row r="626" spans="1:23" ht="13.15" customHeight="1" x14ac:dyDescent="0.2">
      <c r="A626" s="2" t="s">
        <v>2241</v>
      </c>
      <c r="B626" s="2">
        <f t="shared" si="18"/>
        <v>2019</v>
      </c>
      <c r="C626" s="2" t="str">
        <f t="shared" si="19"/>
        <v>EC101</v>
      </c>
      <c r="D626" s="2">
        <v>8</v>
      </c>
      <c r="F626" s="1764"/>
      <c r="G626" s="1764"/>
      <c r="H626" s="1764"/>
      <c r="I626" s="1764"/>
      <c r="J626" s="1764"/>
      <c r="K626" s="1764"/>
      <c r="L626" s="1764"/>
      <c r="M626" s="1765"/>
      <c r="N626" s="1765"/>
      <c r="O626" s="1765"/>
      <c r="P626" s="1765"/>
      <c r="Q626" s="1765"/>
      <c r="W626" t="s">
        <v>2089</v>
      </c>
    </row>
    <row r="627" spans="1:23" ht="13.15" customHeight="1" x14ac:dyDescent="0.2">
      <c r="A627" s="2" t="s">
        <v>2241</v>
      </c>
      <c r="B627" s="2">
        <f t="shared" si="18"/>
        <v>2019</v>
      </c>
      <c r="C627" s="2" t="str">
        <f t="shared" si="19"/>
        <v>EC101</v>
      </c>
      <c r="D627" s="2">
        <v>9</v>
      </c>
      <c r="F627" s="1764"/>
      <c r="G627" s="1764"/>
      <c r="H627" s="1764"/>
      <c r="I627" s="1764"/>
      <c r="J627" s="1764"/>
      <c r="K627" s="1764"/>
      <c r="L627" s="1764"/>
      <c r="M627" s="1765"/>
      <c r="N627" s="1765"/>
      <c r="O627" s="1765"/>
      <c r="P627" s="1765"/>
      <c r="Q627" s="1765"/>
      <c r="W627" t="s">
        <v>2089</v>
      </c>
    </row>
    <row r="628" spans="1:23" ht="13.15" customHeight="1" x14ac:dyDescent="0.2">
      <c r="A628" s="2" t="s">
        <v>2241</v>
      </c>
      <c r="B628" s="2">
        <f t="shared" si="18"/>
        <v>2019</v>
      </c>
      <c r="C628" s="2" t="str">
        <f t="shared" si="19"/>
        <v>EC101</v>
      </c>
      <c r="D628" s="2">
        <v>10</v>
      </c>
      <c r="F628" s="1764"/>
      <c r="G628" s="1764"/>
      <c r="H628" s="1764"/>
      <c r="I628" s="1764"/>
      <c r="J628" s="1764"/>
      <c r="K628" s="1764"/>
      <c r="L628" s="1764"/>
      <c r="M628" s="1765"/>
      <c r="N628" s="1765"/>
      <c r="O628" s="1765"/>
      <c r="P628" s="1765"/>
      <c r="Q628" s="1765"/>
      <c r="W628" t="s">
        <v>2089</v>
      </c>
    </row>
    <row r="629" spans="1:23" ht="13.15" customHeight="1" x14ac:dyDescent="0.2">
      <c r="A629" s="2" t="s">
        <v>2241</v>
      </c>
      <c r="B629" s="2">
        <f t="shared" si="18"/>
        <v>2019</v>
      </c>
      <c r="C629" s="2" t="str">
        <f t="shared" si="19"/>
        <v>EC101</v>
      </c>
      <c r="D629" s="2">
        <v>11</v>
      </c>
      <c r="F629" s="1764"/>
      <c r="G629" s="1764"/>
      <c r="H629" s="1764"/>
      <c r="I629" s="1764"/>
      <c r="J629" s="1764"/>
      <c r="K629" s="1764"/>
      <c r="L629" s="1764"/>
      <c r="M629" s="1765"/>
      <c r="N629" s="1765"/>
      <c r="O629" s="1765"/>
      <c r="P629" s="1765"/>
      <c r="Q629" s="1765"/>
      <c r="W629" t="s">
        <v>2089</v>
      </c>
    </row>
    <row r="630" spans="1:23" ht="13.15" customHeight="1" x14ac:dyDescent="0.2">
      <c r="A630" s="2" t="s">
        <v>2241</v>
      </c>
      <c r="B630" s="2">
        <f t="shared" si="18"/>
        <v>2019</v>
      </c>
      <c r="C630" s="2" t="str">
        <f t="shared" si="19"/>
        <v>EC101</v>
      </c>
      <c r="D630" s="2">
        <v>12</v>
      </c>
      <c r="F630" s="1764"/>
      <c r="G630" s="1764"/>
      <c r="H630" s="1764"/>
      <c r="I630" s="1764"/>
      <c r="J630" s="1764"/>
      <c r="K630" s="1764"/>
      <c r="L630" s="1764"/>
      <c r="M630" s="1765"/>
      <c r="N630" s="1765"/>
      <c r="O630" s="1765"/>
      <c r="P630" s="1765"/>
      <c r="Q630" s="1765"/>
      <c r="W630" t="s">
        <v>2089</v>
      </c>
    </row>
    <row r="631" spans="1:23" ht="13.15" customHeight="1" x14ac:dyDescent="0.2">
      <c r="A631" s="2" t="s">
        <v>2241</v>
      </c>
      <c r="B631" s="2">
        <f t="shared" si="18"/>
        <v>2019</v>
      </c>
      <c r="C631" s="2" t="str">
        <f t="shared" si="19"/>
        <v>EC101</v>
      </c>
      <c r="D631" s="2">
        <v>13</v>
      </c>
      <c r="F631" s="1764"/>
      <c r="G631" s="1764"/>
      <c r="H631" s="1764"/>
      <c r="I631" s="1764"/>
      <c r="J631" s="1764"/>
      <c r="K631" s="1764"/>
      <c r="L631" s="1764"/>
      <c r="M631" s="1765"/>
      <c r="N631" s="1765"/>
      <c r="O631" s="1765"/>
      <c r="P631" s="1765"/>
      <c r="Q631" s="1765"/>
      <c r="W631" t="s">
        <v>2089</v>
      </c>
    </row>
    <row r="632" spans="1:23" ht="13.15" customHeight="1" x14ac:dyDescent="0.2">
      <c r="A632" s="2" t="s">
        <v>2241</v>
      </c>
      <c r="B632" s="2">
        <f t="shared" si="18"/>
        <v>2019</v>
      </c>
      <c r="C632" s="2" t="str">
        <f t="shared" si="19"/>
        <v>EC101</v>
      </c>
      <c r="D632" s="2">
        <v>14</v>
      </c>
      <c r="F632" s="1764"/>
      <c r="G632" s="1764"/>
      <c r="H632" s="1764"/>
      <c r="I632" s="1764"/>
      <c r="J632" s="1764"/>
      <c r="K632" s="1764"/>
      <c r="L632" s="1764"/>
      <c r="M632" s="1765"/>
      <c r="N632" s="1765"/>
      <c r="O632" s="1765"/>
      <c r="P632" s="1765"/>
      <c r="Q632" s="1765"/>
      <c r="W632" t="s">
        <v>2089</v>
      </c>
    </row>
    <row r="633" spans="1:23" ht="13.15" customHeight="1" x14ac:dyDescent="0.2">
      <c r="A633" s="2" t="s">
        <v>2241</v>
      </c>
      <c r="B633" s="2">
        <f t="shared" si="18"/>
        <v>2019</v>
      </c>
      <c r="C633" s="2" t="str">
        <f t="shared" si="19"/>
        <v>EC101</v>
      </c>
      <c r="D633" s="2">
        <v>15</v>
      </c>
      <c r="F633" s="1764"/>
      <c r="G633" s="1764"/>
      <c r="H633" s="1764"/>
      <c r="I633" s="1764"/>
      <c r="J633" s="1764"/>
      <c r="K633" s="1764"/>
      <c r="L633" s="1764"/>
      <c r="M633" s="1765"/>
      <c r="N633" s="1765"/>
      <c r="O633" s="1765"/>
      <c r="P633" s="1765"/>
      <c r="Q633" s="1765"/>
      <c r="W633" t="s">
        <v>2089</v>
      </c>
    </row>
    <row r="634" spans="1:23" ht="13.15" customHeight="1" x14ac:dyDescent="0.2">
      <c r="A634" s="2" t="s">
        <v>2241</v>
      </c>
      <c r="B634" s="2">
        <f t="shared" si="18"/>
        <v>2019</v>
      </c>
      <c r="C634" s="2" t="str">
        <f t="shared" si="19"/>
        <v>EC101</v>
      </c>
      <c r="D634" s="2">
        <v>16</v>
      </c>
      <c r="F634" s="1764"/>
      <c r="G634" s="1764"/>
      <c r="H634" s="1764"/>
      <c r="I634" s="1764"/>
      <c r="J634" s="1764"/>
      <c r="K634" s="1764"/>
      <c r="L634" s="1764"/>
      <c r="M634" s="1765"/>
      <c r="N634" s="1765"/>
      <c r="O634" s="1765"/>
      <c r="P634" s="1765"/>
      <c r="Q634" s="1765"/>
      <c r="W634" t="s">
        <v>2089</v>
      </c>
    </row>
    <row r="635" spans="1:23" ht="13.15" customHeight="1" x14ac:dyDescent="0.2">
      <c r="A635" s="2" t="s">
        <v>2241</v>
      </c>
      <c r="B635" s="2">
        <f t="shared" si="18"/>
        <v>2019</v>
      </c>
      <c r="C635" s="2" t="str">
        <f t="shared" si="19"/>
        <v>EC101</v>
      </c>
      <c r="D635" s="2">
        <v>17</v>
      </c>
      <c r="F635" s="1764"/>
      <c r="G635" s="1764"/>
      <c r="H635" s="1764"/>
      <c r="I635" s="1764"/>
      <c r="J635" s="1764"/>
      <c r="K635" s="1764"/>
      <c r="L635" s="1764"/>
      <c r="M635" s="1765"/>
      <c r="N635" s="1765"/>
      <c r="O635" s="1765"/>
      <c r="P635" s="1765">
        <v>0</v>
      </c>
      <c r="Q635" s="1765">
        <v>0</v>
      </c>
      <c r="T635">
        <v>0</v>
      </c>
      <c r="W635" t="s">
        <v>2089</v>
      </c>
    </row>
    <row r="636" spans="1:23" ht="13.15" customHeight="1" x14ac:dyDescent="0.2">
      <c r="A636" s="2" t="s">
        <v>2241</v>
      </c>
      <c r="B636" s="2">
        <f t="shared" si="18"/>
        <v>2019</v>
      </c>
      <c r="C636" s="2" t="str">
        <f t="shared" si="19"/>
        <v>EC101</v>
      </c>
      <c r="D636" s="2">
        <v>18</v>
      </c>
      <c r="F636" s="1764"/>
      <c r="G636" s="1764"/>
      <c r="H636" s="1764"/>
      <c r="I636" s="1764"/>
      <c r="J636" s="1764"/>
      <c r="K636" s="1764"/>
      <c r="L636" s="1764"/>
      <c r="M636" s="1765"/>
      <c r="N636" s="1765"/>
      <c r="O636" s="1765"/>
      <c r="P636" s="1765"/>
      <c r="Q636" s="1765"/>
      <c r="W636" t="s">
        <v>2089</v>
      </c>
    </row>
    <row r="637" spans="1:23" ht="13.15" customHeight="1" x14ac:dyDescent="0.2">
      <c r="A637" s="2" t="s">
        <v>2241</v>
      </c>
      <c r="B637" s="2">
        <f t="shared" si="18"/>
        <v>2019</v>
      </c>
      <c r="C637" s="2" t="str">
        <f t="shared" si="19"/>
        <v>EC101</v>
      </c>
      <c r="D637" s="2">
        <v>19</v>
      </c>
      <c r="F637" s="1764"/>
      <c r="G637" s="1764"/>
      <c r="H637" s="1764"/>
      <c r="I637" s="1764"/>
      <c r="J637" s="1764"/>
      <c r="K637" s="1764"/>
      <c r="L637" s="1764"/>
      <c r="M637" s="1765"/>
      <c r="N637" s="1765"/>
      <c r="O637" s="1765"/>
      <c r="P637" s="1765"/>
      <c r="Q637" s="1765"/>
      <c r="W637" t="s">
        <v>2089</v>
      </c>
    </row>
    <row r="638" spans="1:23" ht="13.15" customHeight="1" x14ac:dyDescent="0.2">
      <c r="A638" s="2" t="s">
        <v>2241</v>
      </c>
      <c r="B638" s="2">
        <f t="shared" si="18"/>
        <v>2019</v>
      </c>
      <c r="C638" s="2" t="str">
        <f t="shared" si="19"/>
        <v>EC101</v>
      </c>
      <c r="D638" s="2">
        <v>20</v>
      </c>
      <c r="F638" s="1764"/>
      <c r="G638" s="1764"/>
      <c r="H638" s="1764"/>
      <c r="I638" s="1764"/>
      <c r="J638" s="1764"/>
      <c r="K638" s="1764"/>
      <c r="L638" s="1764"/>
      <c r="M638" s="1765"/>
      <c r="N638" s="1765"/>
      <c r="O638" s="1765"/>
      <c r="P638" s="1765"/>
      <c r="Q638" s="1765"/>
      <c r="W638" t="s">
        <v>2089</v>
      </c>
    </row>
    <row r="639" spans="1:23" ht="13.15" customHeight="1" x14ac:dyDescent="0.2">
      <c r="A639" s="2" t="s">
        <v>2241</v>
      </c>
      <c r="B639" s="2">
        <f t="shared" si="18"/>
        <v>2019</v>
      </c>
      <c r="C639" s="2" t="str">
        <f t="shared" si="19"/>
        <v>EC101</v>
      </c>
      <c r="D639" s="2">
        <v>21</v>
      </c>
      <c r="F639" s="1764"/>
      <c r="G639" s="1764"/>
      <c r="H639" s="1764"/>
      <c r="I639" s="1764"/>
      <c r="J639" s="1764"/>
      <c r="K639" s="1764"/>
      <c r="L639" s="1764"/>
      <c r="M639" s="1765"/>
      <c r="N639" s="1765"/>
      <c r="O639" s="1765"/>
      <c r="P639" s="1765"/>
      <c r="Q639" s="1765"/>
      <c r="W639" t="s">
        <v>2089</v>
      </c>
    </row>
    <row r="640" spans="1:23" ht="13.15" customHeight="1" x14ac:dyDescent="0.2">
      <c r="A640" s="2" t="s">
        <v>2241</v>
      </c>
      <c r="B640" s="2">
        <f t="shared" si="18"/>
        <v>2019</v>
      </c>
      <c r="C640" s="2" t="str">
        <f t="shared" si="19"/>
        <v>EC101</v>
      </c>
      <c r="D640" s="2">
        <v>22</v>
      </c>
      <c r="F640" s="1764"/>
      <c r="G640" s="1764"/>
      <c r="H640" s="1764"/>
      <c r="I640" s="1764"/>
      <c r="J640" s="1764"/>
      <c r="K640" s="1764"/>
      <c r="L640" s="1764"/>
      <c r="M640" s="1765"/>
      <c r="N640" s="1765"/>
      <c r="O640" s="1765"/>
      <c r="P640" s="1765"/>
      <c r="Q640" s="1765"/>
      <c r="W640" t="s">
        <v>2089</v>
      </c>
    </row>
    <row r="641" spans="1:23" ht="13.15" customHeight="1" x14ac:dyDescent="0.2">
      <c r="A641" s="2" t="s">
        <v>2241</v>
      </c>
      <c r="B641" s="2">
        <f t="shared" si="18"/>
        <v>2019</v>
      </c>
      <c r="C641" s="2" t="str">
        <f t="shared" si="19"/>
        <v>EC101</v>
      </c>
      <c r="D641" s="2">
        <v>23</v>
      </c>
      <c r="F641" s="1764"/>
      <c r="G641" s="1764"/>
      <c r="H641" s="1764"/>
      <c r="I641" s="1764"/>
      <c r="J641" s="1764"/>
      <c r="K641" s="1764"/>
      <c r="L641" s="1764"/>
      <c r="M641" s="1765"/>
      <c r="N641" s="1765"/>
      <c r="O641" s="1765"/>
      <c r="P641" s="1765"/>
      <c r="Q641" s="1765"/>
      <c r="W641" t="s">
        <v>2089</v>
      </c>
    </row>
    <row r="642" spans="1:23" ht="13.15" customHeight="1" x14ac:dyDescent="0.2">
      <c r="A642" s="2" t="s">
        <v>2241</v>
      </c>
      <c r="B642" s="2">
        <f t="shared" ref="B642:B705" si="20">+MTREF</f>
        <v>2019</v>
      </c>
      <c r="C642" s="2" t="str">
        <f t="shared" ref="C642:C705" si="21">LEFT(muni,(FIND(" ",muni,1)-1))</f>
        <v>EC101</v>
      </c>
      <c r="D642" s="2">
        <v>24</v>
      </c>
      <c r="F642" s="1764"/>
      <c r="G642" s="1764"/>
      <c r="H642" s="1764"/>
      <c r="I642" s="1764"/>
      <c r="J642" s="1764"/>
      <c r="K642" s="1764"/>
      <c r="L642" s="1764"/>
      <c r="M642" s="1765"/>
      <c r="N642" s="1765"/>
      <c r="O642" s="1765"/>
      <c r="P642" s="1765"/>
      <c r="Q642" s="1765"/>
      <c r="W642" t="s">
        <v>2089</v>
      </c>
    </row>
    <row r="643" spans="1:23" ht="13.15" customHeight="1" x14ac:dyDescent="0.2">
      <c r="A643" s="2" t="s">
        <v>2241</v>
      </c>
      <c r="B643" s="2">
        <f t="shared" si="20"/>
        <v>2019</v>
      </c>
      <c r="C643" s="2" t="str">
        <f t="shared" si="21"/>
        <v>EC101</v>
      </c>
      <c r="D643" s="2">
        <v>25</v>
      </c>
      <c r="F643" s="1764"/>
      <c r="G643" s="1764"/>
      <c r="H643" s="1764"/>
      <c r="I643" s="1764"/>
      <c r="J643" s="1764"/>
      <c r="K643" s="1764"/>
      <c r="L643" s="1764"/>
      <c r="M643" s="1765"/>
      <c r="N643" s="1765"/>
      <c r="O643" s="1765"/>
      <c r="P643" s="1765"/>
      <c r="Q643" s="1765"/>
      <c r="W643" t="s">
        <v>2089</v>
      </c>
    </row>
    <row r="644" spans="1:23" ht="13.15" customHeight="1" x14ac:dyDescent="0.2">
      <c r="A644" s="2" t="s">
        <v>2241</v>
      </c>
      <c r="B644" s="2">
        <f t="shared" si="20"/>
        <v>2019</v>
      </c>
      <c r="C644" s="2" t="str">
        <f t="shared" si="21"/>
        <v>EC101</v>
      </c>
      <c r="D644" s="2">
        <v>26</v>
      </c>
      <c r="F644" s="1764"/>
      <c r="G644" s="1764"/>
      <c r="H644" s="1764"/>
      <c r="I644" s="1764"/>
      <c r="J644" s="1764"/>
      <c r="K644" s="1764"/>
      <c r="L644" s="1764"/>
      <c r="M644" s="1765"/>
      <c r="N644" s="1765"/>
      <c r="O644" s="1765"/>
      <c r="P644" s="1765"/>
      <c r="Q644" s="1765"/>
      <c r="W644" t="s">
        <v>2089</v>
      </c>
    </row>
    <row r="645" spans="1:23" ht="13.15" customHeight="1" x14ac:dyDescent="0.2">
      <c r="A645" s="2" t="s">
        <v>2241</v>
      </c>
      <c r="B645" s="2">
        <f t="shared" si="20"/>
        <v>2019</v>
      </c>
      <c r="C645" s="2" t="str">
        <f t="shared" si="21"/>
        <v>EC101</v>
      </c>
      <c r="D645" s="2">
        <v>27</v>
      </c>
      <c r="F645" s="1764"/>
      <c r="G645" s="1764"/>
      <c r="H645" s="1764"/>
      <c r="I645" s="1764"/>
      <c r="J645" s="1764"/>
      <c r="K645" s="1764"/>
      <c r="L645" s="1764"/>
      <c r="M645" s="1765"/>
      <c r="N645" s="1765"/>
      <c r="O645" s="1765"/>
      <c r="P645" s="1765"/>
      <c r="Q645" s="1765"/>
      <c r="W645" t="s">
        <v>2089</v>
      </c>
    </row>
    <row r="646" spans="1:23" ht="13.15" customHeight="1" x14ac:dyDescent="0.2">
      <c r="A646" s="2" t="s">
        <v>2241</v>
      </c>
      <c r="B646" s="2">
        <f t="shared" si="20"/>
        <v>2019</v>
      </c>
      <c r="C646" s="2" t="str">
        <f t="shared" si="21"/>
        <v>EC101</v>
      </c>
      <c r="D646" s="2">
        <v>28</v>
      </c>
      <c r="F646" s="1764"/>
      <c r="G646" s="1764"/>
      <c r="H646" s="1764"/>
      <c r="I646" s="1764"/>
      <c r="J646" s="1764"/>
      <c r="K646" s="1764"/>
      <c r="L646" s="1764"/>
      <c r="M646" s="1765"/>
      <c r="N646" s="1765"/>
      <c r="O646" s="1765"/>
      <c r="P646" s="1765"/>
      <c r="Q646" s="1765"/>
      <c r="W646" t="s">
        <v>2089</v>
      </c>
    </row>
    <row r="647" spans="1:23" ht="13.15" customHeight="1" x14ac:dyDescent="0.2">
      <c r="A647" s="2" t="s">
        <v>2241</v>
      </c>
      <c r="B647" s="2">
        <f t="shared" si="20"/>
        <v>2019</v>
      </c>
      <c r="C647" s="2" t="str">
        <f t="shared" si="21"/>
        <v>EC101</v>
      </c>
      <c r="D647" s="2">
        <v>29</v>
      </c>
      <c r="F647" s="1764"/>
      <c r="G647" s="1764"/>
      <c r="H647" s="1764"/>
      <c r="I647" s="1764"/>
      <c r="J647" s="1764"/>
      <c r="K647" s="1764"/>
      <c r="L647" s="1764"/>
      <c r="M647" s="1765"/>
      <c r="N647" s="1765"/>
      <c r="O647" s="1765"/>
      <c r="P647" s="1765"/>
      <c r="Q647" s="1765"/>
      <c r="W647" t="s">
        <v>2089</v>
      </c>
    </row>
    <row r="648" spans="1:23" ht="13.15" customHeight="1" x14ac:dyDescent="0.2">
      <c r="A648" s="2" t="s">
        <v>2241</v>
      </c>
      <c r="B648" s="2">
        <f t="shared" si="20"/>
        <v>2019</v>
      </c>
      <c r="C648" s="2" t="str">
        <f t="shared" si="21"/>
        <v>EC101</v>
      </c>
      <c r="D648" s="2">
        <v>30</v>
      </c>
      <c r="F648" s="1764"/>
      <c r="G648" s="1764"/>
      <c r="H648" s="1764"/>
      <c r="I648" s="1764"/>
      <c r="J648" s="1764"/>
      <c r="K648" s="1764"/>
      <c r="L648" s="1764"/>
      <c r="M648" s="1765"/>
      <c r="N648" s="1765">
        <v>0</v>
      </c>
      <c r="O648" s="1765">
        <v>0</v>
      </c>
      <c r="P648" s="1765">
        <v>0</v>
      </c>
      <c r="Q648" s="1765">
        <v>0</v>
      </c>
      <c r="W648" t="s">
        <v>2089</v>
      </c>
    </row>
    <row r="649" spans="1:23" ht="13.15" customHeight="1" x14ac:dyDescent="0.2">
      <c r="A649" s="2" t="s">
        <v>2241</v>
      </c>
      <c r="B649" s="2">
        <f t="shared" si="20"/>
        <v>2019</v>
      </c>
      <c r="C649" s="2" t="str">
        <f t="shared" si="21"/>
        <v>EC101</v>
      </c>
      <c r="D649" s="2">
        <v>31</v>
      </c>
      <c r="F649" s="1764"/>
      <c r="G649" s="1764"/>
      <c r="H649" s="1764"/>
      <c r="I649" s="1764"/>
      <c r="J649" s="1764"/>
      <c r="K649" s="1764"/>
      <c r="L649" s="1764"/>
      <c r="M649" s="1765"/>
      <c r="N649" s="1765">
        <v>0</v>
      </c>
      <c r="O649" s="1765">
        <v>0</v>
      </c>
      <c r="P649" s="1765">
        <v>0</v>
      </c>
      <c r="Q649" s="1765">
        <v>0</v>
      </c>
      <c r="W649" t="s">
        <v>2089</v>
      </c>
    </row>
    <row r="650" spans="1:23" ht="13.15" customHeight="1" x14ac:dyDescent="0.2">
      <c r="A650" s="2" t="s">
        <v>2241</v>
      </c>
      <c r="B650" s="2">
        <f t="shared" si="20"/>
        <v>2019</v>
      </c>
      <c r="C650" s="2" t="str">
        <f t="shared" si="21"/>
        <v>EC101</v>
      </c>
      <c r="D650" s="2">
        <v>32</v>
      </c>
      <c r="F650" s="1764"/>
      <c r="G650" s="1764"/>
      <c r="H650" s="1764"/>
      <c r="I650" s="1764"/>
      <c r="J650" s="1764"/>
      <c r="K650" s="1764"/>
      <c r="L650" s="1764"/>
      <c r="M650" s="1765"/>
      <c r="N650" s="1765"/>
      <c r="O650" s="1765"/>
      <c r="P650" s="1765"/>
      <c r="Q650" s="1765"/>
      <c r="W650" t="s">
        <v>2089</v>
      </c>
    </row>
    <row r="651" spans="1:23" ht="13.15" customHeight="1" x14ac:dyDescent="0.2">
      <c r="A651" s="2" t="s">
        <v>2241</v>
      </c>
      <c r="B651" s="2">
        <f t="shared" si="20"/>
        <v>2019</v>
      </c>
      <c r="C651" s="2" t="str">
        <f t="shared" si="21"/>
        <v>EC101</v>
      </c>
      <c r="D651" s="2">
        <v>33</v>
      </c>
      <c r="F651" s="1764"/>
      <c r="G651" s="1764"/>
      <c r="H651" s="1764"/>
      <c r="I651" s="1764"/>
      <c r="J651" s="1764"/>
      <c r="K651" s="1764"/>
      <c r="L651" s="1764"/>
      <c r="M651" s="1765"/>
      <c r="N651" s="1765"/>
      <c r="O651" s="1765"/>
      <c r="P651" s="1765"/>
      <c r="Q651" s="1765"/>
      <c r="W651" t="s">
        <v>2089</v>
      </c>
    </row>
    <row r="652" spans="1:23" ht="13.15" customHeight="1" x14ac:dyDescent="0.2">
      <c r="A652" s="2" t="s">
        <v>2241</v>
      </c>
      <c r="B652" s="2">
        <f t="shared" si="20"/>
        <v>2019</v>
      </c>
      <c r="C652" s="2" t="str">
        <f t="shared" si="21"/>
        <v>EC101</v>
      </c>
      <c r="D652" s="2">
        <v>34</v>
      </c>
      <c r="F652" s="1764"/>
      <c r="G652" s="1764"/>
      <c r="H652" s="1764"/>
      <c r="I652" s="1764"/>
      <c r="J652" s="1764"/>
      <c r="K652" s="1764"/>
      <c r="L652" s="1764"/>
      <c r="M652" s="1765"/>
      <c r="N652" s="1765"/>
      <c r="O652" s="1765"/>
      <c r="P652" s="1765"/>
      <c r="Q652" s="1765"/>
      <c r="W652" t="s">
        <v>2089</v>
      </c>
    </row>
    <row r="653" spans="1:23" ht="13.15" customHeight="1" x14ac:dyDescent="0.2">
      <c r="A653" s="2" t="s">
        <v>2241</v>
      </c>
      <c r="B653" s="2">
        <f t="shared" si="20"/>
        <v>2019</v>
      </c>
      <c r="C653" s="2" t="str">
        <f t="shared" si="21"/>
        <v>EC101</v>
      </c>
      <c r="D653" s="2">
        <v>35</v>
      </c>
      <c r="F653" s="1764"/>
      <c r="G653" s="1764"/>
      <c r="H653" s="1764"/>
      <c r="I653" s="1764"/>
      <c r="J653" s="1764"/>
      <c r="K653" s="1764"/>
      <c r="L653" s="1764"/>
      <c r="M653" s="1765"/>
      <c r="N653" s="1765"/>
      <c r="O653" s="1765"/>
      <c r="P653" s="1765"/>
      <c r="Q653" s="1765"/>
      <c r="W653" t="s">
        <v>2089</v>
      </c>
    </row>
    <row r="654" spans="1:23" ht="13.15" customHeight="1" x14ac:dyDescent="0.2">
      <c r="A654" s="2" t="s">
        <v>2241</v>
      </c>
      <c r="B654" s="2">
        <f t="shared" si="20"/>
        <v>2019</v>
      </c>
      <c r="C654" s="2" t="str">
        <f t="shared" si="21"/>
        <v>EC101</v>
      </c>
      <c r="D654" s="2">
        <v>36</v>
      </c>
      <c r="F654" s="1764"/>
      <c r="G654" s="1764"/>
      <c r="H654" s="1764"/>
      <c r="I654" s="1764"/>
      <c r="J654" s="1764"/>
      <c r="K654" s="1764"/>
      <c r="L654" s="1764"/>
      <c r="M654" s="1765"/>
      <c r="N654" s="1765"/>
      <c r="O654" s="1765"/>
      <c r="P654" s="1765"/>
      <c r="Q654" s="1765"/>
      <c r="W654" t="s">
        <v>2089</v>
      </c>
    </row>
    <row r="655" spans="1:23" ht="13.15" customHeight="1" x14ac:dyDescent="0.2">
      <c r="A655" s="2" t="s">
        <v>2241</v>
      </c>
      <c r="B655" s="2">
        <f t="shared" si="20"/>
        <v>2019</v>
      </c>
      <c r="C655" s="2" t="str">
        <f t="shared" si="21"/>
        <v>EC101</v>
      </c>
      <c r="D655" s="2">
        <v>37</v>
      </c>
      <c r="F655" s="1764"/>
      <c r="G655" s="1764"/>
      <c r="H655" s="1764"/>
      <c r="I655" s="1764"/>
      <c r="J655" s="1764"/>
      <c r="K655" s="1764"/>
      <c r="L655" s="1764"/>
      <c r="M655" s="1765"/>
      <c r="N655" s="1765"/>
      <c r="O655" s="1765"/>
      <c r="P655" s="1765"/>
      <c r="Q655" s="1765"/>
      <c r="W655" t="s">
        <v>2089</v>
      </c>
    </row>
    <row r="656" spans="1:23" ht="13.15" customHeight="1" x14ac:dyDescent="0.2">
      <c r="A656" s="2" t="s">
        <v>2241</v>
      </c>
      <c r="B656" s="2">
        <f t="shared" si="20"/>
        <v>2019</v>
      </c>
      <c r="C656" s="2" t="str">
        <f t="shared" si="21"/>
        <v>EC101</v>
      </c>
      <c r="D656" s="2">
        <v>38</v>
      </c>
      <c r="F656" s="1764"/>
      <c r="G656" s="1764"/>
      <c r="H656" s="1764"/>
      <c r="I656" s="1764"/>
      <c r="J656" s="1764"/>
      <c r="K656" s="1764"/>
      <c r="L656" s="1764"/>
      <c r="M656" s="1765" t="s">
        <v>477</v>
      </c>
      <c r="N656" s="1765">
        <v>0</v>
      </c>
      <c r="O656" s="1765"/>
      <c r="P656" s="1765"/>
      <c r="Q656" s="1765"/>
      <c r="W656" t="s">
        <v>2089</v>
      </c>
    </row>
    <row r="657" spans="1:23" ht="13.15" customHeight="1" x14ac:dyDescent="0.2">
      <c r="A657" s="2" t="s">
        <v>2241</v>
      </c>
      <c r="B657" s="2">
        <f t="shared" si="20"/>
        <v>2019</v>
      </c>
      <c r="C657" s="2" t="str">
        <f t="shared" si="21"/>
        <v>EC101</v>
      </c>
      <c r="D657" s="2">
        <v>39</v>
      </c>
      <c r="F657" s="1764"/>
      <c r="G657" s="1764"/>
      <c r="H657" s="1764"/>
      <c r="I657" s="1764"/>
      <c r="J657" s="1764"/>
      <c r="K657" s="1764"/>
      <c r="L657" s="1764"/>
      <c r="M657" s="1765"/>
      <c r="N657" s="1765"/>
      <c r="O657" s="1765"/>
      <c r="P657" s="1765"/>
      <c r="Q657" s="1765"/>
      <c r="W657" t="s">
        <v>2089</v>
      </c>
    </row>
    <row r="658" spans="1:23" ht="13.15" customHeight="1" x14ac:dyDescent="0.2">
      <c r="A658" s="2" t="s">
        <v>2241</v>
      </c>
      <c r="B658" s="2">
        <f t="shared" si="20"/>
        <v>2019</v>
      </c>
      <c r="C658" s="2" t="str">
        <f t="shared" si="21"/>
        <v>EC101</v>
      </c>
      <c r="D658" s="2">
        <v>40</v>
      </c>
      <c r="F658" s="1764"/>
      <c r="G658" s="1764"/>
      <c r="H658" s="1764"/>
      <c r="I658" s="1764"/>
      <c r="J658" s="1764"/>
      <c r="K658" s="1764"/>
      <c r="L658" s="1764"/>
      <c r="M658" s="1765"/>
      <c r="N658" s="1765"/>
      <c r="O658" s="1765"/>
      <c r="P658" s="1765"/>
      <c r="Q658" s="1765"/>
      <c r="W658" t="s">
        <v>2089</v>
      </c>
    </row>
    <row r="659" spans="1:23" ht="13.15" customHeight="1" x14ac:dyDescent="0.2">
      <c r="A659" s="2" t="s">
        <v>2241</v>
      </c>
      <c r="B659" s="2">
        <f t="shared" si="20"/>
        <v>2019</v>
      </c>
      <c r="C659" s="2" t="str">
        <f t="shared" si="21"/>
        <v>EC101</v>
      </c>
      <c r="D659" s="2">
        <v>41</v>
      </c>
      <c r="F659" s="1764"/>
      <c r="G659" s="1764"/>
      <c r="H659" s="1764"/>
      <c r="I659" s="1764"/>
      <c r="J659" s="1764"/>
      <c r="K659" s="1764"/>
      <c r="L659" s="1764"/>
      <c r="M659" s="1765"/>
      <c r="N659" s="1765"/>
      <c r="O659" s="1765"/>
      <c r="P659" s="1765"/>
      <c r="Q659" s="1765"/>
      <c r="W659" t="s">
        <v>2089</v>
      </c>
    </row>
    <row r="660" spans="1:23" ht="13.15" customHeight="1" x14ac:dyDescent="0.2">
      <c r="A660" s="2" t="s">
        <v>2241</v>
      </c>
      <c r="B660" s="2">
        <f t="shared" si="20"/>
        <v>2019</v>
      </c>
      <c r="C660" s="2" t="str">
        <f t="shared" si="21"/>
        <v>EC101</v>
      </c>
      <c r="D660" s="2">
        <v>42</v>
      </c>
      <c r="F660" s="1764"/>
      <c r="G660" s="1764"/>
      <c r="H660" s="1764"/>
      <c r="I660" s="1764"/>
      <c r="J660" s="1764"/>
      <c r="K660" s="1764"/>
      <c r="L660" s="1764"/>
      <c r="M660" s="1765"/>
      <c r="N660" s="1765"/>
      <c r="O660" s="1765"/>
      <c r="P660" s="1765"/>
      <c r="Q660" s="1765"/>
      <c r="W660" t="s">
        <v>2089</v>
      </c>
    </row>
    <row r="661" spans="1:23" ht="13.15" customHeight="1" x14ac:dyDescent="0.2">
      <c r="A661" s="2" t="s">
        <v>2241</v>
      </c>
      <c r="B661" s="2">
        <f t="shared" si="20"/>
        <v>2019</v>
      </c>
      <c r="C661" s="2" t="str">
        <f t="shared" si="21"/>
        <v>EC101</v>
      </c>
      <c r="D661" s="2">
        <v>43</v>
      </c>
      <c r="F661" s="1764"/>
      <c r="G661" s="1764"/>
      <c r="H661" s="1764"/>
      <c r="I661" s="1764"/>
      <c r="J661" s="1764"/>
      <c r="K661" s="1764"/>
      <c r="L661" s="1764"/>
      <c r="M661" s="1765"/>
      <c r="N661" s="1765"/>
      <c r="O661" s="1765"/>
      <c r="P661" s="1765"/>
      <c r="Q661" s="1765"/>
      <c r="W661" t="s">
        <v>2089</v>
      </c>
    </row>
    <row r="662" spans="1:23" ht="13.15" customHeight="1" x14ac:dyDescent="0.2">
      <c r="A662" s="2" t="s">
        <v>2241</v>
      </c>
      <c r="B662" s="2">
        <f t="shared" si="20"/>
        <v>2019</v>
      </c>
      <c r="C662" s="2" t="str">
        <f t="shared" si="21"/>
        <v>EC101</v>
      </c>
      <c r="D662" s="2">
        <v>44</v>
      </c>
      <c r="F662" s="1764"/>
      <c r="G662" s="1764"/>
      <c r="H662" s="1764"/>
      <c r="I662" s="1764"/>
      <c r="J662" s="1764"/>
      <c r="K662" s="1764"/>
      <c r="L662" s="1764"/>
      <c r="M662" s="1765"/>
      <c r="N662" s="1765"/>
      <c r="O662" s="1765"/>
      <c r="P662" s="1765"/>
      <c r="Q662" s="1765"/>
      <c r="W662" t="s">
        <v>2089</v>
      </c>
    </row>
    <row r="663" spans="1:23" ht="13.15" customHeight="1" x14ac:dyDescent="0.2">
      <c r="A663" s="2" t="s">
        <v>2241</v>
      </c>
      <c r="B663" s="2">
        <f t="shared" si="20"/>
        <v>2019</v>
      </c>
      <c r="C663" s="2" t="str">
        <f t="shared" si="21"/>
        <v>EC101</v>
      </c>
      <c r="D663" s="2">
        <v>45</v>
      </c>
      <c r="F663" s="1764"/>
      <c r="G663" s="1764"/>
      <c r="H663" s="1764"/>
      <c r="I663" s="1764"/>
      <c r="J663" s="1764"/>
      <c r="K663" s="1764"/>
      <c r="L663" s="1764"/>
      <c r="M663" s="1765"/>
      <c r="N663" s="1765"/>
      <c r="O663" s="1765"/>
      <c r="P663" s="1765"/>
      <c r="Q663" s="1765"/>
      <c r="W663" t="s">
        <v>2089</v>
      </c>
    </row>
    <row r="664" spans="1:23" ht="13.15" customHeight="1" x14ac:dyDescent="0.2">
      <c r="A664" s="2" t="s">
        <v>2241</v>
      </c>
      <c r="B664" s="2">
        <f t="shared" si="20"/>
        <v>2019</v>
      </c>
      <c r="C664" s="2" t="str">
        <f t="shared" si="21"/>
        <v>EC101</v>
      </c>
      <c r="D664" s="2">
        <v>46</v>
      </c>
      <c r="F664" s="1764"/>
      <c r="G664" s="1764"/>
      <c r="H664" s="1764"/>
      <c r="I664" s="1764"/>
      <c r="J664" s="1764"/>
      <c r="K664" s="1764"/>
      <c r="L664" s="1764"/>
      <c r="M664" s="1765"/>
      <c r="N664" s="1765"/>
      <c r="O664" s="1765"/>
      <c r="P664" s="1765"/>
      <c r="Q664" s="1765"/>
      <c r="W664" t="s">
        <v>2089</v>
      </c>
    </row>
    <row r="665" spans="1:23" ht="13.15" customHeight="1" x14ac:dyDescent="0.2">
      <c r="A665" s="2" t="s">
        <v>2241</v>
      </c>
      <c r="B665" s="2">
        <f t="shared" si="20"/>
        <v>2019</v>
      </c>
      <c r="C665" s="2" t="str">
        <f t="shared" si="21"/>
        <v>EC101</v>
      </c>
      <c r="D665" s="2">
        <v>47</v>
      </c>
      <c r="F665" s="1764"/>
      <c r="G665" s="1764"/>
      <c r="H665" s="1764"/>
      <c r="I665" s="1764"/>
      <c r="J665" s="1764"/>
      <c r="K665" s="1764"/>
      <c r="L665" s="1764"/>
      <c r="M665" s="1765"/>
      <c r="N665" s="1765"/>
      <c r="O665" s="1765"/>
      <c r="P665" s="1765"/>
      <c r="Q665" s="1765"/>
      <c r="W665" t="s">
        <v>2089</v>
      </c>
    </row>
    <row r="666" spans="1:23" ht="13.15" customHeight="1" x14ac:dyDescent="0.2">
      <c r="A666" s="2" t="s">
        <v>2241</v>
      </c>
      <c r="B666" s="2">
        <f t="shared" si="20"/>
        <v>2019</v>
      </c>
      <c r="C666" s="2" t="str">
        <f t="shared" si="21"/>
        <v>EC101</v>
      </c>
      <c r="D666" s="2">
        <v>48</v>
      </c>
      <c r="F666" s="1764"/>
      <c r="G666" s="1764"/>
      <c r="H666" s="1764"/>
      <c r="I666" s="1764"/>
      <c r="J666" s="1764"/>
      <c r="K666" s="1764"/>
      <c r="L666" s="1764"/>
      <c r="M666" s="1765"/>
      <c r="N666" s="1765"/>
      <c r="O666" s="1765"/>
      <c r="P666" s="1765"/>
      <c r="Q666" s="1765"/>
      <c r="W666" t="s">
        <v>2089</v>
      </c>
    </row>
    <row r="667" spans="1:23" ht="13.15" customHeight="1" x14ac:dyDescent="0.2">
      <c r="A667" s="2" t="s">
        <v>2241</v>
      </c>
      <c r="B667" s="2">
        <f t="shared" si="20"/>
        <v>2019</v>
      </c>
      <c r="C667" s="2" t="str">
        <f t="shared" si="21"/>
        <v>EC101</v>
      </c>
      <c r="D667" s="2">
        <v>49</v>
      </c>
      <c r="F667" s="1764"/>
      <c r="G667" s="1764"/>
      <c r="H667" s="1764"/>
      <c r="I667" s="1764"/>
      <c r="J667" s="1764"/>
      <c r="K667" s="1764"/>
      <c r="L667" s="1764"/>
      <c r="M667" s="1765"/>
      <c r="N667" s="1765"/>
      <c r="O667" s="1765"/>
      <c r="P667" s="1765"/>
      <c r="Q667" s="1765"/>
      <c r="W667" t="s">
        <v>2089</v>
      </c>
    </row>
    <row r="668" spans="1:23" ht="13.15" customHeight="1" x14ac:dyDescent="0.2">
      <c r="A668" s="2" t="s">
        <v>2241</v>
      </c>
      <c r="B668" s="2">
        <f t="shared" si="20"/>
        <v>2019</v>
      </c>
      <c r="C668" s="2" t="str">
        <f t="shared" si="21"/>
        <v>EC101</v>
      </c>
      <c r="D668" s="2">
        <v>50</v>
      </c>
      <c r="F668" s="1764"/>
      <c r="G668" s="1764"/>
      <c r="H668" s="1764"/>
      <c r="I668" s="1764"/>
      <c r="J668" s="1764"/>
      <c r="K668" s="1764"/>
      <c r="L668" s="1764"/>
      <c r="M668" s="1765"/>
      <c r="N668" s="1765"/>
      <c r="O668" s="1765"/>
      <c r="P668" s="1765"/>
      <c r="Q668" s="1765"/>
      <c r="W668" t="s">
        <v>2089</v>
      </c>
    </row>
    <row r="669" spans="1:23" ht="13.15" customHeight="1" x14ac:dyDescent="0.2">
      <c r="A669" s="2" t="s">
        <v>2241</v>
      </c>
      <c r="B669" s="2">
        <f t="shared" si="20"/>
        <v>2019</v>
      </c>
      <c r="C669" s="2" t="str">
        <f t="shared" si="21"/>
        <v>EC101</v>
      </c>
      <c r="D669" s="2">
        <v>51</v>
      </c>
      <c r="F669" s="1764"/>
      <c r="G669" s="1764"/>
      <c r="H669" s="1764"/>
      <c r="I669" s="1764"/>
      <c r="J669" s="1764"/>
      <c r="K669" s="1764"/>
      <c r="L669" s="1764"/>
      <c r="M669" s="1765"/>
      <c r="N669" s="1765"/>
      <c r="O669" s="1765"/>
      <c r="P669" s="1765"/>
      <c r="Q669" s="1765"/>
      <c r="W669" t="s">
        <v>2089</v>
      </c>
    </row>
    <row r="670" spans="1:23" ht="13.15" customHeight="1" x14ac:dyDescent="0.2">
      <c r="A670" s="2" t="s">
        <v>2241</v>
      </c>
      <c r="B670" s="2">
        <f t="shared" si="20"/>
        <v>2019</v>
      </c>
      <c r="C670" s="2" t="str">
        <f t="shared" si="21"/>
        <v>EC101</v>
      </c>
      <c r="D670" s="2">
        <v>52</v>
      </c>
      <c r="F670" s="1764"/>
      <c r="G670" s="1764"/>
      <c r="H670" s="1764"/>
      <c r="I670" s="1764"/>
      <c r="J670" s="1764"/>
      <c r="K670" s="1764"/>
      <c r="L670" s="1764"/>
      <c r="M670" s="1765"/>
      <c r="N670" s="1765"/>
      <c r="O670" s="1765"/>
      <c r="P670" s="1765"/>
      <c r="Q670" s="1765"/>
      <c r="W670" t="s">
        <v>2089</v>
      </c>
    </row>
    <row r="671" spans="1:23" ht="13.15" customHeight="1" x14ac:dyDescent="0.2">
      <c r="A671" s="2" t="s">
        <v>2241</v>
      </c>
      <c r="B671" s="2">
        <f t="shared" si="20"/>
        <v>2019</v>
      </c>
      <c r="C671" s="2" t="str">
        <f t="shared" si="21"/>
        <v>EC101</v>
      </c>
      <c r="D671" s="2">
        <v>53</v>
      </c>
      <c r="F671" s="1764"/>
      <c r="G671" s="1764"/>
      <c r="H671" s="1764"/>
      <c r="I671" s="1764"/>
      <c r="J671" s="1764"/>
      <c r="K671" s="1764"/>
      <c r="L671" s="1764"/>
      <c r="M671" s="1765"/>
      <c r="N671" s="1765"/>
      <c r="O671" s="1765"/>
      <c r="P671" s="1765"/>
      <c r="Q671" s="1765"/>
      <c r="W671" t="s">
        <v>2089</v>
      </c>
    </row>
    <row r="672" spans="1:23" ht="13.15" customHeight="1" x14ac:dyDescent="0.2">
      <c r="A672" s="2" t="s">
        <v>2241</v>
      </c>
      <c r="B672" s="2">
        <f t="shared" si="20"/>
        <v>2019</v>
      </c>
      <c r="C672" s="2" t="str">
        <f t="shared" si="21"/>
        <v>EC101</v>
      </c>
      <c r="D672" s="2">
        <v>54</v>
      </c>
      <c r="F672" s="1764"/>
      <c r="G672" s="1764"/>
      <c r="H672" s="1764"/>
      <c r="I672" s="1764"/>
      <c r="J672" s="1764"/>
      <c r="K672" s="1764"/>
      <c r="L672" s="1764"/>
      <c r="M672" s="1765"/>
      <c r="N672" s="1765"/>
      <c r="O672" s="1765"/>
      <c r="P672" s="1765"/>
      <c r="Q672" s="1765"/>
      <c r="W672" t="s">
        <v>2089</v>
      </c>
    </row>
    <row r="673" spans="1:23" ht="13.15" customHeight="1" x14ac:dyDescent="0.2">
      <c r="A673" s="2" t="s">
        <v>2241</v>
      </c>
      <c r="B673" s="2">
        <f t="shared" si="20"/>
        <v>2019</v>
      </c>
      <c r="C673" s="2" t="str">
        <f t="shared" si="21"/>
        <v>EC101</v>
      </c>
      <c r="D673" s="2">
        <v>55</v>
      </c>
      <c r="F673" s="1764"/>
      <c r="G673" s="1764"/>
      <c r="H673" s="1764"/>
      <c r="I673" s="1764"/>
      <c r="J673" s="1764"/>
      <c r="K673" s="1764"/>
      <c r="L673" s="1764"/>
      <c r="M673" s="1765"/>
      <c r="N673" s="1765"/>
      <c r="O673" s="1765"/>
      <c r="P673" s="1765"/>
      <c r="Q673" s="1765"/>
      <c r="W673" t="s">
        <v>2089</v>
      </c>
    </row>
    <row r="674" spans="1:23" ht="13.15" customHeight="1" x14ac:dyDescent="0.2">
      <c r="A674" s="2" t="s">
        <v>2241</v>
      </c>
      <c r="B674" s="2">
        <f t="shared" si="20"/>
        <v>2019</v>
      </c>
      <c r="C674" s="2" t="str">
        <f t="shared" si="21"/>
        <v>EC101</v>
      </c>
      <c r="D674" s="2">
        <v>56</v>
      </c>
      <c r="F674" s="1764"/>
      <c r="G674" s="1764"/>
      <c r="H674" s="1764"/>
      <c r="I674" s="1764"/>
      <c r="J674" s="1764"/>
      <c r="K674" s="1764"/>
      <c r="L674" s="1764"/>
      <c r="M674" s="1765"/>
      <c r="N674" s="1765"/>
      <c r="O674" s="1765"/>
      <c r="P674" s="1765"/>
      <c r="Q674" s="1765"/>
      <c r="W674" t="s">
        <v>2089</v>
      </c>
    </row>
    <row r="675" spans="1:23" ht="13.15" customHeight="1" x14ac:dyDescent="0.2">
      <c r="A675" s="2" t="s">
        <v>2241</v>
      </c>
      <c r="B675" s="2">
        <f t="shared" si="20"/>
        <v>2019</v>
      </c>
      <c r="C675" s="2" t="str">
        <f t="shared" si="21"/>
        <v>EC101</v>
      </c>
      <c r="D675" s="2">
        <v>57</v>
      </c>
      <c r="F675" s="1764"/>
      <c r="G675" s="1764"/>
      <c r="H675" s="1764"/>
      <c r="I675" s="1764"/>
      <c r="J675" s="1764"/>
      <c r="K675" s="1764"/>
      <c r="L675" s="1764"/>
      <c r="M675" s="1765"/>
      <c r="N675" s="1765"/>
      <c r="O675" s="1765"/>
      <c r="P675" s="1765"/>
      <c r="Q675" s="1765"/>
      <c r="W675" t="s">
        <v>2089</v>
      </c>
    </row>
    <row r="676" spans="1:23" ht="13.15" customHeight="1" x14ac:dyDescent="0.2">
      <c r="A676" s="2" t="s">
        <v>2241</v>
      </c>
      <c r="B676" s="2">
        <f t="shared" si="20"/>
        <v>2019</v>
      </c>
      <c r="C676" s="2" t="str">
        <f t="shared" si="21"/>
        <v>EC101</v>
      </c>
      <c r="D676" s="2">
        <v>58</v>
      </c>
      <c r="F676" s="1764"/>
      <c r="G676" s="1764"/>
      <c r="H676" s="1764"/>
      <c r="I676" s="1764"/>
      <c r="J676" s="1764"/>
      <c r="K676" s="1764"/>
      <c r="L676" s="1764"/>
      <c r="M676" s="1765"/>
      <c r="N676" s="1765"/>
      <c r="O676" s="1765"/>
      <c r="P676" s="1765"/>
      <c r="Q676" s="1765"/>
      <c r="W676" t="s">
        <v>2089</v>
      </c>
    </row>
    <row r="677" spans="1:23" ht="13.15" customHeight="1" x14ac:dyDescent="0.2">
      <c r="A677" s="2" t="s">
        <v>2241</v>
      </c>
      <c r="B677" s="2">
        <f t="shared" si="20"/>
        <v>2019</v>
      </c>
      <c r="C677" s="2" t="str">
        <f t="shared" si="21"/>
        <v>EC101</v>
      </c>
      <c r="D677" s="2">
        <v>59</v>
      </c>
      <c r="F677" s="1764"/>
      <c r="G677" s="1764"/>
      <c r="H677" s="1764"/>
      <c r="I677" s="1764"/>
      <c r="J677" s="1764"/>
      <c r="K677" s="1764"/>
      <c r="L677" s="1764"/>
      <c r="M677" s="1765"/>
      <c r="N677" s="1765"/>
      <c r="O677" s="1765"/>
      <c r="P677" s="1765"/>
      <c r="Q677" s="1765"/>
      <c r="W677" t="s">
        <v>2089</v>
      </c>
    </row>
    <row r="678" spans="1:23" ht="13.15" customHeight="1" x14ac:dyDescent="0.2">
      <c r="A678" s="2" t="s">
        <v>2241</v>
      </c>
      <c r="B678" s="2">
        <f t="shared" si="20"/>
        <v>2019</v>
      </c>
      <c r="C678" s="2" t="str">
        <f t="shared" si="21"/>
        <v>EC101</v>
      </c>
      <c r="D678" s="2">
        <v>60</v>
      </c>
      <c r="F678" s="1764"/>
      <c r="G678" s="1764"/>
      <c r="H678" s="1764"/>
      <c r="I678" s="1764"/>
      <c r="J678" s="1764"/>
      <c r="K678" s="1764"/>
      <c r="L678" s="1764"/>
      <c r="M678" s="1765"/>
      <c r="N678" s="1765"/>
      <c r="O678" s="1765"/>
      <c r="P678" s="1765"/>
      <c r="Q678" s="1765"/>
      <c r="W678" t="s">
        <v>2089</v>
      </c>
    </row>
    <row r="679" spans="1:23" ht="13.15" customHeight="1" x14ac:dyDescent="0.2">
      <c r="A679" s="2" t="s">
        <v>2241</v>
      </c>
      <c r="B679" s="2">
        <f t="shared" si="20"/>
        <v>2019</v>
      </c>
      <c r="C679" s="2" t="str">
        <f t="shared" si="21"/>
        <v>EC101</v>
      </c>
      <c r="D679" s="2">
        <v>61</v>
      </c>
      <c r="F679" s="1764"/>
      <c r="G679" s="1764"/>
      <c r="H679" s="1764"/>
      <c r="I679" s="1764"/>
      <c r="J679" s="1764"/>
      <c r="K679" s="1764"/>
      <c r="L679" s="1764"/>
      <c r="M679" s="1765"/>
      <c r="N679" s="1765"/>
      <c r="O679" s="1765"/>
      <c r="P679" s="1765"/>
      <c r="Q679" s="1765"/>
      <c r="W679" t="s">
        <v>2089</v>
      </c>
    </row>
    <row r="680" spans="1:23" ht="13.15" customHeight="1" x14ac:dyDescent="0.2">
      <c r="A680" s="2" t="s">
        <v>2241</v>
      </c>
      <c r="B680" s="2">
        <f t="shared" si="20"/>
        <v>2019</v>
      </c>
      <c r="C680" s="2" t="str">
        <f t="shared" si="21"/>
        <v>EC101</v>
      </c>
      <c r="D680" s="2">
        <v>62</v>
      </c>
      <c r="F680" s="1764"/>
      <c r="G680" s="1764"/>
      <c r="H680" s="1764"/>
      <c r="I680" s="1764"/>
      <c r="J680" s="1764"/>
      <c r="K680" s="1764"/>
      <c r="L680" s="1764"/>
      <c r="M680" s="1765"/>
      <c r="N680" s="1765"/>
      <c r="O680" s="1765"/>
      <c r="P680" s="1765"/>
      <c r="Q680" s="1765"/>
      <c r="W680" t="s">
        <v>2089</v>
      </c>
    </row>
    <row r="681" spans="1:23" ht="13.15" customHeight="1" x14ac:dyDescent="0.2">
      <c r="A681" s="2" t="s">
        <v>2241</v>
      </c>
      <c r="B681" s="2">
        <f t="shared" si="20"/>
        <v>2019</v>
      </c>
      <c r="C681" s="2" t="str">
        <f t="shared" si="21"/>
        <v>EC101</v>
      </c>
      <c r="D681" s="2">
        <v>63</v>
      </c>
      <c r="F681" s="1764"/>
      <c r="G681" s="1764"/>
      <c r="H681" s="1764"/>
      <c r="I681" s="1764"/>
      <c r="J681" s="1764"/>
      <c r="K681" s="1764"/>
      <c r="L681" s="1764"/>
      <c r="M681" s="1765"/>
      <c r="N681" s="1765"/>
      <c r="O681" s="1765"/>
      <c r="P681" s="1765"/>
      <c r="Q681" s="1765"/>
      <c r="W681" t="s">
        <v>2089</v>
      </c>
    </row>
    <row r="682" spans="1:23" ht="13.15" customHeight="1" x14ac:dyDescent="0.2">
      <c r="A682" s="2" t="s">
        <v>2241</v>
      </c>
      <c r="B682" s="2">
        <f t="shared" si="20"/>
        <v>2019</v>
      </c>
      <c r="C682" s="2" t="str">
        <f t="shared" si="21"/>
        <v>EC101</v>
      </c>
      <c r="D682" s="2">
        <v>64</v>
      </c>
      <c r="F682" s="1764"/>
      <c r="G682" s="1764"/>
      <c r="H682" s="1764"/>
      <c r="I682" s="1764"/>
      <c r="J682" s="1764"/>
      <c r="K682" s="1764"/>
      <c r="L682" s="1764"/>
      <c r="M682" s="1765"/>
      <c r="N682" s="1765"/>
      <c r="O682" s="1765"/>
      <c r="P682" s="1765"/>
      <c r="Q682" s="1765"/>
      <c r="W682" t="s">
        <v>2089</v>
      </c>
    </row>
    <row r="683" spans="1:23" ht="13.15" customHeight="1" x14ac:dyDescent="0.2">
      <c r="A683" s="2" t="s">
        <v>2241</v>
      </c>
      <c r="B683" s="2">
        <f t="shared" si="20"/>
        <v>2019</v>
      </c>
      <c r="C683" s="2" t="str">
        <f t="shared" si="21"/>
        <v>EC101</v>
      </c>
      <c r="D683" s="2">
        <v>65</v>
      </c>
      <c r="F683" s="1764"/>
      <c r="G683" s="1764"/>
      <c r="H683" s="1764"/>
      <c r="I683" s="1764"/>
      <c r="J683" s="1764"/>
      <c r="K683" s="1764"/>
      <c r="L683" s="1764"/>
      <c r="M683" s="1765"/>
      <c r="N683" s="1765"/>
      <c r="O683" s="1765"/>
      <c r="P683" s="1765"/>
      <c r="Q683" s="1765"/>
      <c r="W683" t="s">
        <v>2089</v>
      </c>
    </row>
    <row r="684" spans="1:23" ht="13.15" customHeight="1" x14ac:dyDescent="0.2">
      <c r="A684" s="2" t="s">
        <v>2241</v>
      </c>
      <c r="B684" s="2">
        <f t="shared" si="20"/>
        <v>2019</v>
      </c>
      <c r="C684" s="2" t="str">
        <f t="shared" si="21"/>
        <v>EC101</v>
      </c>
      <c r="D684" s="2">
        <v>66</v>
      </c>
      <c r="F684" s="1764"/>
      <c r="G684" s="1764"/>
      <c r="H684" s="1764"/>
      <c r="I684" s="1764"/>
      <c r="J684" s="1764"/>
      <c r="K684" s="1764"/>
      <c r="L684" s="1764"/>
      <c r="M684" s="1765"/>
      <c r="N684" s="1765"/>
      <c r="O684" s="1765"/>
      <c r="P684" s="1765"/>
      <c r="Q684" s="1765"/>
      <c r="W684" t="s">
        <v>2089</v>
      </c>
    </row>
    <row r="685" spans="1:23" ht="13.15" customHeight="1" x14ac:dyDescent="0.2">
      <c r="A685" s="2" t="s">
        <v>2241</v>
      </c>
      <c r="B685" s="2">
        <f t="shared" si="20"/>
        <v>2019</v>
      </c>
      <c r="C685" s="2" t="str">
        <f t="shared" si="21"/>
        <v>EC101</v>
      </c>
      <c r="D685" s="2">
        <v>67</v>
      </c>
      <c r="F685" s="1764"/>
      <c r="G685" s="1764"/>
      <c r="H685" s="1764"/>
      <c r="I685" s="1764"/>
      <c r="J685" s="1764"/>
      <c r="K685" s="1764"/>
      <c r="L685" s="1764"/>
      <c r="M685" s="1765"/>
      <c r="N685" s="1765"/>
      <c r="O685" s="1765"/>
      <c r="P685" s="1765"/>
      <c r="Q685" s="1765"/>
      <c r="W685" t="s">
        <v>2089</v>
      </c>
    </row>
    <row r="686" spans="1:23" ht="13.15" customHeight="1" x14ac:dyDescent="0.2">
      <c r="A686" s="2" t="s">
        <v>2241</v>
      </c>
      <c r="B686" s="2">
        <f t="shared" si="20"/>
        <v>2019</v>
      </c>
      <c r="C686" s="2" t="str">
        <f t="shared" si="21"/>
        <v>EC101</v>
      </c>
      <c r="D686" s="2">
        <v>68</v>
      </c>
      <c r="F686" s="1764"/>
      <c r="G686" s="1764"/>
      <c r="H686" s="1764"/>
      <c r="I686" s="1764"/>
      <c r="J686" s="1764"/>
      <c r="K686" s="1764"/>
      <c r="L686" s="1764"/>
      <c r="M686" s="1765"/>
      <c r="N686" s="1765"/>
      <c r="O686" s="1765"/>
      <c r="P686" s="1765"/>
      <c r="Q686" s="1765"/>
      <c r="W686" t="s">
        <v>2089</v>
      </c>
    </row>
    <row r="687" spans="1:23" ht="13.15" customHeight="1" x14ac:dyDescent="0.2">
      <c r="A687" s="2" t="s">
        <v>2241</v>
      </c>
      <c r="B687" s="2">
        <f t="shared" si="20"/>
        <v>2019</v>
      </c>
      <c r="C687" s="2" t="str">
        <f t="shared" si="21"/>
        <v>EC101</v>
      </c>
      <c r="D687" s="2">
        <v>69</v>
      </c>
      <c r="F687" s="1764"/>
      <c r="G687" s="1764"/>
      <c r="H687" s="1764"/>
      <c r="I687" s="1764"/>
      <c r="J687" s="1764"/>
      <c r="K687" s="1764"/>
      <c r="L687" s="1764"/>
      <c r="M687" s="1765"/>
      <c r="N687" s="1765"/>
      <c r="O687" s="1765"/>
      <c r="P687" s="1765"/>
      <c r="Q687" s="1765"/>
      <c r="W687" t="s">
        <v>2089</v>
      </c>
    </row>
    <row r="688" spans="1:23" ht="13.15" customHeight="1" x14ac:dyDescent="0.2">
      <c r="A688" s="2" t="s">
        <v>2241</v>
      </c>
      <c r="B688" s="2">
        <f t="shared" si="20"/>
        <v>2019</v>
      </c>
      <c r="C688" s="2" t="str">
        <f t="shared" si="21"/>
        <v>EC101</v>
      </c>
      <c r="D688" s="2">
        <v>70</v>
      </c>
      <c r="F688" s="1764"/>
      <c r="G688" s="1764"/>
      <c r="H688" s="1764"/>
      <c r="I688" s="1764"/>
      <c r="J688" s="1764"/>
      <c r="K688" s="1764"/>
      <c r="L688" s="1764"/>
      <c r="M688" s="1765"/>
      <c r="N688" s="1765"/>
      <c r="O688" s="1765"/>
      <c r="P688" s="1765"/>
      <c r="Q688" s="1765"/>
      <c r="W688" t="s">
        <v>2089</v>
      </c>
    </row>
    <row r="689" spans="1:23" ht="13.15" customHeight="1" x14ac:dyDescent="0.2">
      <c r="A689" s="2" t="s">
        <v>2241</v>
      </c>
      <c r="B689" s="2">
        <f t="shared" si="20"/>
        <v>2019</v>
      </c>
      <c r="C689" s="2" t="str">
        <f t="shared" si="21"/>
        <v>EC101</v>
      </c>
      <c r="D689" s="2">
        <v>71</v>
      </c>
      <c r="F689" s="1764"/>
      <c r="G689" s="1764"/>
      <c r="H689" s="1764"/>
      <c r="I689" s="1764"/>
      <c r="J689" s="1764"/>
      <c r="K689" s="1764"/>
      <c r="L689" s="1764"/>
      <c r="M689" s="1765"/>
      <c r="N689" s="1765"/>
      <c r="O689" s="1765"/>
      <c r="P689" s="1765"/>
      <c r="Q689" s="1765"/>
      <c r="W689" t="s">
        <v>2089</v>
      </c>
    </row>
    <row r="690" spans="1:23" ht="13.15" customHeight="1" x14ac:dyDescent="0.2">
      <c r="A690" s="2" t="s">
        <v>2241</v>
      </c>
      <c r="B690" s="2">
        <f t="shared" si="20"/>
        <v>2019</v>
      </c>
      <c r="C690" s="2" t="str">
        <f t="shared" si="21"/>
        <v>EC101</v>
      </c>
      <c r="D690" s="2">
        <v>72</v>
      </c>
      <c r="F690" s="1764"/>
      <c r="G690" s="1764"/>
      <c r="H690" s="1764"/>
      <c r="I690" s="1764"/>
      <c r="J690" s="1764"/>
      <c r="K690" s="1764"/>
      <c r="L690" s="1764"/>
      <c r="M690" s="1765"/>
      <c r="N690" s="1765"/>
      <c r="O690" s="1765"/>
      <c r="P690" s="1765"/>
      <c r="Q690" s="1765"/>
      <c r="W690" t="s">
        <v>2089</v>
      </c>
    </row>
    <row r="691" spans="1:23" ht="13.15" customHeight="1" x14ac:dyDescent="0.2">
      <c r="A691" s="2" t="s">
        <v>2241</v>
      </c>
      <c r="B691" s="2">
        <f t="shared" si="20"/>
        <v>2019</v>
      </c>
      <c r="C691" s="2" t="str">
        <f t="shared" si="21"/>
        <v>EC101</v>
      </c>
      <c r="D691" s="2">
        <v>73</v>
      </c>
      <c r="F691" s="1764"/>
      <c r="G691" s="1764"/>
      <c r="H691" s="1764"/>
      <c r="I691" s="1764"/>
      <c r="J691" s="1764"/>
      <c r="K691" s="1764"/>
      <c r="L691" s="1764"/>
      <c r="M691" s="1765"/>
      <c r="N691" s="1765"/>
      <c r="O691" s="1765"/>
      <c r="P691" s="1765"/>
      <c r="Q691" s="1765"/>
      <c r="W691" t="s">
        <v>2089</v>
      </c>
    </row>
    <row r="692" spans="1:23" ht="13.15" customHeight="1" x14ac:dyDescent="0.2">
      <c r="A692" s="2" t="s">
        <v>2241</v>
      </c>
      <c r="B692" s="2">
        <f t="shared" si="20"/>
        <v>2019</v>
      </c>
      <c r="C692" s="2" t="str">
        <f t="shared" si="21"/>
        <v>EC101</v>
      </c>
      <c r="D692" s="2">
        <v>74</v>
      </c>
      <c r="F692" s="1764"/>
      <c r="G692" s="1764"/>
      <c r="H692" s="1764"/>
      <c r="I692" s="1764"/>
      <c r="J692" s="1764"/>
      <c r="K692" s="1764"/>
      <c r="L692" s="1764"/>
      <c r="M692" s="1765"/>
      <c r="N692" s="1765"/>
      <c r="O692" s="1765"/>
      <c r="P692" s="1765"/>
      <c r="Q692" s="1765"/>
      <c r="W692" t="s">
        <v>2089</v>
      </c>
    </row>
    <row r="693" spans="1:23" ht="13.15" customHeight="1" x14ac:dyDescent="0.2">
      <c r="A693" s="2" t="s">
        <v>2241</v>
      </c>
      <c r="B693" s="2">
        <f t="shared" si="20"/>
        <v>2019</v>
      </c>
      <c r="C693" s="2" t="str">
        <f t="shared" si="21"/>
        <v>EC101</v>
      </c>
      <c r="D693" s="2">
        <v>75</v>
      </c>
      <c r="F693" s="1764"/>
      <c r="G693" s="1764"/>
      <c r="H693" s="1764"/>
      <c r="I693" s="1764"/>
      <c r="J693" s="1764"/>
      <c r="K693" s="1764"/>
      <c r="L693" s="1764"/>
      <c r="M693" s="1765"/>
      <c r="N693" s="1765"/>
      <c r="O693" s="1765"/>
      <c r="P693" s="1765"/>
      <c r="Q693" s="1765"/>
      <c r="W693" t="s">
        <v>2089</v>
      </c>
    </row>
    <row r="694" spans="1:23" ht="13.15" customHeight="1" x14ac:dyDescent="0.2">
      <c r="A694" s="2" t="s">
        <v>2241</v>
      </c>
      <c r="B694" s="2">
        <f t="shared" si="20"/>
        <v>2019</v>
      </c>
      <c r="C694" s="2" t="str">
        <f t="shared" si="21"/>
        <v>EC101</v>
      </c>
      <c r="D694" s="2">
        <v>76</v>
      </c>
      <c r="F694" s="1764"/>
      <c r="G694" s="1764"/>
      <c r="H694" s="1764"/>
      <c r="I694" s="1764"/>
      <c r="J694" s="1764"/>
      <c r="K694" s="1764"/>
      <c r="L694" s="1764"/>
      <c r="M694" s="1765"/>
      <c r="N694" s="1765"/>
      <c r="O694" s="1765"/>
      <c r="P694" s="1765"/>
      <c r="Q694" s="1765"/>
      <c r="W694" t="s">
        <v>2089</v>
      </c>
    </row>
    <row r="695" spans="1:23" ht="13.15" customHeight="1" x14ac:dyDescent="0.2">
      <c r="A695" s="2" t="s">
        <v>2241</v>
      </c>
      <c r="B695" s="2">
        <f t="shared" si="20"/>
        <v>2019</v>
      </c>
      <c r="C695" s="2" t="str">
        <f t="shared" si="21"/>
        <v>EC101</v>
      </c>
      <c r="D695" s="2">
        <v>77</v>
      </c>
      <c r="F695" s="1764"/>
      <c r="G695" s="1764"/>
      <c r="H695" s="1764"/>
      <c r="I695" s="1764"/>
      <c r="J695" s="1764"/>
      <c r="K695" s="1764"/>
      <c r="L695" s="1764"/>
      <c r="M695" s="1765"/>
      <c r="N695" s="1765"/>
      <c r="O695" s="1765"/>
      <c r="P695" s="1765"/>
      <c r="Q695" s="1765"/>
      <c r="W695" t="s">
        <v>2089</v>
      </c>
    </row>
    <row r="696" spans="1:23" ht="13.15" customHeight="1" x14ac:dyDescent="0.2">
      <c r="A696" s="2" t="s">
        <v>2241</v>
      </c>
      <c r="B696" s="2">
        <f t="shared" si="20"/>
        <v>2019</v>
      </c>
      <c r="C696" s="2" t="str">
        <f t="shared" si="21"/>
        <v>EC101</v>
      </c>
      <c r="D696" s="2">
        <v>78</v>
      </c>
      <c r="F696" s="1764"/>
      <c r="G696" s="1764"/>
      <c r="H696" s="1764"/>
      <c r="I696" s="1764"/>
      <c r="J696" s="1764"/>
      <c r="K696" s="1764"/>
      <c r="L696" s="1764"/>
      <c r="M696" s="1765"/>
      <c r="N696" s="1765"/>
      <c r="O696" s="1765"/>
      <c r="P696" s="1765"/>
      <c r="Q696" s="1765"/>
      <c r="W696" t="s">
        <v>2089</v>
      </c>
    </row>
    <row r="697" spans="1:23" ht="13.15" customHeight="1" x14ac:dyDescent="0.2">
      <c r="A697" s="2" t="s">
        <v>2241</v>
      </c>
      <c r="B697" s="2">
        <f t="shared" si="20"/>
        <v>2019</v>
      </c>
      <c r="C697" s="2" t="str">
        <f t="shared" si="21"/>
        <v>EC101</v>
      </c>
      <c r="D697" s="2">
        <v>79</v>
      </c>
      <c r="F697" s="1764"/>
      <c r="G697" s="1764"/>
      <c r="H697" s="1764"/>
      <c r="I697" s="1764"/>
      <c r="J697" s="1764"/>
      <c r="K697" s="1764"/>
      <c r="L697" s="1764"/>
      <c r="M697" s="1765"/>
      <c r="N697" s="1765"/>
      <c r="O697" s="1765"/>
      <c r="P697" s="1765"/>
      <c r="Q697" s="1765"/>
      <c r="W697" t="s">
        <v>2089</v>
      </c>
    </row>
    <row r="698" spans="1:23" ht="13.15" customHeight="1" x14ac:dyDescent="0.2">
      <c r="A698" s="2" t="s">
        <v>2241</v>
      </c>
      <c r="B698" s="2">
        <f t="shared" si="20"/>
        <v>2019</v>
      </c>
      <c r="C698" s="2" t="str">
        <f t="shared" si="21"/>
        <v>EC101</v>
      </c>
      <c r="D698" s="2">
        <v>80</v>
      </c>
      <c r="F698" s="1764"/>
      <c r="G698" s="1764"/>
      <c r="H698" s="1764"/>
      <c r="I698" s="1764"/>
      <c r="J698" s="1764"/>
      <c r="K698" s="1764"/>
      <c r="L698" s="1764"/>
      <c r="M698" s="1765"/>
      <c r="N698" s="1765"/>
      <c r="O698" s="1765"/>
      <c r="P698" s="1765"/>
      <c r="Q698" s="1765"/>
      <c r="W698" t="s">
        <v>2089</v>
      </c>
    </row>
    <row r="699" spans="1:23" ht="13.15" customHeight="1" x14ac:dyDescent="0.2">
      <c r="A699" s="2" t="s">
        <v>2241</v>
      </c>
      <c r="B699" s="2">
        <f t="shared" si="20"/>
        <v>2019</v>
      </c>
      <c r="C699" s="2" t="str">
        <f t="shared" si="21"/>
        <v>EC101</v>
      </c>
      <c r="D699" s="2">
        <v>81</v>
      </c>
      <c r="F699" s="1764"/>
      <c r="G699" s="1764"/>
      <c r="H699" s="1764"/>
      <c r="I699" s="1764"/>
      <c r="J699" s="1764"/>
      <c r="K699" s="1764"/>
      <c r="L699" s="1764"/>
      <c r="M699" s="1765"/>
      <c r="N699" s="1765"/>
      <c r="O699" s="1765"/>
      <c r="P699" s="1765"/>
      <c r="Q699" s="1765"/>
      <c r="W699" t="s">
        <v>2089</v>
      </c>
    </row>
    <row r="700" spans="1:23" ht="13.15" customHeight="1" x14ac:dyDescent="0.2">
      <c r="A700" s="2" t="s">
        <v>2241</v>
      </c>
      <c r="B700" s="2">
        <f t="shared" si="20"/>
        <v>2019</v>
      </c>
      <c r="C700" s="2" t="str">
        <f t="shared" si="21"/>
        <v>EC101</v>
      </c>
      <c r="D700" s="2">
        <v>82</v>
      </c>
      <c r="F700" s="1764"/>
      <c r="G700" s="1764"/>
      <c r="H700" s="1764"/>
      <c r="I700" s="1764"/>
      <c r="J700" s="1764"/>
      <c r="K700" s="1764"/>
      <c r="L700" s="1764"/>
      <c r="M700" s="1765"/>
      <c r="N700" s="1765"/>
      <c r="O700" s="1765"/>
      <c r="P700" s="1765"/>
      <c r="Q700" s="1765"/>
      <c r="W700" t="s">
        <v>2089</v>
      </c>
    </row>
    <row r="701" spans="1:23" ht="13.15" customHeight="1" x14ac:dyDescent="0.2">
      <c r="A701" s="2" t="s">
        <v>2241</v>
      </c>
      <c r="B701" s="2">
        <f t="shared" si="20"/>
        <v>2019</v>
      </c>
      <c r="C701" s="2" t="str">
        <f t="shared" si="21"/>
        <v>EC101</v>
      </c>
      <c r="D701" s="2">
        <v>83</v>
      </c>
      <c r="F701" s="1764"/>
      <c r="G701" s="1764"/>
      <c r="H701" s="1764"/>
      <c r="I701" s="1764"/>
      <c r="J701" s="1764"/>
      <c r="K701" s="1764"/>
      <c r="L701" s="1764"/>
      <c r="M701" s="1765"/>
      <c r="N701" s="1765"/>
      <c r="O701" s="1765"/>
      <c r="P701" s="1765"/>
      <c r="Q701" s="1765"/>
      <c r="W701" t="s">
        <v>2089</v>
      </c>
    </row>
    <row r="702" spans="1:23" ht="13.15" customHeight="1" x14ac:dyDescent="0.2">
      <c r="A702" s="2" t="s">
        <v>2241</v>
      </c>
      <c r="B702" s="2">
        <f t="shared" si="20"/>
        <v>2019</v>
      </c>
      <c r="C702" s="2" t="str">
        <f t="shared" si="21"/>
        <v>EC101</v>
      </c>
      <c r="D702" s="2">
        <v>84</v>
      </c>
      <c r="F702" s="1764"/>
      <c r="G702" s="1764"/>
      <c r="H702" s="1764"/>
      <c r="I702" s="1764"/>
      <c r="J702" s="1764"/>
      <c r="K702" s="1764"/>
      <c r="L702" s="1764"/>
      <c r="M702" s="1765"/>
      <c r="N702" s="1765"/>
      <c r="O702" s="1765"/>
      <c r="P702" s="1765"/>
      <c r="Q702" s="1765"/>
      <c r="W702" t="s">
        <v>2089</v>
      </c>
    </row>
    <row r="703" spans="1:23" ht="13.15" customHeight="1" x14ac:dyDescent="0.2">
      <c r="A703" s="2" t="s">
        <v>2241</v>
      </c>
      <c r="B703" s="2">
        <f t="shared" si="20"/>
        <v>2019</v>
      </c>
      <c r="C703" s="2" t="str">
        <f t="shared" si="21"/>
        <v>EC101</v>
      </c>
      <c r="D703" s="2">
        <v>85</v>
      </c>
      <c r="F703" s="1764"/>
      <c r="G703" s="1764"/>
      <c r="H703" s="1764"/>
      <c r="I703" s="1764"/>
      <c r="J703" s="1764"/>
      <c r="K703" s="1764"/>
      <c r="L703" s="1764"/>
      <c r="M703" s="1765"/>
      <c r="N703" s="1765"/>
      <c r="O703" s="1765"/>
      <c r="P703" s="1765"/>
      <c r="Q703" s="1765"/>
      <c r="W703" t="s">
        <v>2089</v>
      </c>
    </row>
    <row r="704" spans="1:23" ht="13.15" customHeight="1" x14ac:dyDescent="0.2">
      <c r="A704" s="2" t="s">
        <v>2241</v>
      </c>
      <c r="B704" s="2">
        <f t="shared" si="20"/>
        <v>2019</v>
      </c>
      <c r="C704" s="2" t="str">
        <f t="shared" si="21"/>
        <v>EC101</v>
      </c>
      <c r="D704" s="2">
        <v>86</v>
      </c>
      <c r="F704" s="1764"/>
      <c r="G704" s="1764"/>
      <c r="H704" s="1764"/>
      <c r="I704" s="1764"/>
      <c r="J704" s="1764"/>
      <c r="K704" s="1764"/>
      <c r="L704" s="1764"/>
      <c r="M704" s="1765"/>
      <c r="N704" s="1765"/>
      <c r="O704" s="1765"/>
      <c r="P704" s="1765"/>
      <c r="Q704" s="1765"/>
      <c r="W704" t="s">
        <v>2089</v>
      </c>
    </row>
    <row r="705" spans="1:23" ht="13.15" customHeight="1" x14ac:dyDescent="0.2">
      <c r="A705" s="2" t="s">
        <v>2241</v>
      </c>
      <c r="B705" s="2">
        <f t="shared" si="20"/>
        <v>2019</v>
      </c>
      <c r="C705" s="2" t="str">
        <f t="shared" si="21"/>
        <v>EC101</v>
      </c>
      <c r="D705" s="2">
        <v>87</v>
      </c>
      <c r="F705" s="1764"/>
      <c r="G705" s="1764"/>
      <c r="H705" s="1764"/>
      <c r="I705" s="1764"/>
      <c r="J705" s="1764"/>
      <c r="K705" s="1764"/>
      <c r="L705" s="1764"/>
      <c r="M705" s="1765"/>
      <c r="N705" s="1765"/>
      <c r="O705" s="1765"/>
      <c r="P705" s="1765"/>
      <c r="Q705" s="1765"/>
      <c r="W705" t="s">
        <v>2089</v>
      </c>
    </row>
    <row r="706" spans="1:23" ht="13.15" customHeight="1" x14ac:dyDescent="0.2">
      <c r="A706" s="2" t="s">
        <v>2241</v>
      </c>
      <c r="B706" s="2">
        <f t="shared" ref="B706:B769" si="22">+MTREF</f>
        <v>2019</v>
      </c>
      <c r="C706" s="2" t="str">
        <f t="shared" ref="C706:C769" si="23">LEFT(muni,(FIND(" ",muni,1)-1))</f>
        <v>EC101</v>
      </c>
      <c r="D706" s="2">
        <v>88</v>
      </c>
      <c r="F706" s="1764"/>
      <c r="G706" s="1764"/>
      <c r="H706" s="1764"/>
      <c r="I706" s="1764"/>
      <c r="J706" s="1764"/>
      <c r="K706" s="1764"/>
      <c r="L706" s="1764"/>
      <c r="M706" s="1765"/>
      <c r="N706" s="1765"/>
      <c r="O706" s="1765"/>
      <c r="P706" s="1765"/>
      <c r="Q706" s="1765"/>
      <c r="W706" t="s">
        <v>2089</v>
      </c>
    </row>
    <row r="707" spans="1:23" ht="13.15" customHeight="1" x14ac:dyDescent="0.2">
      <c r="A707" s="2" t="s">
        <v>2241</v>
      </c>
      <c r="B707" s="2">
        <f t="shared" si="22"/>
        <v>2019</v>
      </c>
      <c r="C707" s="2" t="str">
        <f t="shared" si="23"/>
        <v>EC101</v>
      </c>
      <c r="D707" s="2">
        <v>89</v>
      </c>
      <c r="F707" s="1764"/>
      <c r="G707" s="1764"/>
      <c r="H707" s="1764"/>
      <c r="I707" s="1764"/>
      <c r="J707" s="1764"/>
      <c r="K707" s="1764"/>
      <c r="L707" s="1764"/>
      <c r="M707" s="1765"/>
      <c r="N707" s="1765"/>
      <c r="O707" s="1765"/>
      <c r="P707" s="1765"/>
      <c r="Q707" s="1765"/>
      <c r="W707" t="s">
        <v>2089</v>
      </c>
    </row>
    <row r="708" spans="1:23" ht="13.15" customHeight="1" x14ac:dyDescent="0.2">
      <c r="A708" s="2" t="s">
        <v>2241</v>
      </c>
      <c r="B708" s="2">
        <f t="shared" si="22"/>
        <v>2019</v>
      </c>
      <c r="C708" s="2" t="str">
        <f t="shared" si="23"/>
        <v>EC101</v>
      </c>
      <c r="D708" s="2">
        <v>90</v>
      </c>
      <c r="F708" s="1764"/>
      <c r="G708" s="1764"/>
      <c r="H708" s="1764"/>
      <c r="I708" s="1764"/>
      <c r="J708" s="1764"/>
      <c r="K708" s="1764"/>
      <c r="L708" s="1764"/>
      <c r="M708" s="1765"/>
      <c r="N708" s="1765"/>
      <c r="O708" s="1765"/>
      <c r="P708" s="1765"/>
      <c r="Q708" s="1765"/>
      <c r="W708" t="s">
        <v>2089</v>
      </c>
    </row>
    <row r="709" spans="1:23" ht="13.15" customHeight="1" x14ac:dyDescent="0.2">
      <c r="A709" s="2" t="s">
        <v>2241</v>
      </c>
      <c r="B709" s="2">
        <f t="shared" si="22"/>
        <v>2019</v>
      </c>
      <c r="C709" s="2" t="str">
        <f t="shared" si="23"/>
        <v>EC101</v>
      </c>
      <c r="D709" s="2">
        <v>91</v>
      </c>
      <c r="F709" s="1764"/>
      <c r="G709" s="1764"/>
      <c r="H709" s="1764"/>
      <c r="I709" s="1764"/>
      <c r="J709" s="1764"/>
      <c r="K709" s="1764"/>
      <c r="L709" s="1764"/>
      <c r="M709" s="1765"/>
      <c r="N709" s="1765"/>
      <c r="O709" s="1765"/>
      <c r="P709" s="1765"/>
      <c r="Q709" s="1765"/>
      <c r="W709" t="s">
        <v>2089</v>
      </c>
    </row>
    <row r="710" spans="1:23" ht="13.15" customHeight="1" x14ac:dyDescent="0.2">
      <c r="A710" s="2" t="s">
        <v>2241</v>
      </c>
      <c r="B710" s="2">
        <f t="shared" si="22"/>
        <v>2019</v>
      </c>
      <c r="C710" s="2" t="str">
        <f t="shared" si="23"/>
        <v>EC101</v>
      </c>
      <c r="D710" s="2">
        <v>92</v>
      </c>
      <c r="F710" s="1764"/>
      <c r="G710" s="1764"/>
      <c r="H710" s="1764"/>
      <c r="I710" s="1764"/>
      <c r="J710" s="1764"/>
      <c r="K710" s="1764"/>
      <c r="L710" s="1764"/>
      <c r="M710" s="1765"/>
      <c r="N710" s="1765"/>
      <c r="O710" s="1765"/>
      <c r="P710" s="1765"/>
      <c r="Q710" s="1765"/>
      <c r="W710" t="s">
        <v>2089</v>
      </c>
    </row>
    <row r="711" spans="1:23" ht="13.15" customHeight="1" x14ac:dyDescent="0.2">
      <c r="A711" s="2" t="s">
        <v>2241</v>
      </c>
      <c r="B711" s="2">
        <f t="shared" si="22"/>
        <v>2019</v>
      </c>
      <c r="C711" s="2" t="str">
        <f t="shared" si="23"/>
        <v>EC101</v>
      </c>
      <c r="D711" s="2">
        <v>93</v>
      </c>
      <c r="F711" s="1764"/>
      <c r="G711" s="1764"/>
      <c r="H711" s="1764"/>
      <c r="I711" s="1764"/>
      <c r="J711" s="1764"/>
      <c r="K711" s="1764"/>
      <c r="L711" s="1764"/>
      <c r="M711" s="1765"/>
      <c r="N711" s="1765"/>
      <c r="O711" s="1765"/>
      <c r="P711" s="1765"/>
      <c r="Q711" s="1765"/>
      <c r="W711" t="s">
        <v>2089</v>
      </c>
    </row>
    <row r="712" spans="1:23" ht="13.15" customHeight="1" x14ac:dyDescent="0.2">
      <c r="A712" s="2" t="s">
        <v>2241</v>
      </c>
      <c r="B712" s="2">
        <f t="shared" si="22"/>
        <v>2019</v>
      </c>
      <c r="C712" s="2" t="str">
        <f t="shared" si="23"/>
        <v>EC101</v>
      </c>
      <c r="D712" s="2">
        <v>94</v>
      </c>
      <c r="F712" s="1764"/>
      <c r="G712" s="1764"/>
      <c r="H712" s="1764"/>
      <c r="I712" s="1764"/>
      <c r="J712" s="1764"/>
      <c r="K712" s="1764"/>
      <c r="L712" s="1764"/>
      <c r="M712" s="1765"/>
      <c r="N712" s="1765"/>
      <c r="O712" s="1765"/>
      <c r="P712" s="1765"/>
      <c r="Q712" s="1765"/>
      <c r="W712" t="s">
        <v>2089</v>
      </c>
    </row>
    <row r="713" spans="1:23" ht="13.15" customHeight="1" x14ac:dyDescent="0.2">
      <c r="A713" s="2" t="s">
        <v>2241</v>
      </c>
      <c r="B713" s="2">
        <f t="shared" si="22"/>
        <v>2019</v>
      </c>
      <c r="C713" s="2" t="str">
        <f t="shared" si="23"/>
        <v>EC101</v>
      </c>
      <c r="D713" s="2">
        <v>95</v>
      </c>
      <c r="F713" s="1764"/>
      <c r="G713" s="1764"/>
      <c r="H713" s="1764"/>
      <c r="I713" s="1764"/>
      <c r="J713" s="1764"/>
      <c r="K713" s="1764"/>
      <c r="L713" s="1764"/>
      <c r="M713" s="1765"/>
      <c r="N713" s="1765"/>
      <c r="O713" s="1765"/>
      <c r="P713" s="1765"/>
      <c r="Q713" s="1765"/>
      <c r="W713" t="s">
        <v>2089</v>
      </c>
    </row>
    <row r="714" spans="1:23" ht="13.15" customHeight="1" x14ac:dyDescent="0.2">
      <c r="A714" s="2" t="s">
        <v>2241</v>
      </c>
      <c r="B714" s="2">
        <f t="shared" si="22"/>
        <v>2019</v>
      </c>
      <c r="C714" s="2" t="str">
        <f t="shared" si="23"/>
        <v>EC101</v>
      </c>
      <c r="D714" s="2">
        <v>96</v>
      </c>
      <c r="F714" s="1764"/>
      <c r="G714" s="1764"/>
      <c r="H714" s="1764"/>
      <c r="I714" s="1764"/>
      <c r="J714" s="1764"/>
      <c r="K714" s="1764"/>
      <c r="L714" s="1764"/>
      <c r="M714" s="1765"/>
      <c r="N714" s="1765"/>
      <c r="O714" s="1765"/>
      <c r="P714" s="1765"/>
      <c r="Q714" s="1765"/>
      <c r="W714" t="s">
        <v>2089</v>
      </c>
    </row>
    <row r="715" spans="1:23" ht="13.15" customHeight="1" x14ac:dyDescent="0.2">
      <c r="A715" s="2" t="s">
        <v>2241</v>
      </c>
      <c r="B715" s="2">
        <f t="shared" si="22"/>
        <v>2019</v>
      </c>
      <c r="C715" s="2" t="str">
        <f t="shared" si="23"/>
        <v>EC101</v>
      </c>
      <c r="D715" s="2">
        <v>97</v>
      </c>
      <c r="F715" s="1764"/>
      <c r="G715" s="1764"/>
      <c r="H715" s="1764"/>
      <c r="I715" s="1764"/>
      <c r="J715" s="1764"/>
      <c r="K715" s="1764"/>
      <c r="L715" s="1764"/>
      <c r="M715" s="1765"/>
      <c r="N715" s="1765"/>
      <c r="O715" s="1765"/>
      <c r="P715" s="1765"/>
      <c r="Q715" s="1765"/>
      <c r="W715" t="s">
        <v>2089</v>
      </c>
    </row>
    <row r="716" spans="1:23" ht="13.15" customHeight="1" x14ac:dyDescent="0.2">
      <c r="A716" s="2" t="s">
        <v>2241</v>
      </c>
      <c r="B716" s="2">
        <f t="shared" si="22"/>
        <v>2019</v>
      </c>
      <c r="C716" s="2" t="str">
        <f t="shared" si="23"/>
        <v>EC101</v>
      </c>
      <c r="D716" s="2">
        <v>98</v>
      </c>
      <c r="F716" s="1764"/>
      <c r="G716" s="1764"/>
      <c r="H716" s="1764"/>
      <c r="I716" s="1764"/>
      <c r="J716" s="1764"/>
      <c r="K716" s="1764"/>
      <c r="L716" s="1764"/>
      <c r="M716" s="1765"/>
      <c r="N716" s="1765"/>
      <c r="O716" s="1765"/>
      <c r="P716" s="1765"/>
      <c r="Q716" s="1765"/>
      <c r="W716" t="s">
        <v>2089</v>
      </c>
    </row>
    <row r="717" spans="1:23" ht="13.15" customHeight="1" x14ac:dyDescent="0.2">
      <c r="A717" s="2" t="s">
        <v>2241</v>
      </c>
      <c r="B717" s="2">
        <f t="shared" si="22"/>
        <v>2019</v>
      </c>
      <c r="C717" s="2" t="str">
        <f t="shared" si="23"/>
        <v>EC101</v>
      </c>
      <c r="D717" s="2">
        <v>99</v>
      </c>
      <c r="F717" s="1764"/>
      <c r="G717" s="1764"/>
      <c r="H717" s="1764"/>
      <c r="I717" s="1764"/>
      <c r="J717" s="1764"/>
      <c r="K717" s="1764"/>
      <c r="L717" s="1764"/>
      <c r="M717" s="1765"/>
      <c r="N717" s="1765"/>
      <c r="O717" s="1765"/>
      <c r="P717" s="1765"/>
      <c r="Q717" s="1765"/>
      <c r="W717" t="s">
        <v>2089</v>
      </c>
    </row>
    <row r="718" spans="1:23" ht="13.15" customHeight="1" x14ac:dyDescent="0.2">
      <c r="A718" s="2" t="s">
        <v>2241</v>
      </c>
      <c r="B718" s="2">
        <f t="shared" si="22"/>
        <v>2019</v>
      </c>
      <c r="C718" s="2" t="str">
        <f t="shared" si="23"/>
        <v>EC101</v>
      </c>
      <c r="D718" s="2">
        <v>100</v>
      </c>
      <c r="F718" s="1764"/>
      <c r="G718" s="1764"/>
      <c r="H718" s="1764"/>
      <c r="I718" s="1764"/>
      <c r="J718" s="1764"/>
      <c r="K718" s="1764"/>
      <c r="L718" s="1764"/>
      <c r="M718" s="1765"/>
      <c r="N718" s="1765"/>
      <c r="O718" s="1765"/>
      <c r="P718" s="1765"/>
      <c r="Q718" s="1765"/>
      <c r="W718" t="s">
        <v>2089</v>
      </c>
    </row>
    <row r="719" spans="1:23" ht="13.15" customHeight="1" x14ac:dyDescent="0.2">
      <c r="A719" s="2" t="s">
        <v>2241</v>
      </c>
      <c r="B719" s="2">
        <f t="shared" si="22"/>
        <v>2019</v>
      </c>
      <c r="C719" s="2" t="str">
        <f t="shared" si="23"/>
        <v>EC101</v>
      </c>
      <c r="D719" s="2">
        <v>101</v>
      </c>
      <c r="F719" s="1764"/>
      <c r="G719" s="1764"/>
      <c r="H719" s="1764"/>
      <c r="I719" s="1764"/>
      <c r="J719" s="1764"/>
      <c r="K719" s="1764"/>
      <c r="L719" s="1764"/>
      <c r="M719" s="1765"/>
      <c r="N719" s="1765"/>
      <c r="O719" s="1765"/>
      <c r="P719" s="1765"/>
      <c r="Q719" s="1765"/>
      <c r="W719" t="s">
        <v>2089</v>
      </c>
    </row>
    <row r="720" spans="1:23" ht="13.15" customHeight="1" x14ac:dyDescent="0.2">
      <c r="A720" s="2" t="s">
        <v>2241</v>
      </c>
      <c r="B720" s="2">
        <f t="shared" si="22"/>
        <v>2019</v>
      </c>
      <c r="C720" s="2" t="str">
        <f t="shared" si="23"/>
        <v>EC101</v>
      </c>
      <c r="D720" s="2">
        <v>102</v>
      </c>
      <c r="F720" s="1764"/>
      <c r="G720" s="1764"/>
      <c r="H720" s="1764"/>
      <c r="I720" s="1764"/>
      <c r="J720" s="1764"/>
      <c r="K720" s="1764"/>
      <c r="L720" s="1764"/>
      <c r="M720" s="1765"/>
      <c r="N720" s="1765"/>
      <c r="O720" s="1765"/>
      <c r="P720" s="1765"/>
      <c r="Q720" s="1765"/>
      <c r="W720" t="s">
        <v>2089</v>
      </c>
    </row>
    <row r="721" spans="1:23" ht="13.15" customHeight="1" x14ac:dyDescent="0.2">
      <c r="A721" s="2" t="s">
        <v>2241</v>
      </c>
      <c r="B721" s="2">
        <f t="shared" si="22"/>
        <v>2019</v>
      </c>
      <c r="C721" s="2" t="str">
        <f t="shared" si="23"/>
        <v>EC101</v>
      </c>
      <c r="D721" s="2">
        <v>103</v>
      </c>
      <c r="F721" s="1764"/>
      <c r="G721" s="1764"/>
      <c r="H721" s="1764"/>
      <c r="I721" s="1764"/>
      <c r="J721" s="1764"/>
      <c r="K721" s="1764"/>
      <c r="L721" s="1764"/>
      <c r="M721" s="1765"/>
      <c r="N721" s="1765"/>
      <c r="O721" s="1765"/>
      <c r="P721" s="1765"/>
      <c r="Q721" s="1765"/>
      <c r="W721" t="s">
        <v>2089</v>
      </c>
    </row>
    <row r="722" spans="1:23" ht="13.15" customHeight="1" x14ac:dyDescent="0.2">
      <c r="A722" s="2" t="s">
        <v>2241</v>
      </c>
      <c r="B722" s="2">
        <f t="shared" si="22"/>
        <v>2019</v>
      </c>
      <c r="C722" s="2" t="str">
        <f t="shared" si="23"/>
        <v>EC101</v>
      </c>
      <c r="D722" s="2">
        <v>104</v>
      </c>
      <c r="F722" s="1764"/>
      <c r="G722" s="1764"/>
      <c r="H722" s="1764"/>
      <c r="I722" s="1764"/>
      <c r="J722" s="1764"/>
      <c r="K722" s="1764"/>
      <c r="L722" s="1764"/>
      <c r="M722" s="1765"/>
      <c r="N722" s="1765"/>
      <c r="O722" s="1765"/>
      <c r="P722" s="1765"/>
      <c r="Q722" s="1765"/>
      <c r="W722" t="s">
        <v>2089</v>
      </c>
    </row>
    <row r="723" spans="1:23" ht="13.15" customHeight="1" x14ac:dyDescent="0.2">
      <c r="A723" s="2" t="s">
        <v>2241</v>
      </c>
      <c r="B723" s="2">
        <f t="shared" si="22"/>
        <v>2019</v>
      </c>
      <c r="C723" s="2" t="str">
        <f t="shared" si="23"/>
        <v>EC101</v>
      </c>
      <c r="D723" s="2">
        <v>105</v>
      </c>
      <c r="F723" s="1764"/>
      <c r="G723" s="1764"/>
      <c r="H723" s="1764"/>
      <c r="I723" s="1764"/>
      <c r="J723" s="1764"/>
      <c r="K723" s="1764"/>
      <c r="L723" s="1764"/>
      <c r="M723" s="1765"/>
      <c r="N723" s="1765"/>
      <c r="O723" s="1765"/>
      <c r="P723" s="1765"/>
      <c r="Q723" s="1765"/>
      <c r="W723" t="s">
        <v>2089</v>
      </c>
    </row>
    <row r="724" spans="1:23" ht="13.15" customHeight="1" x14ac:dyDescent="0.2">
      <c r="A724" s="2" t="s">
        <v>2241</v>
      </c>
      <c r="B724" s="2">
        <f t="shared" si="22"/>
        <v>2019</v>
      </c>
      <c r="C724" s="2" t="str">
        <f t="shared" si="23"/>
        <v>EC101</v>
      </c>
      <c r="D724" s="2">
        <v>106</v>
      </c>
      <c r="F724" s="1764"/>
      <c r="G724" s="1764"/>
      <c r="H724" s="1764"/>
      <c r="I724" s="1764"/>
      <c r="J724" s="1764"/>
      <c r="K724" s="1764"/>
      <c r="L724" s="1764"/>
      <c r="M724" s="1765"/>
      <c r="N724" s="1765"/>
      <c r="O724" s="1765"/>
      <c r="P724" s="1765"/>
      <c r="Q724" s="1765"/>
      <c r="W724" t="s">
        <v>2089</v>
      </c>
    </row>
    <row r="725" spans="1:23" ht="13.15" customHeight="1" x14ac:dyDescent="0.2">
      <c r="A725" s="2" t="s">
        <v>2241</v>
      </c>
      <c r="B725" s="2">
        <f t="shared" si="22"/>
        <v>2019</v>
      </c>
      <c r="C725" s="2" t="str">
        <f t="shared" si="23"/>
        <v>EC101</v>
      </c>
      <c r="D725" s="2">
        <v>107</v>
      </c>
      <c r="F725" s="1764"/>
      <c r="G725" s="1764"/>
      <c r="H725" s="1764"/>
      <c r="I725" s="1764"/>
      <c r="J725" s="1764"/>
      <c r="K725" s="1764"/>
      <c r="L725" s="1764"/>
      <c r="M725" s="1765"/>
      <c r="N725" s="1765"/>
      <c r="O725" s="1765"/>
      <c r="P725" s="1765"/>
      <c r="Q725" s="1765"/>
      <c r="W725" t="s">
        <v>2089</v>
      </c>
    </row>
    <row r="726" spans="1:23" ht="13.15" customHeight="1" x14ac:dyDescent="0.2">
      <c r="A726" s="2" t="s">
        <v>2241</v>
      </c>
      <c r="B726" s="2">
        <f t="shared" si="22"/>
        <v>2019</v>
      </c>
      <c r="C726" s="2" t="str">
        <f t="shared" si="23"/>
        <v>EC101</v>
      </c>
      <c r="D726" s="2">
        <v>108</v>
      </c>
      <c r="F726" s="1764"/>
      <c r="G726" s="1764"/>
      <c r="H726" s="1764"/>
      <c r="I726" s="1764"/>
      <c r="J726" s="1764"/>
      <c r="K726" s="1764"/>
      <c r="L726" s="1764"/>
      <c r="M726" s="1765"/>
      <c r="N726" s="1765"/>
      <c r="O726" s="1765"/>
      <c r="P726" s="1765"/>
      <c r="Q726" s="1765"/>
      <c r="W726" t="s">
        <v>2089</v>
      </c>
    </row>
    <row r="727" spans="1:23" ht="13.15" customHeight="1" x14ac:dyDescent="0.2">
      <c r="A727" s="2" t="s">
        <v>2241</v>
      </c>
      <c r="B727" s="2">
        <f t="shared" si="22"/>
        <v>2019</v>
      </c>
      <c r="C727" s="2" t="str">
        <f t="shared" si="23"/>
        <v>EC101</v>
      </c>
      <c r="D727" s="2">
        <v>109</v>
      </c>
      <c r="F727" s="1764"/>
      <c r="G727" s="1764"/>
      <c r="H727" s="1764"/>
      <c r="I727" s="1764"/>
      <c r="J727" s="1764"/>
      <c r="K727" s="1764"/>
      <c r="L727" s="1764"/>
      <c r="M727" s="1765"/>
      <c r="N727" s="1765"/>
      <c r="O727" s="1765"/>
      <c r="P727" s="1765"/>
      <c r="Q727" s="1765"/>
      <c r="W727" t="s">
        <v>2089</v>
      </c>
    </row>
    <row r="728" spans="1:23" ht="13.15" customHeight="1" x14ac:dyDescent="0.2">
      <c r="A728" s="2" t="s">
        <v>2241</v>
      </c>
      <c r="B728" s="2">
        <f t="shared" si="22"/>
        <v>2019</v>
      </c>
      <c r="C728" s="2" t="str">
        <f t="shared" si="23"/>
        <v>EC101</v>
      </c>
      <c r="D728" s="2">
        <v>110</v>
      </c>
      <c r="F728" s="1764"/>
      <c r="G728" s="1764"/>
      <c r="H728" s="1764"/>
      <c r="I728" s="1764"/>
      <c r="J728" s="1764"/>
      <c r="K728" s="1764"/>
      <c r="L728" s="1764"/>
      <c r="M728" s="1765"/>
      <c r="N728" s="1765"/>
      <c r="O728" s="1765"/>
      <c r="P728" s="1765"/>
      <c r="Q728" s="1765"/>
      <c r="W728" t="s">
        <v>2089</v>
      </c>
    </row>
    <row r="729" spans="1:23" ht="13.15" customHeight="1" x14ac:dyDescent="0.2">
      <c r="A729" s="2" t="s">
        <v>2241</v>
      </c>
      <c r="B729" s="2">
        <f t="shared" si="22"/>
        <v>2019</v>
      </c>
      <c r="C729" s="2" t="str">
        <f t="shared" si="23"/>
        <v>EC101</v>
      </c>
      <c r="D729" s="2">
        <v>111</v>
      </c>
      <c r="F729" s="1764"/>
      <c r="G729" s="1764"/>
      <c r="H729" s="1764"/>
      <c r="I729" s="1764"/>
      <c r="J729" s="1764"/>
      <c r="K729" s="1764"/>
      <c r="L729" s="1764"/>
      <c r="M729" s="1765"/>
      <c r="N729" s="1765"/>
      <c r="O729" s="1765"/>
      <c r="P729" s="1765"/>
      <c r="Q729" s="1765"/>
      <c r="W729" t="s">
        <v>2089</v>
      </c>
    </row>
    <row r="730" spans="1:23" ht="13.15" customHeight="1" x14ac:dyDescent="0.2">
      <c r="A730" s="2" t="s">
        <v>2241</v>
      </c>
      <c r="B730" s="2">
        <f t="shared" si="22"/>
        <v>2019</v>
      </c>
      <c r="C730" s="2" t="str">
        <f t="shared" si="23"/>
        <v>EC101</v>
      </c>
      <c r="D730" s="2">
        <v>112</v>
      </c>
      <c r="F730" s="1764"/>
      <c r="G730" s="1764"/>
      <c r="H730" s="1764"/>
      <c r="I730" s="1764"/>
      <c r="J730" s="1764"/>
      <c r="K730" s="1764"/>
      <c r="L730" s="1764"/>
      <c r="M730" s="1765"/>
      <c r="N730" s="1765"/>
      <c r="O730" s="1765"/>
      <c r="P730" s="1765"/>
      <c r="Q730" s="1765"/>
      <c r="W730" t="s">
        <v>2089</v>
      </c>
    </row>
    <row r="731" spans="1:23" ht="13.15" customHeight="1" x14ac:dyDescent="0.2">
      <c r="A731" s="2" t="s">
        <v>2241</v>
      </c>
      <c r="B731" s="2">
        <f t="shared" si="22"/>
        <v>2019</v>
      </c>
      <c r="C731" s="2" t="str">
        <f t="shared" si="23"/>
        <v>EC101</v>
      </c>
      <c r="D731" s="2">
        <v>113</v>
      </c>
      <c r="F731" s="1764"/>
      <c r="G731" s="1764"/>
      <c r="H731" s="1764"/>
      <c r="I731" s="1764"/>
      <c r="J731" s="1764"/>
      <c r="K731" s="1764"/>
      <c r="L731" s="1764"/>
      <c r="M731" s="1765"/>
      <c r="N731" s="1765"/>
      <c r="O731" s="1765"/>
      <c r="P731" s="1765"/>
      <c r="Q731" s="1765"/>
      <c r="W731" t="s">
        <v>2089</v>
      </c>
    </row>
    <row r="732" spans="1:23" ht="13.15" customHeight="1" x14ac:dyDescent="0.2">
      <c r="A732" s="2" t="s">
        <v>2241</v>
      </c>
      <c r="B732" s="2">
        <f t="shared" si="22"/>
        <v>2019</v>
      </c>
      <c r="C732" s="2" t="str">
        <f t="shared" si="23"/>
        <v>EC101</v>
      </c>
      <c r="D732" s="2">
        <v>114</v>
      </c>
      <c r="F732" s="1764"/>
      <c r="G732" s="1764"/>
      <c r="H732" s="1764"/>
      <c r="I732" s="1764"/>
      <c r="J732" s="1764"/>
      <c r="K732" s="1764"/>
      <c r="L732" s="1764"/>
      <c r="M732" s="1765"/>
      <c r="N732" s="1765"/>
      <c r="O732" s="1765"/>
      <c r="P732" s="1765"/>
      <c r="Q732" s="1765"/>
      <c r="W732" t="s">
        <v>2089</v>
      </c>
    </row>
    <row r="733" spans="1:23" ht="13.15" customHeight="1" x14ac:dyDescent="0.2">
      <c r="A733" s="2" t="s">
        <v>2241</v>
      </c>
      <c r="B733" s="2">
        <f t="shared" si="22"/>
        <v>2019</v>
      </c>
      <c r="C733" s="2" t="str">
        <f t="shared" si="23"/>
        <v>EC101</v>
      </c>
      <c r="D733" s="2">
        <v>115</v>
      </c>
      <c r="F733" s="1764"/>
      <c r="G733" s="1764"/>
      <c r="H733" s="1764"/>
      <c r="I733" s="1764"/>
      <c r="J733" s="1764"/>
      <c r="K733" s="1764"/>
      <c r="L733" s="1764"/>
      <c r="M733" s="1765"/>
      <c r="N733" s="1765"/>
      <c r="O733" s="1765"/>
      <c r="P733" s="1765"/>
      <c r="Q733" s="1765"/>
      <c r="W733" t="s">
        <v>2089</v>
      </c>
    </row>
    <row r="734" spans="1:23" ht="13.15" customHeight="1" x14ac:dyDescent="0.2">
      <c r="A734" s="2" t="s">
        <v>2241</v>
      </c>
      <c r="B734" s="2">
        <f t="shared" si="22"/>
        <v>2019</v>
      </c>
      <c r="C734" s="2" t="str">
        <f t="shared" si="23"/>
        <v>EC101</v>
      </c>
      <c r="D734" s="2">
        <v>116</v>
      </c>
      <c r="F734" s="1764"/>
      <c r="G734" s="1764"/>
      <c r="H734" s="1764"/>
      <c r="I734" s="1764"/>
      <c r="J734" s="1764"/>
      <c r="K734" s="1764"/>
      <c r="L734" s="1764"/>
      <c r="M734" s="1765"/>
      <c r="N734" s="1765"/>
      <c r="O734" s="1765"/>
      <c r="P734" s="1765"/>
      <c r="Q734" s="1765"/>
      <c r="W734" t="s">
        <v>2089</v>
      </c>
    </row>
    <row r="735" spans="1:23" ht="13.15" customHeight="1" x14ac:dyDescent="0.2">
      <c r="A735" s="2" t="s">
        <v>2241</v>
      </c>
      <c r="B735" s="2">
        <f t="shared" si="22"/>
        <v>2019</v>
      </c>
      <c r="C735" s="2" t="str">
        <f t="shared" si="23"/>
        <v>EC101</v>
      </c>
      <c r="D735" s="2">
        <v>117</v>
      </c>
      <c r="F735" s="1764"/>
      <c r="G735" s="1764"/>
      <c r="H735" s="1764"/>
      <c r="I735" s="1764"/>
      <c r="J735" s="1764"/>
      <c r="K735" s="1764"/>
      <c r="L735" s="1764"/>
      <c r="M735" s="1765"/>
      <c r="N735" s="1765"/>
      <c r="O735" s="1765"/>
      <c r="P735" s="1765"/>
      <c r="Q735" s="1765"/>
      <c r="W735" t="s">
        <v>2089</v>
      </c>
    </row>
    <row r="736" spans="1:23" ht="13.15" customHeight="1" x14ac:dyDescent="0.2">
      <c r="A736" s="2" t="s">
        <v>2241</v>
      </c>
      <c r="B736" s="2">
        <f t="shared" si="22"/>
        <v>2019</v>
      </c>
      <c r="C736" s="2" t="str">
        <f t="shared" si="23"/>
        <v>EC101</v>
      </c>
      <c r="D736" s="2">
        <v>118</v>
      </c>
      <c r="F736" s="1764"/>
      <c r="G736" s="1764"/>
      <c r="H736" s="1764"/>
      <c r="I736" s="1764"/>
      <c r="J736" s="1764"/>
      <c r="K736" s="1764"/>
      <c r="L736" s="1764"/>
      <c r="M736" s="1765"/>
      <c r="N736" s="1765"/>
      <c r="O736" s="1765"/>
      <c r="P736" s="1765"/>
      <c r="Q736" s="1765"/>
      <c r="W736" t="s">
        <v>2089</v>
      </c>
    </row>
    <row r="737" spans="1:23" ht="13.15" customHeight="1" x14ac:dyDescent="0.2">
      <c r="A737" s="2" t="s">
        <v>2241</v>
      </c>
      <c r="B737" s="2">
        <f t="shared" si="22"/>
        <v>2019</v>
      </c>
      <c r="C737" s="2" t="str">
        <f t="shared" si="23"/>
        <v>EC101</v>
      </c>
      <c r="D737" s="2">
        <v>119</v>
      </c>
      <c r="F737" s="1764"/>
      <c r="G737" s="1764"/>
      <c r="H737" s="1764"/>
      <c r="I737" s="1764"/>
      <c r="J737" s="1764"/>
      <c r="K737" s="1764"/>
      <c r="L737" s="1764"/>
      <c r="M737" s="1765"/>
      <c r="N737" s="1765"/>
      <c r="O737" s="1765"/>
      <c r="P737" s="1765"/>
      <c r="Q737" s="1765"/>
      <c r="W737" t="s">
        <v>2089</v>
      </c>
    </row>
    <row r="738" spans="1:23" ht="13.15" customHeight="1" x14ac:dyDescent="0.2">
      <c r="A738" s="2" t="s">
        <v>2241</v>
      </c>
      <c r="B738" s="2">
        <f t="shared" si="22"/>
        <v>2019</v>
      </c>
      <c r="C738" s="2" t="str">
        <f t="shared" si="23"/>
        <v>EC101</v>
      </c>
      <c r="D738" s="2">
        <v>120</v>
      </c>
      <c r="F738" s="1764"/>
      <c r="G738" s="1764"/>
      <c r="H738" s="1764"/>
      <c r="I738" s="1764"/>
      <c r="J738" s="1764"/>
      <c r="K738" s="1764"/>
      <c r="L738" s="1764"/>
      <c r="M738" s="1765"/>
      <c r="N738" s="1765"/>
      <c r="O738" s="1765"/>
      <c r="P738" s="1765"/>
      <c r="Q738" s="1765"/>
      <c r="W738" t="s">
        <v>2089</v>
      </c>
    </row>
    <row r="739" spans="1:23" ht="13.15" customHeight="1" x14ac:dyDescent="0.2">
      <c r="A739" s="2" t="s">
        <v>2241</v>
      </c>
      <c r="B739" s="2">
        <f t="shared" si="22"/>
        <v>2019</v>
      </c>
      <c r="C739" s="2" t="str">
        <f t="shared" si="23"/>
        <v>EC101</v>
      </c>
      <c r="D739" s="2">
        <v>121</v>
      </c>
      <c r="F739" s="1764"/>
      <c r="G739" s="1764"/>
      <c r="H739" s="1764"/>
      <c r="I739" s="1764"/>
      <c r="J739" s="1764"/>
      <c r="K739" s="1764"/>
      <c r="L739" s="1764"/>
      <c r="M739" s="1765"/>
      <c r="N739" s="1765"/>
      <c r="O739" s="1765"/>
      <c r="P739" s="1765"/>
      <c r="Q739" s="1765"/>
      <c r="W739" t="s">
        <v>2089</v>
      </c>
    </row>
    <row r="740" spans="1:23" ht="13.15" customHeight="1" x14ac:dyDescent="0.2">
      <c r="A740" s="2" t="s">
        <v>2241</v>
      </c>
      <c r="B740" s="2">
        <f t="shared" si="22"/>
        <v>2019</v>
      </c>
      <c r="C740" s="2" t="str">
        <f t="shared" si="23"/>
        <v>EC101</v>
      </c>
      <c r="D740" s="2">
        <v>122</v>
      </c>
      <c r="F740" s="1764"/>
      <c r="G740" s="1764"/>
      <c r="H740" s="1764"/>
      <c r="I740" s="1764"/>
      <c r="J740" s="1764"/>
      <c r="K740" s="1764"/>
      <c r="L740" s="1764"/>
      <c r="M740" s="1765"/>
      <c r="N740" s="1765"/>
      <c r="O740" s="1765"/>
      <c r="P740" s="1765"/>
      <c r="Q740" s="1765"/>
      <c r="W740" t="s">
        <v>2089</v>
      </c>
    </row>
    <row r="741" spans="1:23" ht="13.15" customHeight="1" x14ac:dyDescent="0.2">
      <c r="A741" s="2" t="s">
        <v>2241</v>
      </c>
      <c r="B741" s="2">
        <f t="shared" si="22"/>
        <v>2019</v>
      </c>
      <c r="C741" s="2" t="str">
        <f t="shared" si="23"/>
        <v>EC101</v>
      </c>
      <c r="D741" s="2">
        <v>123</v>
      </c>
      <c r="F741" s="1764"/>
      <c r="G741" s="1764"/>
      <c r="H741" s="1764"/>
      <c r="I741" s="1764"/>
      <c r="J741" s="1764"/>
      <c r="K741" s="1764"/>
      <c r="L741" s="1764"/>
      <c r="M741" s="1765"/>
      <c r="N741" s="1765"/>
      <c r="O741" s="1765"/>
      <c r="P741" s="1765"/>
      <c r="Q741" s="1765"/>
      <c r="W741" t="s">
        <v>2089</v>
      </c>
    </row>
    <row r="742" spans="1:23" ht="13.15" customHeight="1" x14ac:dyDescent="0.2">
      <c r="A742" s="2" t="s">
        <v>2241</v>
      </c>
      <c r="B742" s="2">
        <f t="shared" si="22"/>
        <v>2019</v>
      </c>
      <c r="C742" s="2" t="str">
        <f t="shared" si="23"/>
        <v>EC101</v>
      </c>
      <c r="D742" s="2">
        <v>124</v>
      </c>
      <c r="F742" s="1764"/>
      <c r="G742" s="1764"/>
      <c r="H742" s="1764"/>
      <c r="I742" s="1764"/>
      <c r="J742" s="1764"/>
      <c r="K742" s="1764"/>
      <c r="L742" s="1764"/>
      <c r="M742" s="1765"/>
      <c r="N742" s="1765"/>
      <c r="O742" s="1765"/>
      <c r="P742" s="1765"/>
      <c r="Q742" s="1765"/>
      <c r="W742" t="s">
        <v>2089</v>
      </c>
    </row>
    <row r="743" spans="1:23" ht="13.15" customHeight="1" x14ac:dyDescent="0.2">
      <c r="A743" s="2" t="s">
        <v>2241</v>
      </c>
      <c r="B743" s="2">
        <f t="shared" si="22"/>
        <v>2019</v>
      </c>
      <c r="C743" s="2" t="str">
        <f t="shared" si="23"/>
        <v>EC101</v>
      </c>
      <c r="D743" s="2">
        <v>125</v>
      </c>
      <c r="F743" s="1764"/>
      <c r="G743" s="1764"/>
      <c r="H743" s="1764"/>
      <c r="I743" s="1764"/>
      <c r="J743" s="1764"/>
      <c r="K743" s="1764"/>
      <c r="L743" s="1764"/>
      <c r="M743" s="1765"/>
      <c r="N743" s="1765"/>
      <c r="O743" s="1765"/>
      <c r="P743" s="1765"/>
      <c r="Q743" s="1765"/>
      <c r="W743" t="s">
        <v>2089</v>
      </c>
    </row>
    <row r="744" spans="1:23" ht="13.15" customHeight="1" x14ac:dyDescent="0.2">
      <c r="A744" s="2" t="s">
        <v>2241</v>
      </c>
      <c r="B744" s="2">
        <f t="shared" si="22"/>
        <v>2019</v>
      </c>
      <c r="C744" s="2" t="str">
        <f t="shared" si="23"/>
        <v>EC101</v>
      </c>
      <c r="D744" s="2">
        <v>126</v>
      </c>
      <c r="F744" s="1764"/>
      <c r="G744" s="1764"/>
      <c r="H744" s="1764"/>
      <c r="I744" s="1764"/>
      <c r="J744" s="1764"/>
      <c r="K744" s="1764"/>
      <c r="L744" s="1764"/>
      <c r="M744" s="1765"/>
      <c r="N744" s="1765"/>
      <c r="O744" s="1765"/>
      <c r="P744" s="1765"/>
      <c r="Q744" s="1765"/>
      <c r="W744" t="s">
        <v>2089</v>
      </c>
    </row>
    <row r="745" spans="1:23" ht="13.15" customHeight="1" x14ac:dyDescent="0.2">
      <c r="A745" s="2" t="s">
        <v>2241</v>
      </c>
      <c r="B745" s="2">
        <f t="shared" si="22"/>
        <v>2019</v>
      </c>
      <c r="C745" s="2" t="str">
        <f t="shared" si="23"/>
        <v>EC101</v>
      </c>
      <c r="D745" s="2">
        <v>127</v>
      </c>
      <c r="F745" s="1764"/>
      <c r="G745" s="1764"/>
      <c r="H745" s="1764"/>
      <c r="I745" s="1764"/>
      <c r="J745" s="1764"/>
      <c r="K745" s="1764"/>
      <c r="L745" s="1764"/>
      <c r="M745" s="1765"/>
      <c r="N745" s="1765"/>
      <c r="O745" s="1765"/>
      <c r="P745" s="1765"/>
      <c r="Q745" s="1765"/>
      <c r="W745" t="s">
        <v>2089</v>
      </c>
    </row>
    <row r="746" spans="1:23" ht="13.15" customHeight="1" x14ac:dyDescent="0.2">
      <c r="A746" s="2" t="s">
        <v>2241</v>
      </c>
      <c r="B746" s="2">
        <f t="shared" si="22"/>
        <v>2019</v>
      </c>
      <c r="C746" s="2" t="str">
        <f t="shared" si="23"/>
        <v>EC101</v>
      </c>
      <c r="D746" s="2">
        <v>128</v>
      </c>
      <c r="F746" s="1764"/>
      <c r="G746" s="1764"/>
      <c r="H746" s="1764"/>
      <c r="I746" s="1764"/>
      <c r="J746" s="1764"/>
      <c r="K746" s="1764"/>
      <c r="L746" s="1764"/>
      <c r="M746" s="1765"/>
      <c r="N746" s="1765"/>
      <c r="O746" s="1765"/>
      <c r="P746" s="1765"/>
      <c r="Q746" s="1765"/>
      <c r="W746" t="s">
        <v>2089</v>
      </c>
    </row>
    <row r="747" spans="1:23" ht="13.15" customHeight="1" x14ac:dyDescent="0.2">
      <c r="A747" s="2" t="s">
        <v>2241</v>
      </c>
      <c r="B747" s="2">
        <f t="shared" si="22"/>
        <v>2019</v>
      </c>
      <c r="C747" s="2" t="str">
        <f t="shared" si="23"/>
        <v>EC101</v>
      </c>
      <c r="D747" s="2">
        <v>129</v>
      </c>
      <c r="F747" s="1764"/>
      <c r="G747" s="1764"/>
      <c r="H747" s="1764"/>
      <c r="I747" s="1764"/>
      <c r="J747" s="1764"/>
      <c r="K747" s="1764"/>
      <c r="L747" s="1764"/>
      <c r="M747" s="1765"/>
      <c r="N747" s="1765"/>
      <c r="O747" s="1765"/>
      <c r="P747" s="1765"/>
      <c r="Q747" s="1765"/>
      <c r="W747" t="s">
        <v>2089</v>
      </c>
    </row>
    <row r="748" spans="1:23" ht="13.15" customHeight="1" x14ac:dyDescent="0.2">
      <c r="A748" s="2" t="s">
        <v>2241</v>
      </c>
      <c r="B748" s="2">
        <f t="shared" si="22"/>
        <v>2019</v>
      </c>
      <c r="C748" s="2" t="str">
        <f t="shared" si="23"/>
        <v>EC101</v>
      </c>
      <c r="D748" s="2">
        <v>130</v>
      </c>
      <c r="F748" s="1764"/>
      <c r="G748" s="1764"/>
      <c r="H748" s="1764"/>
      <c r="I748" s="1764"/>
      <c r="J748" s="1764"/>
      <c r="K748" s="1764"/>
      <c r="L748" s="1764"/>
      <c r="M748" s="1765"/>
      <c r="N748" s="1765"/>
      <c r="O748" s="1765"/>
      <c r="P748" s="1765"/>
      <c r="Q748" s="1765"/>
      <c r="W748" t="s">
        <v>2089</v>
      </c>
    </row>
    <row r="749" spans="1:23" ht="13.15" customHeight="1" x14ac:dyDescent="0.2">
      <c r="A749" s="2" t="s">
        <v>2241</v>
      </c>
      <c r="B749" s="2">
        <f t="shared" si="22"/>
        <v>2019</v>
      </c>
      <c r="C749" s="2" t="str">
        <f t="shared" si="23"/>
        <v>EC101</v>
      </c>
      <c r="D749" s="2">
        <v>131</v>
      </c>
      <c r="F749" s="1764"/>
      <c r="G749" s="1764"/>
      <c r="H749" s="1764"/>
      <c r="I749" s="1764"/>
      <c r="J749" s="1764"/>
      <c r="K749" s="1764"/>
      <c r="L749" s="1764"/>
      <c r="M749" s="1765"/>
      <c r="N749" s="1765"/>
      <c r="O749" s="1765"/>
      <c r="P749" s="1765"/>
      <c r="Q749" s="1765"/>
      <c r="W749" t="s">
        <v>2089</v>
      </c>
    </row>
    <row r="750" spans="1:23" ht="13.15" customHeight="1" x14ac:dyDescent="0.2">
      <c r="A750" s="2" t="s">
        <v>2241</v>
      </c>
      <c r="B750" s="2">
        <f t="shared" si="22"/>
        <v>2019</v>
      </c>
      <c r="C750" s="2" t="str">
        <f t="shared" si="23"/>
        <v>EC101</v>
      </c>
      <c r="D750" s="2">
        <v>132</v>
      </c>
      <c r="F750" s="1764"/>
      <c r="G750" s="1764"/>
      <c r="H750" s="1764"/>
      <c r="I750" s="1764"/>
      <c r="J750" s="1764"/>
      <c r="K750" s="1764"/>
      <c r="L750" s="1764"/>
      <c r="M750" s="1765"/>
      <c r="N750" s="1765"/>
      <c r="O750" s="1765"/>
      <c r="P750" s="1765"/>
      <c r="Q750" s="1765"/>
      <c r="W750" t="s">
        <v>2089</v>
      </c>
    </row>
    <row r="751" spans="1:23" ht="13.15" customHeight="1" x14ac:dyDescent="0.2">
      <c r="A751" s="2" t="s">
        <v>2241</v>
      </c>
      <c r="B751" s="2">
        <f t="shared" si="22"/>
        <v>2019</v>
      </c>
      <c r="C751" s="2" t="str">
        <f t="shared" si="23"/>
        <v>EC101</v>
      </c>
      <c r="D751" s="2">
        <v>133</v>
      </c>
      <c r="F751" s="1764"/>
      <c r="G751" s="1764"/>
      <c r="H751" s="1764"/>
      <c r="I751" s="1764"/>
      <c r="J751" s="1764"/>
      <c r="K751" s="1764"/>
      <c r="L751" s="1764"/>
      <c r="M751" s="1765"/>
      <c r="N751" s="1765"/>
      <c r="O751" s="1765"/>
      <c r="P751" s="1765"/>
      <c r="Q751" s="1765"/>
      <c r="W751" t="s">
        <v>2089</v>
      </c>
    </row>
    <row r="752" spans="1:23" ht="13.15" customHeight="1" x14ac:dyDescent="0.2">
      <c r="A752" s="2" t="s">
        <v>2241</v>
      </c>
      <c r="B752" s="2">
        <f t="shared" si="22"/>
        <v>2019</v>
      </c>
      <c r="C752" s="2" t="str">
        <f t="shared" si="23"/>
        <v>EC101</v>
      </c>
      <c r="D752" s="2">
        <v>134</v>
      </c>
      <c r="F752" s="1764"/>
      <c r="G752" s="1764"/>
      <c r="H752" s="1764"/>
      <c r="I752" s="1764"/>
      <c r="J752" s="1764"/>
      <c r="K752" s="1764"/>
      <c r="L752" s="1764"/>
      <c r="M752" s="1765"/>
      <c r="N752" s="1765"/>
      <c r="O752" s="1765"/>
      <c r="P752" s="1765"/>
      <c r="Q752" s="1765"/>
      <c r="W752" t="s">
        <v>2089</v>
      </c>
    </row>
    <row r="753" spans="1:23" ht="13.15" customHeight="1" x14ac:dyDescent="0.2">
      <c r="A753" s="2" t="s">
        <v>2241</v>
      </c>
      <c r="B753" s="2">
        <f t="shared" si="22"/>
        <v>2019</v>
      </c>
      <c r="C753" s="2" t="str">
        <f t="shared" si="23"/>
        <v>EC101</v>
      </c>
      <c r="D753" s="2">
        <v>135</v>
      </c>
      <c r="F753" s="1764"/>
      <c r="G753" s="1764"/>
      <c r="H753" s="1764"/>
      <c r="I753" s="1764"/>
      <c r="J753" s="1764"/>
      <c r="K753" s="1764"/>
      <c r="L753" s="1764"/>
      <c r="M753" s="1765"/>
      <c r="N753" s="1765"/>
      <c r="O753" s="1765"/>
      <c r="P753" s="1765"/>
      <c r="Q753" s="1765"/>
      <c r="W753" t="s">
        <v>2089</v>
      </c>
    </row>
    <row r="754" spans="1:23" ht="13.15" customHeight="1" x14ac:dyDescent="0.2">
      <c r="A754" s="2" t="s">
        <v>2241</v>
      </c>
      <c r="B754" s="2">
        <f t="shared" si="22"/>
        <v>2019</v>
      </c>
      <c r="C754" s="2" t="str">
        <f t="shared" si="23"/>
        <v>EC101</v>
      </c>
      <c r="D754" s="2">
        <v>136</v>
      </c>
      <c r="F754" s="1764"/>
      <c r="G754" s="1764"/>
      <c r="H754" s="1764"/>
      <c r="I754" s="1764"/>
      <c r="J754" s="1764"/>
      <c r="K754" s="1764"/>
      <c r="L754" s="1764"/>
      <c r="M754" s="1765"/>
      <c r="N754" s="1765"/>
      <c r="O754" s="1765"/>
      <c r="P754" s="1765"/>
      <c r="Q754" s="1765"/>
      <c r="W754" t="s">
        <v>2089</v>
      </c>
    </row>
    <row r="755" spans="1:23" ht="13.15" customHeight="1" x14ac:dyDescent="0.2">
      <c r="A755" s="2" t="s">
        <v>2241</v>
      </c>
      <c r="B755" s="2">
        <f t="shared" si="22"/>
        <v>2019</v>
      </c>
      <c r="C755" s="2" t="str">
        <f t="shared" si="23"/>
        <v>EC101</v>
      </c>
      <c r="D755" s="2">
        <v>137</v>
      </c>
      <c r="F755" s="1764"/>
      <c r="G755" s="1764"/>
      <c r="H755" s="1764"/>
      <c r="I755" s="1764"/>
      <c r="J755" s="1764"/>
      <c r="K755" s="1764"/>
      <c r="L755" s="1764"/>
      <c r="M755" s="1765"/>
      <c r="N755" s="1765"/>
      <c r="O755" s="1765"/>
      <c r="P755" s="1765"/>
      <c r="Q755" s="1765"/>
      <c r="W755" t="s">
        <v>2089</v>
      </c>
    </row>
    <row r="756" spans="1:23" ht="13.15" customHeight="1" x14ac:dyDescent="0.2">
      <c r="A756" s="2" t="s">
        <v>2241</v>
      </c>
      <c r="B756" s="2">
        <f t="shared" si="22"/>
        <v>2019</v>
      </c>
      <c r="C756" s="2" t="str">
        <f t="shared" si="23"/>
        <v>EC101</v>
      </c>
      <c r="D756" s="2">
        <v>138</v>
      </c>
      <c r="F756" s="1764"/>
      <c r="G756" s="1764"/>
      <c r="H756" s="1764"/>
      <c r="I756" s="1764"/>
      <c r="J756" s="1764"/>
      <c r="K756" s="1764"/>
      <c r="L756" s="1764"/>
      <c r="M756" s="1765"/>
      <c r="N756" s="1765"/>
      <c r="O756" s="1765"/>
      <c r="P756" s="1765"/>
      <c r="Q756" s="1765"/>
      <c r="W756" t="s">
        <v>2089</v>
      </c>
    </row>
    <row r="757" spans="1:23" ht="13.15" customHeight="1" x14ac:dyDescent="0.2">
      <c r="A757" s="2" t="s">
        <v>2241</v>
      </c>
      <c r="B757" s="2">
        <f t="shared" si="22"/>
        <v>2019</v>
      </c>
      <c r="C757" s="2" t="str">
        <f t="shared" si="23"/>
        <v>EC101</v>
      </c>
      <c r="D757" s="2">
        <v>139</v>
      </c>
      <c r="F757" s="1764"/>
      <c r="G757" s="1764"/>
      <c r="H757" s="1764"/>
      <c r="I757" s="1764"/>
      <c r="J757" s="1764"/>
      <c r="K757" s="1764"/>
      <c r="L757" s="1764"/>
      <c r="M757" s="1765"/>
      <c r="N757" s="1765"/>
      <c r="O757" s="1765"/>
      <c r="P757" s="1765"/>
      <c r="Q757" s="1765"/>
      <c r="W757" t="s">
        <v>2089</v>
      </c>
    </row>
    <row r="758" spans="1:23" ht="13.15" customHeight="1" x14ac:dyDescent="0.2">
      <c r="A758" s="2" t="s">
        <v>2241</v>
      </c>
      <c r="B758" s="2">
        <f t="shared" si="22"/>
        <v>2019</v>
      </c>
      <c r="C758" s="2" t="str">
        <f t="shared" si="23"/>
        <v>EC101</v>
      </c>
      <c r="D758" s="2">
        <v>140</v>
      </c>
      <c r="F758" s="1764"/>
      <c r="G758" s="1764"/>
      <c r="H758" s="1764"/>
      <c r="I758" s="1764"/>
      <c r="J758" s="1764"/>
      <c r="K758" s="1764"/>
      <c r="L758" s="1764"/>
      <c r="M758" s="1765"/>
      <c r="N758" s="1765"/>
      <c r="O758" s="1765"/>
      <c r="P758" s="1765"/>
      <c r="Q758" s="1765"/>
      <c r="W758" t="s">
        <v>2089</v>
      </c>
    </row>
    <row r="759" spans="1:23" ht="13.15" customHeight="1" x14ac:dyDescent="0.2">
      <c r="A759" s="2" t="s">
        <v>2241</v>
      </c>
      <c r="B759" s="2">
        <f t="shared" si="22"/>
        <v>2019</v>
      </c>
      <c r="C759" s="2" t="str">
        <f t="shared" si="23"/>
        <v>EC101</v>
      </c>
      <c r="D759" s="2">
        <v>141</v>
      </c>
      <c r="F759" s="1764"/>
      <c r="G759" s="1764"/>
      <c r="H759" s="1764"/>
      <c r="I759" s="1764"/>
      <c r="J759" s="1764"/>
      <c r="K759" s="1764"/>
      <c r="L759" s="1764"/>
      <c r="M759" s="1765"/>
      <c r="N759" s="1765"/>
      <c r="O759" s="1765"/>
      <c r="P759" s="1765"/>
      <c r="Q759" s="1765"/>
      <c r="W759" t="s">
        <v>2089</v>
      </c>
    </row>
    <row r="760" spans="1:23" ht="13.15" customHeight="1" x14ac:dyDescent="0.2">
      <c r="A760" s="2" t="s">
        <v>2241</v>
      </c>
      <c r="B760" s="2">
        <f t="shared" si="22"/>
        <v>2019</v>
      </c>
      <c r="C760" s="2" t="str">
        <f t="shared" si="23"/>
        <v>EC101</v>
      </c>
      <c r="D760" s="2">
        <v>142</v>
      </c>
      <c r="F760" s="1764"/>
      <c r="G760" s="1764"/>
      <c r="H760" s="1764"/>
      <c r="I760" s="1764"/>
      <c r="J760" s="1764"/>
      <c r="K760" s="1764"/>
      <c r="L760" s="1764"/>
      <c r="M760" s="1765"/>
      <c r="N760" s="1765"/>
      <c r="O760" s="1765"/>
      <c r="P760" s="1765"/>
      <c r="Q760" s="1765"/>
      <c r="W760" t="s">
        <v>2089</v>
      </c>
    </row>
    <row r="761" spans="1:23" ht="13.15" customHeight="1" x14ac:dyDescent="0.2">
      <c r="A761" s="2" t="s">
        <v>2241</v>
      </c>
      <c r="B761" s="2">
        <f t="shared" si="22"/>
        <v>2019</v>
      </c>
      <c r="C761" s="2" t="str">
        <f t="shared" si="23"/>
        <v>EC101</v>
      </c>
      <c r="D761" s="2">
        <v>143</v>
      </c>
      <c r="F761" s="1764"/>
      <c r="G761" s="1764"/>
      <c r="H761" s="1764"/>
      <c r="I761" s="1764"/>
      <c r="J761" s="1764"/>
      <c r="K761" s="1764"/>
      <c r="L761" s="1764"/>
      <c r="M761" s="1765"/>
      <c r="N761" s="1765"/>
      <c r="O761" s="1765"/>
      <c r="P761" s="1765"/>
      <c r="Q761" s="1765"/>
      <c r="W761" t="s">
        <v>2089</v>
      </c>
    </row>
    <row r="762" spans="1:23" ht="13.15" customHeight="1" x14ac:dyDescent="0.2">
      <c r="A762" s="2" t="s">
        <v>2241</v>
      </c>
      <c r="B762" s="2">
        <f t="shared" si="22"/>
        <v>2019</v>
      </c>
      <c r="C762" s="2" t="str">
        <f t="shared" si="23"/>
        <v>EC101</v>
      </c>
      <c r="D762" s="2">
        <v>144</v>
      </c>
      <c r="F762" s="1764"/>
      <c r="G762" s="1764"/>
      <c r="H762" s="1764"/>
      <c r="I762" s="1764"/>
      <c r="J762" s="1764"/>
      <c r="K762" s="1764"/>
      <c r="L762" s="1764"/>
      <c r="M762" s="1765"/>
      <c r="N762" s="1765"/>
      <c r="O762" s="1765"/>
      <c r="P762" s="1765"/>
      <c r="Q762" s="1765"/>
      <c r="W762" t="s">
        <v>2089</v>
      </c>
    </row>
    <row r="763" spans="1:23" ht="13.15" customHeight="1" x14ac:dyDescent="0.2">
      <c r="A763" s="2" t="s">
        <v>2241</v>
      </c>
      <c r="B763" s="2">
        <f t="shared" si="22"/>
        <v>2019</v>
      </c>
      <c r="C763" s="2" t="str">
        <f t="shared" si="23"/>
        <v>EC101</v>
      </c>
      <c r="D763" s="2">
        <v>145</v>
      </c>
      <c r="F763" s="1764"/>
      <c r="G763" s="1764"/>
      <c r="H763" s="1764"/>
      <c r="I763" s="1764"/>
      <c r="J763" s="1764"/>
      <c r="K763" s="1764"/>
      <c r="L763" s="1764"/>
      <c r="M763" s="1765"/>
      <c r="N763" s="1765"/>
      <c r="O763" s="1765"/>
      <c r="P763" s="1765"/>
      <c r="Q763" s="1765"/>
      <c r="W763" t="s">
        <v>2089</v>
      </c>
    </row>
    <row r="764" spans="1:23" ht="13.15" customHeight="1" x14ac:dyDescent="0.2">
      <c r="A764" s="2" t="s">
        <v>2241</v>
      </c>
      <c r="B764" s="2">
        <f t="shared" si="22"/>
        <v>2019</v>
      </c>
      <c r="C764" s="2" t="str">
        <f t="shared" si="23"/>
        <v>EC101</v>
      </c>
      <c r="D764" s="2">
        <v>146</v>
      </c>
      <c r="F764" s="1764"/>
      <c r="G764" s="1764"/>
      <c r="H764" s="1764"/>
      <c r="I764" s="1764"/>
      <c r="J764" s="1764"/>
      <c r="K764" s="1764"/>
      <c r="L764" s="1764"/>
      <c r="M764" s="1765"/>
      <c r="N764" s="1765"/>
      <c r="O764" s="1765"/>
      <c r="P764" s="1765"/>
      <c r="Q764" s="1765"/>
      <c r="W764" t="s">
        <v>2089</v>
      </c>
    </row>
    <row r="765" spans="1:23" ht="13.15" customHeight="1" x14ac:dyDescent="0.2">
      <c r="A765" s="2" t="s">
        <v>2241</v>
      </c>
      <c r="B765" s="2">
        <f t="shared" si="22"/>
        <v>2019</v>
      </c>
      <c r="C765" s="2" t="str">
        <f t="shared" si="23"/>
        <v>EC101</v>
      </c>
      <c r="D765" s="2">
        <v>147</v>
      </c>
      <c r="F765" s="1764"/>
      <c r="G765" s="1764"/>
      <c r="H765" s="1764"/>
      <c r="I765" s="1764"/>
      <c r="J765" s="1764"/>
      <c r="K765" s="1764"/>
      <c r="L765" s="1764"/>
      <c r="M765" s="1765"/>
      <c r="N765" s="1765"/>
      <c r="O765" s="1765"/>
      <c r="P765" s="1765"/>
      <c r="Q765" s="1765"/>
      <c r="W765" t="s">
        <v>2089</v>
      </c>
    </row>
    <row r="766" spans="1:23" ht="13.15" customHeight="1" x14ac:dyDescent="0.2">
      <c r="A766" s="2" t="s">
        <v>2241</v>
      </c>
      <c r="B766" s="2">
        <f t="shared" si="22"/>
        <v>2019</v>
      </c>
      <c r="C766" s="2" t="str">
        <f t="shared" si="23"/>
        <v>EC101</v>
      </c>
      <c r="D766" s="2">
        <v>148</v>
      </c>
      <c r="F766" s="1764"/>
      <c r="G766" s="1764"/>
      <c r="H766" s="1764"/>
      <c r="I766" s="1764"/>
      <c r="J766" s="1764"/>
      <c r="K766" s="1764"/>
      <c r="L766" s="1764"/>
      <c r="M766" s="1765"/>
      <c r="N766" s="1765"/>
      <c r="O766" s="1765"/>
      <c r="P766" s="1765"/>
      <c r="Q766" s="1765"/>
      <c r="W766" t="s">
        <v>2089</v>
      </c>
    </row>
    <row r="767" spans="1:23" ht="13.15" customHeight="1" x14ac:dyDescent="0.2">
      <c r="A767" s="2" t="s">
        <v>2241</v>
      </c>
      <c r="B767" s="2">
        <f t="shared" si="22"/>
        <v>2019</v>
      </c>
      <c r="C767" s="2" t="str">
        <f t="shared" si="23"/>
        <v>EC101</v>
      </c>
      <c r="D767" s="2">
        <v>149</v>
      </c>
      <c r="F767" s="1764"/>
      <c r="G767" s="1764"/>
      <c r="H767" s="1764"/>
      <c r="I767" s="1764"/>
      <c r="J767" s="1764"/>
      <c r="K767" s="1764"/>
      <c r="L767" s="1764"/>
      <c r="M767" s="1765"/>
      <c r="N767" s="1765"/>
      <c r="O767" s="1765"/>
      <c r="P767" s="1765"/>
      <c r="Q767" s="1765"/>
      <c r="W767" t="s">
        <v>2089</v>
      </c>
    </row>
    <row r="768" spans="1:23" ht="13.15" customHeight="1" x14ac:dyDescent="0.2">
      <c r="A768" s="2" t="s">
        <v>2241</v>
      </c>
      <c r="B768" s="2">
        <f t="shared" si="22"/>
        <v>2019</v>
      </c>
      <c r="C768" s="2" t="str">
        <f t="shared" si="23"/>
        <v>EC101</v>
      </c>
      <c r="D768" s="2">
        <v>150</v>
      </c>
      <c r="F768" s="1764"/>
      <c r="G768" s="1764"/>
      <c r="H768" s="1764"/>
      <c r="I768" s="1764"/>
      <c r="J768" s="1764"/>
      <c r="K768" s="1764"/>
      <c r="L768" s="1764"/>
      <c r="M768" s="1765"/>
      <c r="N768" s="1765"/>
      <c r="O768" s="1765"/>
      <c r="P768" s="1765"/>
      <c r="Q768" s="1765"/>
      <c r="W768" t="s">
        <v>2089</v>
      </c>
    </row>
    <row r="769" spans="1:23" ht="13.15" customHeight="1" x14ac:dyDescent="0.2">
      <c r="A769" s="2" t="s">
        <v>2241</v>
      </c>
      <c r="B769" s="2">
        <f t="shared" si="22"/>
        <v>2019</v>
      </c>
      <c r="C769" s="2" t="str">
        <f t="shared" si="23"/>
        <v>EC101</v>
      </c>
      <c r="D769" s="2">
        <v>151</v>
      </c>
      <c r="F769" s="1764"/>
      <c r="G769" s="1764"/>
      <c r="H769" s="1764"/>
      <c r="I769" s="1764"/>
      <c r="J769" s="1764"/>
      <c r="K769" s="1764"/>
      <c r="L769" s="1764"/>
      <c r="M769" s="1765"/>
      <c r="N769" s="1765"/>
      <c r="O769" s="1765"/>
      <c r="P769" s="1765"/>
      <c r="Q769" s="1765"/>
      <c r="W769" t="s">
        <v>2089</v>
      </c>
    </row>
    <row r="770" spans="1:23" ht="13.15" customHeight="1" x14ac:dyDescent="0.2">
      <c r="A770" s="2" t="s">
        <v>2241</v>
      </c>
      <c r="B770" s="2">
        <f t="shared" ref="B770:B833" si="24">+MTREF</f>
        <v>2019</v>
      </c>
      <c r="C770" s="2" t="str">
        <f t="shared" ref="C770:C833" si="25">LEFT(muni,(FIND(" ",muni,1)-1))</f>
        <v>EC101</v>
      </c>
      <c r="D770" s="2">
        <v>152</v>
      </c>
      <c r="F770" s="1764"/>
      <c r="G770" s="1764"/>
      <c r="H770" s="1764"/>
      <c r="I770" s="1764"/>
      <c r="J770" s="1764"/>
      <c r="K770" s="1764"/>
      <c r="L770" s="1764"/>
      <c r="M770" s="1765"/>
      <c r="N770" s="1765"/>
      <c r="O770" s="1765"/>
      <c r="P770" s="1765"/>
      <c r="Q770" s="1765"/>
      <c r="W770" t="s">
        <v>2089</v>
      </c>
    </row>
    <row r="771" spans="1:23" ht="13.15" customHeight="1" x14ac:dyDescent="0.2">
      <c r="A771" s="2" t="s">
        <v>2241</v>
      </c>
      <c r="B771" s="2">
        <f t="shared" si="24"/>
        <v>2019</v>
      </c>
      <c r="C771" s="2" t="str">
        <f t="shared" si="25"/>
        <v>EC101</v>
      </c>
      <c r="D771" s="2">
        <v>153</v>
      </c>
      <c r="F771" s="1764"/>
      <c r="G771" s="1764"/>
      <c r="H771" s="1764"/>
      <c r="I771" s="1764"/>
      <c r="J771" s="1764"/>
      <c r="K771" s="1764"/>
      <c r="L771" s="1764"/>
      <c r="M771" s="1765"/>
      <c r="N771" s="1765"/>
      <c r="O771" s="1765"/>
      <c r="P771" s="1765"/>
      <c r="Q771" s="1765"/>
      <c r="W771" t="s">
        <v>2089</v>
      </c>
    </row>
    <row r="772" spans="1:23" ht="13.15" customHeight="1" x14ac:dyDescent="0.2">
      <c r="A772" s="2" t="s">
        <v>2241</v>
      </c>
      <c r="B772" s="2">
        <f t="shared" si="24"/>
        <v>2019</v>
      </c>
      <c r="C772" s="2" t="str">
        <f t="shared" si="25"/>
        <v>EC101</v>
      </c>
      <c r="D772" s="2">
        <v>154</v>
      </c>
      <c r="F772" s="1764"/>
      <c r="G772" s="1764"/>
      <c r="H772" s="1764"/>
      <c r="I772" s="1764"/>
      <c r="J772" s="1764"/>
      <c r="K772" s="1764"/>
      <c r="L772" s="1764"/>
      <c r="M772" s="1765"/>
      <c r="N772" s="1765"/>
      <c r="O772" s="1765"/>
      <c r="P772" s="1765"/>
      <c r="Q772" s="1765"/>
      <c r="W772" t="s">
        <v>2089</v>
      </c>
    </row>
    <row r="773" spans="1:23" ht="13.15" customHeight="1" x14ac:dyDescent="0.2">
      <c r="A773" s="2" t="s">
        <v>2241</v>
      </c>
      <c r="B773" s="2">
        <f t="shared" si="24"/>
        <v>2019</v>
      </c>
      <c r="C773" s="2" t="str">
        <f t="shared" si="25"/>
        <v>EC101</v>
      </c>
      <c r="D773" s="2">
        <v>155</v>
      </c>
      <c r="F773" s="1764"/>
      <c r="G773" s="1764"/>
      <c r="H773" s="1764"/>
      <c r="I773" s="1764"/>
      <c r="J773" s="1764"/>
      <c r="K773" s="1764"/>
      <c r="L773" s="1764"/>
      <c r="M773" s="1765"/>
      <c r="N773" s="1765"/>
      <c r="O773" s="1765"/>
      <c r="P773" s="1765"/>
      <c r="Q773" s="1765"/>
      <c r="W773" t="s">
        <v>2089</v>
      </c>
    </row>
    <row r="774" spans="1:23" ht="13.15" customHeight="1" x14ac:dyDescent="0.2">
      <c r="A774" s="2" t="s">
        <v>2241</v>
      </c>
      <c r="B774" s="2">
        <f t="shared" si="24"/>
        <v>2019</v>
      </c>
      <c r="C774" s="2" t="str">
        <f t="shared" si="25"/>
        <v>EC101</v>
      </c>
      <c r="D774" s="2">
        <v>156</v>
      </c>
      <c r="F774" s="1764"/>
      <c r="G774" s="1764"/>
      <c r="H774" s="1764"/>
      <c r="I774" s="1764"/>
      <c r="J774" s="1764"/>
      <c r="K774" s="1764"/>
      <c r="L774" s="1764"/>
      <c r="M774" s="1765"/>
      <c r="N774" s="1765"/>
      <c r="O774" s="1765"/>
      <c r="P774" s="1765"/>
      <c r="Q774" s="1765"/>
      <c r="W774" t="s">
        <v>2089</v>
      </c>
    </row>
    <row r="775" spans="1:23" ht="13.15" customHeight="1" x14ac:dyDescent="0.2">
      <c r="A775" s="2" t="s">
        <v>2241</v>
      </c>
      <c r="B775" s="2">
        <f t="shared" si="24"/>
        <v>2019</v>
      </c>
      <c r="C775" s="2" t="str">
        <f t="shared" si="25"/>
        <v>EC101</v>
      </c>
      <c r="D775" s="2">
        <v>157</v>
      </c>
      <c r="F775" s="1764"/>
      <c r="G775" s="1764"/>
      <c r="H775" s="1764"/>
      <c r="I775" s="1764"/>
      <c r="J775" s="1764"/>
      <c r="K775" s="1764"/>
      <c r="L775" s="1764"/>
      <c r="M775" s="1765"/>
      <c r="N775" s="1765"/>
      <c r="O775" s="1765"/>
      <c r="P775" s="1765"/>
      <c r="Q775" s="1765"/>
      <c r="W775" t="s">
        <v>2089</v>
      </c>
    </row>
    <row r="776" spans="1:23" ht="13.15" customHeight="1" x14ac:dyDescent="0.2">
      <c r="A776" s="2" t="s">
        <v>2241</v>
      </c>
      <c r="B776" s="2">
        <f t="shared" si="24"/>
        <v>2019</v>
      </c>
      <c r="C776" s="2" t="str">
        <f t="shared" si="25"/>
        <v>EC101</v>
      </c>
      <c r="D776" s="2">
        <v>158</v>
      </c>
      <c r="F776" s="1764"/>
      <c r="G776" s="1764"/>
      <c r="H776" s="1764"/>
      <c r="I776" s="1764"/>
      <c r="J776" s="1764"/>
      <c r="K776" s="1764"/>
      <c r="L776" s="1764"/>
      <c r="M776" s="1765"/>
      <c r="N776" s="1765"/>
      <c r="O776" s="1765"/>
      <c r="P776" s="1765"/>
      <c r="Q776" s="1765"/>
      <c r="W776" t="s">
        <v>2089</v>
      </c>
    </row>
    <row r="777" spans="1:23" ht="13.15" customHeight="1" x14ac:dyDescent="0.2">
      <c r="A777" s="2" t="s">
        <v>2241</v>
      </c>
      <c r="B777" s="2">
        <f t="shared" si="24"/>
        <v>2019</v>
      </c>
      <c r="C777" s="2" t="str">
        <f t="shared" si="25"/>
        <v>EC101</v>
      </c>
      <c r="D777" s="2">
        <v>159</v>
      </c>
      <c r="F777" s="1764"/>
      <c r="G777" s="1764"/>
      <c r="H777" s="1764"/>
      <c r="I777" s="1764"/>
      <c r="J777" s="1764"/>
      <c r="K777" s="1764"/>
      <c r="L777" s="1764"/>
      <c r="M777" s="1765"/>
      <c r="N777" s="1765"/>
      <c r="O777" s="1765"/>
      <c r="P777" s="1765"/>
      <c r="Q777" s="1765"/>
      <c r="W777" t="s">
        <v>2089</v>
      </c>
    </row>
    <row r="778" spans="1:23" ht="13.15" customHeight="1" x14ac:dyDescent="0.2">
      <c r="A778" s="2" t="s">
        <v>2241</v>
      </c>
      <c r="B778" s="2">
        <f t="shared" si="24"/>
        <v>2019</v>
      </c>
      <c r="C778" s="2" t="str">
        <f t="shared" si="25"/>
        <v>EC101</v>
      </c>
      <c r="D778" s="2">
        <v>160</v>
      </c>
      <c r="F778" s="1764"/>
      <c r="G778" s="1764"/>
      <c r="H778" s="1764"/>
      <c r="I778" s="1764"/>
      <c r="J778" s="1764"/>
      <c r="K778" s="1764"/>
      <c r="L778" s="1764"/>
      <c r="M778" s="1765"/>
      <c r="N778" s="1765"/>
      <c r="O778" s="1765"/>
      <c r="P778" s="1765"/>
      <c r="Q778" s="1765"/>
      <c r="W778" t="s">
        <v>2089</v>
      </c>
    </row>
    <row r="779" spans="1:23" ht="13.15" customHeight="1" x14ac:dyDescent="0.2">
      <c r="A779" s="2" t="s">
        <v>2241</v>
      </c>
      <c r="B779" s="2">
        <f t="shared" si="24"/>
        <v>2019</v>
      </c>
      <c r="C779" s="2" t="str">
        <f t="shared" si="25"/>
        <v>EC101</v>
      </c>
      <c r="D779" s="2">
        <v>161</v>
      </c>
      <c r="F779" s="1764"/>
      <c r="G779" s="1764"/>
      <c r="H779" s="1764"/>
      <c r="I779" s="1764"/>
      <c r="J779" s="1764"/>
      <c r="K779" s="1764"/>
      <c r="L779" s="1764"/>
      <c r="M779" s="1765"/>
      <c r="N779" s="1765"/>
      <c r="O779" s="1765"/>
      <c r="P779" s="1765"/>
      <c r="Q779" s="1765"/>
      <c r="W779" t="s">
        <v>2089</v>
      </c>
    </row>
    <row r="780" spans="1:23" ht="13.15" customHeight="1" x14ac:dyDescent="0.2">
      <c r="A780" s="2" t="s">
        <v>2241</v>
      </c>
      <c r="B780" s="2">
        <f t="shared" si="24"/>
        <v>2019</v>
      </c>
      <c r="C780" s="2" t="str">
        <f t="shared" si="25"/>
        <v>EC101</v>
      </c>
      <c r="D780" s="2">
        <v>162</v>
      </c>
      <c r="F780" s="1764"/>
      <c r="G780" s="1764"/>
      <c r="H780" s="1764"/>
      <c r="I780" s="1764"/>
      <c r="J780" s="1764"/>
      <c r="K780" s="1764"/>
      <c r="L780" s="1764"/>
      <c r="M780" s="1765"/>
      <c r="N780" s="1765"/>
      <c r="O780" s="1765"/>
      <c r="P780" s="1765"/>
      <c r="Q780" s="1765"/>
      <c r="W780" t="s">
        <v>2089</v>
      </c>
    </row>
    <row r="781" spans="1:23" ht="13.15" customHeight="1" x14ac:dyDescent="0.2">
      <c r="A781" s="2" t="s">
        <v>2241</v>
      </c>
      <c r="B781" s="2">
        <f t="shared" si="24"/>
        <v>2019</v>
      </c>
      <c r="C781" s="2" t="str">
        <f t="shared" si="25"/>
        <v>EC101</v>
      </c>
      <c r="D781" s="2">
        <v>163</v>
      </c>
      <c r="F781" s="1764"/>
      <c r="G781" s="1764"/>
      <c r="H781" s="1764"/>
      <c r="I781" s="1764"/>
      <c r="J781" s="1764"/>
      <c r="K781" s="1764"/>
      <c r="L781" s="1764"/>
      <c r="M781" s="1765"/>
      <c r="N781" s="1765"/>
      <c r="O781" s="1765"/>
      <c r="P781" s="1765"/>
      <c r="Q781" s="1765"/>
      <c r="W781" t="s">
        <v>2089</v>
      </c>
    </row>
    <row r="782" spans="1:23" ht="13.15" customHeight="1" x14ac:dyDescent="0.2">
      <c r="A782" s="2" t="s">
        <v>2241</v>
      </c>
      <c r="B782" s="2">
        <f t="shared" si="24"/>
        <v>2019</v>
      </c>
      <c r="C782" s="2" t="str">
        <f t="shared" si="25"/>
        <v>EC101</v>
      </c>
      <c r="D782" s="2">
        <v>164</v>
      </c>
      <c r="F782" s="1764"/>
      <c r="G782" s="1764"/>
      <c r="H782" s="1764"/>
      <c r="I782" s="1764"/>
      <c r="J782" s="1764"/>
      <c r="K782" s="1764"/>
      <c r="L782" s="1764"/>
      <c r="M782" s="1765"/>
      <c r="N782" s="1765"/>
      <c r="O782" s="1765"/>
      <c r="P782" s="1765"/>
      <c r="Q782" s="1765"/>
      <c r="W782" t="s">
        <v>2089</v>
      </c>
    </row>
    <row r="783" spans="1:23" ht="13.15" customHeight="1" x14ac:dyDescent="0.2">
      <c r="A783" s="2" t="s">
        <v>2241</v>
      </c>
      <c r="B783" s="2">
        <f t="shared" si="24"/>
        <v>2019</v>
      </c>
      <c r="C783" s="2" t="str">
        <f t="shared" si="25"/>
        <v>EC101</v>
      </c>
      <c r="D783" s="2">
        <v>165</v>
      </c>
      <c r="F783" s="1764"/>
      <c r="G783" s="1764"/>
      <c r="H783" s="1764"/>
      <c r="I783" s="1764"/>
      <c r="J783" s="1764"/>
      <c r="K783" s="1764"/>
      <c r="L783" s="1764"/>
      <c r="M783" s="1765"/>
      <c r="N783" s="1765"/>
      <c r="O783" s="1765"/>
      <c r="P783" s="1765"/>
      <c r="Q783" s="1765"/>
      <c r="W783" t="s">
        <v>2089</v>
      </c>
    </row>
    <row r="784" spans="1:23" ht="13.15" customHeight="1" x14ac:dyDescent="0.2">
      <c r="A784" s="2" t="s">
        <v>2241</v>
      </c>
      <c r="B784" s="2">
        <f t="shared" si="24"/>
        <v>2019</v>
      </c>
      <c r="C784" s="2" t="str">
        <f t="shared" si="25"/>
        <v>EC101</v>
      </c>
      <c r="D784" s="2">
        <v>166</v>
      </c>
      <c r="F784" s="1764"/>
      <c r="G784" s="1764"/>
      <c r="H784" s="1764"/>
      <c r="I784" s="1764"/>
      <c r="J784" s="1764"/>
      <c r="K784" s="1764"/>
      <c r="L784" s="1764"/>
      <c r="M784" s="1765"/>
      <c r="N784" s="1765"/>
      <c r="O784" s="1765"/>
      <c r="P784" s="1765"/>
      <c r="Q784" s="1765"/>
      <c r="W784" t="s">
        <v>2089</v>
      </c>
    </row>
    <row r="785" spans="1:23" ht="13.15" customHeight="1" x14ac:dyDescent="0.2">
      <c r="A785" s="2" t="s">
        <v>2241</v>
      </c>
      <c r="B785" s="2">
        <f t="shared" si="24"/>
        <v>2019</v>
      </c>
      <c r="C785" s="2" t="str">
        <f t="shared" si="25"/>
        <v>EC101</v>
      </c>
      <c r="D785" s="2">
        <v>167</v>
      </c>
      <c r="F785" s="1764"/>
      <c r="G785" s="1764"/>
      <c r="H785" s="1764"/>
      <c r="I785" s="1764"/>
      <c r="J785" s="1764"/>
      <c r="K785" s="1764"/>
      <c r="L785" s="1764"/>
      <c r="M785" s="1765"/>
      <c r="N785" s="1765"/>
      <c r="O785" s="1765"/>
      <c r="P785" s="1765"/>
      <c r="Q785" s="1765"/>
      <c r="W785" t="s">
        <v>2089</v>
      </c>
    </row>
    <row r="786" spans="1:23" ht="13.15" customHeight="1" x14ac:dyDescent="0.2">
      <c r="A786" s="2" t="s">
        <v>2241</v>
      </c>
      <c r="B786" s="2">
        <f t="shared" si="24"/>
        <v>2019</v>
      </c>
      <c r="C786" s="2" t="str">
        <f t="shared" si="25"/>
        <v>EC101</v>
      </c>
      <c r="D786" s="2">
        <v>168</v>
      </c>
      <c r="F786" s="1764"/>
      <c r="G786" s="1764"/>
      <c r="H786" s="1764"/>
      <c r="I786" s="1764"/>
      <c r="J786" s="1764"/>
      <c r="K786" s="1764"/>
      <c r="L786" s="1764"/>
      <c r="M786" s="1765"/>
      <c r="N786" s="1765"/>
      <c r="O786" s="1765"/>
      <c r="P786" s="1765"/>
      <c r="Q786" s="1765"/>
      <c r="W786" t="s">
        <v>2089</v>
      </c>
    </row>
    <row r="787" spans="1:23" ht="13.15" customHeight="1" x14ac:dyDescent="0.2">
      <c r="A787" s="2" t="s">
        <v>2241</v>
      </c>
      <c r="B787" s="2">
        <f t="shared" si="24"/>
        <v>2019</v>
      </c>
      <c r="C787" s="2" t="str">
        <f t="shared" si="25"/>
        <v>EC101</v>
      </c>
      <c r="D787" s="2">
        <v>169</v>
      </c>
      <c r="F787" s="1764"/>
      <c r="G787" s="1764"/>
      <c r="H787" s="1764"/>
      <c r="I787" s="1764"/>
      <c r="J787" s="1764"/>
      <c r="K787" s="1764"/>
      <c r="L787" s="1764"/>
      <c r="M787" s="1765"/>
      <c r="N787" s="1765"/>
      <c r="O787" s="1765"/>
      <c r="P787" s="1765"/>
      <c r="Q787" s="1765"/>
      <c r="W787" t="s">
        <v>2089</v>
      </c>
    </row>
    <row r="788" spans="1:23" ht="13.15" customHeight="1" x14ac:dyDescent="0.2">
      <c r="A788" s="2" t="s">
        <v>2241</v>
      </c>
      <c r="B788" s="2">
        <f t="shared" si="24"/>
        <v>2019</v>
      </c>
      <c r="C788" s="2" t="str">
        <f t="shared" si="25"/>
        <v>EC101</v>
      </c>
      <c r="D788" s="2">
        <v>170</v>
      </c>
      <c r="F788" s="1764"/>
      <c r="G788" s="1764"/>
      <c r="H788" s="1764"/>
      <c r="I788" s="1764"/>
      <c r="J788" s="1764"/>
      <c r="K788" s="1764"/>
      <c r="L788" s="1764"/>
      <c r="M788" s="1765"/>
      <c r="N788" s="1765"/>
      <c r="O788" s="1765"/>
      <c r="P788" s="1765"/>
      <c r="Q788" s="1765"/>
      <c r="W788" t="s">
        <v>2089</v>
      </c>
    </row>
    <row r="789" spans="1:23" ht="13.15" customHeight="1" x14ac:dyDescent="0.2">
      <c r="A789" s="2" t="s">
        <v>2241</v>
      </c>
      <c r="B789" s="2">
        <f t="shared" si="24"/>
        <v>2019</v>
      </c>
      <c r="C789" s="2" t="str">
        <f t="shared" si="25"/>
        <v>EC101</v>
      </c>
      <c r="D789" s="2">
        <v>171</v>
      </c>
      <c r="F789" s="1764"/>
      <c r="G789" s="1764"/>
      <c r="H789" s="1764"/>
      <c r="I789" s="1764"/>
      <c r="J789" s="1764"/>
      <c r="K789" s="1764"/>
      <c r="L789" s="1764"/>
      <c r="M789" s="1765"/>
      <c r="N789" s="1765"/>
      <c r="O789" s="1765"/>
      <c r="P789" s="1765"/>
      <c r="Q789" s="1765"/>
      <c r="W789" t="s">
        <v>2089</v>
      </c>
    </row>
    <row r="790" spans="1:23" ht="13.15" customHeight="1" x14ac:dyDescent="0.2">
      <c r="A790" s="2" t="s">
        <v>2241</v>
      </c>
      <c r="B790" s="2">
        <f t="shared" si="24"/>
        <v>2019</v>
      </c>
      <c r="C790" s="2" t="str">
        <f t="shared" si="25"/>
        <v>EC101</v>
      </c>
      <c r="D790" s="2">
        <v>172</v>
      </c>
      <c r="F790" s="1764"/>
      <c r="G790" s="1764"/>
      <c r="H790" s="1764"/>
      <c r="I790" s="1764"/>
      <c r="J790" s="1764"/>
      <c r="K790" s="1764"/>
      <c r="L790" s="1764"/>
      <c r="M790" s="1765"/>
      <c r="N790" s="1765"/>
      <c r="O790" s="1765"/>
      <c r="P790" s="1765"/>
      <c r="Q790" s="1765"/>
      <c r="W790" t="s">
        <v>2089</v>
      </c>
    </row>
    <row r="791" spans="1:23" ht="13.15" customHeight="1" x14ac:dyDescent="0.2">
      <c r="A791" s="2" t="s">
        <v>2241</v>
      </c>
      <c r="B791" s="2">
        <f t="shared" si="24"/>
        <v>2019</v>
      </c>
      <c r="C791" s="2" t="str">
        <f t="shared" si="25"/>
        <v>EC101</v>
      </c>
      <c r="D791" s="2">
        <v>173</v>
      </c>
      <c r="F791" s="1764"/>
      <c r="G791" s="1764"/>
      <c r="H791" s="1764"/>
      <c r="I791" s="1764"/>
      <c r="J791" s="1764"/>
      <c r="K791" s="1764"/>
      <c r="L791" s="1764"/>
      <c r="M791" s="1765"/>
      <c r="N791" s="1765"/>
      <c r="O791" s="1765"/>
      <c r="P791" s="1765"/>
      <c r="Q791" s="1765"/>
      <c r="W791" t="s">
        <v>2089</v>
      </c>
    </row>
    <row r="792" spans="1:23" ht="13.15" customHeight="1" x14ac:dyDescent="0.2">
      <c r="A792" s="2" t="s">
        <v>2241</v>
      </c>
      <c r="B792" s="2">
        <f t="shared" si="24"/>
        <v>2019</v>
      </c>
      <c r="C792" s="2" t="str">
        <f t="shared" si="25"/>
        <v>EC101</v>
      </c>
      <c r="D792" s="2">
        <v>174</v>
      </c>
      <c r="F792" s="1764"/>
      <c r="G792" s="1764"/>
      <c r="H792" s="1764"/>
      <c r="I792" s="1764"/>
      <c r="J792" s="1764"/>
      <c r="K792" s="1764"/>
      <c r="L792" s="1764"/>
      <c r="M792" s="1765"/>
      <c r="N792" s="1765"/>
      <c r="O792" s="1765"/>
      <c r="P792" s="1765"/>
      <c r="Q792" s="1765"/>
      <c r="W792" t="s">
        <v>2089</v>
      </c>
    </row>
    <row r="793" spans="1:23" ht="13.15" customHeight="1" x14ac:dyDescent="0.2">
      <c r="A793" s="2" t="s">
        <v>2241</v>
      </c>
      <c r="B793" s="2">
        <f t="shared" si="24"/>
        <v>2019</v>
      </c>
      <c r="C793" s="2" t="str">
        <f t="shared" si="25"/>
        <v>EC101</v>
      </c>
      <c r="D793" s="2">
        <v>175</v>
      </c>
      <c r="F793" s="1764"/>
      <c r="G793" s="1764"/>
      <c r="H793" s="1764"/>
      <c r="I793" s="1764"/>
      <c r="J793" s="1764"/>
      <c r="K793" s="1764"/>
      <c r="L793" s="1764"/>
      <c r="M793" s="1765"/>
      <c r="N793" s="1765"/>
      <c r="O793" s="1765"/>
      <c r="P793" s="1765"/>
      <c r="Q793" s="1765"/>
      <c r="W793" t="s">
        <v>2089</v>
      </c>
    </row>
    <row r="794" spans="1:23" ht="13.15" customHeight="1" x14ac:dyDescent="0.2">
      <c r="A794" s="2" t="s">
        <v>2241</v>
      </c>
      <c r="B794" s="2">
        <f t="shared" si="24"/>
        <v>2019</v>
      </c>
      <c r="C794" s="2" t="str">
        <f t="shared" si="25"/>
        <v>EC101</v>
      </c>
      <c r="D794" s="2">
        <v>176</v>
      </c>
      <c r="F794" s="1764"/>
      <c r="G794" s="1764"/>
      <c r="H794" s="1764"/>
      <c r="I794" s="1764"/>
      <c r="J794" s="1764"/>
      <c r="K794" s="1764"/>
      <c r="L794" s="1764"/>
      <c r="M794" s="1765"/>
      <c r="N794" s="1765"/>
      <c r="O794" s="1765"/>
      <c r="P794" s="1765"/>
      <c r="Q794" s="1765"/>
      <c r="W794" t="s">
        <v>2089</v>
      </c>
    </row>
    <row r="795" spans="1:23" ht="13.15" customHeight="1" x14ac:dyDescent="0.2">
      <c r="A795" s="2" t="s">
        <v>2241</v>
      </c>
      <c r="B795" s="2">
        <f t="shared" si="24"/>
        <v>2019</v>
      </c>
      <c r="C795" s="2" t="str">
        <f t="shared" si="25"/>
        <v>EC101</v>
      </c>
      <c r="D795" s="2">
        <v>177</v>
      </c>
      <c r="F795" s="1764"/>
      <c r="G795" s="1764"/>
      <c r="H795" s="1764"/>
      <c r="I795" s="1764"/>
      <c r="J795" s="1764"/>
      <c r="K795" s="1764"/>
      <c r="L795" s="1764"/>
      <c r="M795" s="1765"/>
      <c r="N795" s="1765"/>
      <c r="O795" s="1765"/>
      <c r="P795" s="1765"/>
      <c r="Q795" s="1765"/>
      <c r="W795" t="s">
        <v>2089</v>
      </c>
    </row>
    <row r="796" spans="1:23" ht="13.15" customHeight="1" x14ac:dyDescent="0.2">
      <c r="A796" s="2" t="s">
        <v>2241</v>
      </c>
      <c r="B796" s="2">
        <f t="shared" si="24"/>
        <v>2019</v>
      </c>
      <c r="C796" s="2" t="str">
        <f t="shared" si="25"/>
        <v>EC101</v>
      </c>
      <c r="D796" s="2">
        <v>178</v>
      </c>
      <c r="F796" s="1764"/>
      <c r="G796" s="1764"/>
      <c r="H796" s="1764"/>
      <c r="I796" s="1764"/>
      <c r="J796" s="1764"/>
      <c r="K796" s="1764"/>
      <c r="L796" s="1764"/>
      <c r="M796" s="1765"/>
      <c r="N796" s="1765"/>
      <c r="O796" s="1765"/>
      <c r="P796" s="1765"/>
      <c r="Q796" s="1765"/>
      <c r="W796" t="s">
        <v>2089</v>
      </c>
    </row>
    <row r="797" spans="1:23" ht="13.15" customHeight="1" x14ac:dyDescent="0.2">
      <c r="A797" s="2" t="s">
        <v>2241</v>
      </c>
      <c r="B797" s="2">
        <f t="shared" si="24"/>
        <v>2019</v>
      </c>
      <c r="C797" s="2" t="str">
        <f t="shared" si="25"/>
        <v>EC101</v>
      </c>
      <c r="D797" s="2">
        <v>179</v>
      </c>
      <c r="F797" s="1764"/>
      <c r="G797" s="1764"/>
      <c r="H797" s="1764"/>
      <c r="I797" s="1764"/>
      <c r="J797" s="1764"/>
      <c r="K797" s="1764"/>
      <c r="L797" s="1764"/>
      <c r="M797" s="1765"/>
      <c r="N797" s="1765"/>
      <c r="O797" s="1765"/>
      <c r="P797" s="1765"/>
      <c r="Q797" s="1765"/>
      <c r="W797" t="s">
        <v>2089</v>
      </c>
    </row>
    <row r="798" spans="1:23" ht="13.15" customHeight="1" x14ac:dyDescent="0.2">
      <c r="A798" s="2" t="s">
        <v>2241</v>
      </c>
      <c r="B798" s="2">
        <f t="shared" si="24"/>
        <v>2019</v>
      </c>
      <c r="C798" s="2" t="str">
        <f t="shared" si="25"/>
        <v>EC101</v>
      </c>
      <c r="D798" s="2">
        <v>180</v>
      </c>
      <c r="F798" s="1764"/>
      <c r="G798" s="1764"/>
      <c r="H798" s="1764"/>
      <c r="I798" s="1764"/>
      <c r="J798" s="1764"/>
      <c r="K798" s="1764"/>
      <c r="L798" s="1764"/>
      <c r="M798" s="1765"/>
      <c r="N798" s="1765"/>
      <c r="O798" s="1765"/>
      <c r="P798" s="1765"/>
      <c r="Q798" s="1765"/>
      <c r="W798" t="s">
        <v>2089</v>
      </c>
    </row>
    <row r="799" spans="1:23" ht="13.15" customHeight="1" x14ac:dyDescent="0.2">
      <c r="A799" s="2" t="s">
        <v>2241</v>
      </c>
      <c r="B799" s="2">
        <f t="shared" si="24"/>
        <v>2019</v>
      </c>
      <c r="C799" s="2" t="str">
        <f t="shared" si="25"/>
        <v>EC101</v>
      </c>
      <c r="D799" s="2">
        <v>181</v>
      </c>
      <c r="F799" s="1764"/>
      <c r="G799" s="1764"/>
      <c r="H799" s="1764"/>
      <c r="I799" s="1764"/>
      <c r="J799" s="1764"/>
      <c r="K799" s="1764"/>
      <c r="L799" s="1764"/>
      <c r="M799" s="1765"/>
      <c r="N799" s="1765"/>
      <c r="O799" s="1765"/>
      <c r="P799" s="1765"/>
      <c r="Q799" s="1765"/>
      <c r="W799" t="s">
        <v>2089</v>
      </c>
    </row>
    <row r="800" spans="1:23" ht="13.15" customHeight="1" x14ac:dyDescent="0.2">
      <c r="A800" s="2" t="s">
        <v>2241</v>
      </c>
      <c r="B800" s="2">
        <f t="shared" si="24"/>
        <v>2019</v>
      </c>
      <c r="C800" s="2" t="str">
        <f t="shared" si="25"/>
        <v>EC101</v>
      </c>
      <c r="D800" s="2">
        <v>182</v>
      </c>
      <c r="F800" s="1764"/>
      <c r="G800" s="1764"/>
      <c r="H800" s="1764"/>
      <c r="I800" s="1764"/>
      <c r="J800" s="1764"/>
      <c r="K800" s="1764"/>
      <c r="L800" s="1764"/>
      <c r="M800" s="1765"/>
      <c r="N800" s="1765"/>
      <c r="O800" s="1765"/>
      <c r="P800" s="1765"/>
      <c r="Q800" s="1765"/>
      <c r="W800" t="s">
        <v>2089</v>
      </c>
    </row>
    <row r="801" spans="1:23" ht="13.15" customHeight="1" x14ac:dyDescent="0.2">
      <c r="A801" s="2" t="s">
        <v>2241</v>
      </c>
      <c r="B801" s="2">
        <f t="shared" si="24"/>
        <v>2019</v>
      </c>
      <c r="C801" s="2" t="str">
        <f t="shared" si="25"/>
        <v>EC101</v>
      </c>
      <c r="D801" s="2">
        <v>183</v>
      </c>
      <c r="F801" s="1764"/>
      <c r="G801" s="1764"/>
      <c r="H801" s="1764"/>
      <c r="I801" s="1764"/>
      <c r="J801" s="1764"/>
      <c r="K801" s="1764"/>
      <c r="L801" s="1764"/>
      <c r="M801" s="1765"/>
      <c r="N801" s="1765"/>
      <c r="O801" s="1765"/>
      <c r="P801" s="1765"/>
      <c r="Q801" s="1765"/>
      <c r="W801" t="s">
        <v>2089</v>
      </c>
    </row>
    <row r="802" spans="1:23" ht="13.15" customHeight="1" x14ac:dyDescent="0.2">
      <c r="A802" s="2" t="s">
        <v>2241</v>
      </c>
      <c r="B802" s="2">
        <f t="shared" si="24"/>
        <v>2019</v>
      </c>
      <c r="C802" s="2" t="str">
        <f t="shared" si="25"/>
        <v>EC101</v>
      </c>
      <c r="D802" s="2">
        <v>184</v>
      </c>
      <c r="F802" s="1764"/>
      <c r="G802" s="1764"/>
      <c r="H802" s="1764"/>
      <c r="I802" s="1764"/>
      <c r="J802" s="1764"/>
      <c r="K802" s="1764"/>
      <c r="L802" s="1764"/>
      <c r="M802" s="1765"/>
      <c r="N802" s="1765"/>
      <c r="O802" s="1765"/>
      <c r="P802" s="1765"/>
      <c r="Q802" s="1765"/>
      <c r="W802" t="s">
        <v>2089</v>
      </c>
    </row>
    <row r="803" spans="1:23" ht="13.15" customHeight="1" x14ac:dyDescent="0.2">
      <c r="A803" s="2" t="s">
        <v>2241</v>
      </c>
      <c r="B803" s="2">
        <f t="shared" si="24"/>
        <v>2019</v>
      </c>
      <c r="C803" s="2" t="str">
        <f t="shared" si="25"/>
        <v>EC101</v>
      </c>
      <c r="D803" s="2">
        <v>185</v>
      </c>
      <c r="F803" s="1764"/>
      <c r="G803" s="1764"/>
      <c r="H803" s="1764"/>
      <c r="I803" s="1764"/>
      <c r="J803" s="1764"/>
      <c r="K803" s="1764"/>
      <c r="L803" s="1764"/>
      <c r="M803" s="1765"/>
      <c r="N803" s="1765"/>
      <c r="O803" s="1765"/>
      <c r="P803" s="1765"/>
      <c r="Q803" s="1765"/>
      <c r="W803" t="s">
        <v>2089</v>
      </c>
    </row>
    <row r="804" spans="1:23" ht="13.15" customHeight="1" x14ac:dyDescent="0.2">
      <c r="A804" s="2" t="s">
        <v>2241</v>
      </c>
      <c r="B804" s="2">
        <f t="shared" si="24"/>
        <v>2019</v>
      </c>
      <c r="C804" s="2" t="str">
        <f t="shared" si="25"/>
        <v>EC101</v>
      </c>
      <c r="D804" s="2">
        <v>186</v>
      </c>
      <c r="F804" s="1764"/>
      <c r="G804" s="1764"/>
      <c r="H804" s="1764"/>
      <c r="I804" s="1764"/>
      <c r="J804" s="1764"/>
      <c r="K804" s="1764"/>
      <c r="L804" s="1764"/>
      <c r="M804" s="1765"/>
      <c r="N804" s="1765"/>
      <c r="O804" s="1765"/>
      <c r="P804" s="1765"/>
      <c r="Q804" s="1765"/>
      <c r="W804" t="s">
        <v>2089</v>
      </c>
    </row>
    <row r="805" spans="1:23" ht="13.15" customHeight="1" x14ac:dyDescent="0.2">
      <c r="A805" s="2" t="s">
        <v>2241</v>
      </c>
      <c r="B805" s="2">
        <f t="shared" si="24"/>
        <v>2019</v>
      </c>
      <c r="C805" s="2" t="str">
        <f t="shared" si="25"/>
        <v>EC101</v>
      </c>
      <c r="D805" s="2">
        <v>187</v>
      </c>
      <c r="F805" s="1764"/>
      <c r="G805" s="1764"/>
      <c r="H805" s="1764"/>
      <c r="I805" s="1764"/>
      <c r="J805" s="1764"/>
      <c r="K805" s="1764"/>
      <c r="L805" s="1764"/>
      <c r="M805" s="1765"/>
      <c r="N805" s="1765"/>
      <c r="O805" s="1765"/>
      <c r="P805" s="1765"/>
      <c r="Q805" s="1765"/>
      <c r="W805" t="s">
        <v>2089</v>
      </c>
    </row>
    <row r="806" spans="1:23" ht="13.15" customHeight="1" x14ac:dyDescent="0.2">
      <c r="A806" s="2" t="s">
        <v>2241</v>
      </c>
      <c r="B806" s="2">
        <f t="shared" si="24"/>
        <v>2019</v>
      </c>
      <c r="C806" s="2" t="str">
        <f t="shared" si="25"/>
        <v>EC101</v>
      </c>
      <c r="D806" s="2">
        <v>188</v>
      </c>
      <c r="F806" s="1764"/>
      <c r="G806" s="1764"/>
      <c r="H806" s="1764"/>
      <c r="I806" s="1764"/>
      <c r="J806" s="1764"/>
      <c r="K806" s="1764"/>
      <c r="L806" s="1764"/>
      <c r="M806" s="1765"/>
      <c r="N806" s="1765"/>
      <c r="O806" s="1765"/>
      <c r="P806" s="1765"/>
      <c r="Q806" s="1765"/>
      <c r="W806" t="s">
        <v>2089</v>
      </c>
    </row>
    <row r="807" spans="1:23" ht="13.15" customHeight="1" x14ac:dyDescent="0.2">
      <c r="A807" s="2" t="s">
        <v>2241</v>
      </c>
      <c r="B807" s="2">
        <f t="shared" si="24"/>
        <v>2019</v>
      </c>
      <c r="C807" s="2" t="str">
        <f t="shared" si="25"/>
        <v>EC101</v>
      </c>
      <c r="D807" s="2">
        <v>189</v>
      </c>
      <c r="F807" s="1764"/>
      <c r="G807" s="1764"/>
      <c r="H807" s="1764"/>
      <c r="I807" s="1764"/>
      <c r="J807" s="1764"/>
      <c r="K807" s="1764"/>
      <c r="L807" s="1764"/>
      <c r="M807" s="1765"/>
      <c r="N807" s="1765"/>
      <c r="O807" s="1765"/>
      <c r="P807" s="1765"/>
      <c r="Q807" s="1765"/>
      <c r="W807" t="s">
        <v>2089</v>
      </c>
    </row>
    <row r="808" spans="1:23" ht="13.15" customHeight="1" x14ac:dyDescent="0.2">
      <c r="A808" s="2" t="s">
        <v>2241</v>
      </c>
      <c r="B808" s="2">
        <f t="shared" si="24"/>
        <v>2019</v>
      </c>
      <c r="C808" s="2" t="str">
        <f t="shared" si="25"/>
        <v>EC101</v>
      </c>
      <c r="D808" s="2">
        <v>190</v>
      </c>
      <c r="F808" s="1764"/>
      <c r="G808" s="1764"/>
      <c r="H808" s="1764"/>
      <c r="I808" s="1764"/>
      <c r="J808" s="1764"/>
      <c r="K808" s="1764"/>
      <c r="L808" s="1764"/>
      <c r="M808" s="1765"/>
      <c r="N808" s="1765"/>
      <c r="O808" s="1765"/>
      <c r="P808" s="1765"/>
      <c r="Q808" s="1765"/>
      <c r="W808" t="s">
        <v>2089</v>
      </c>
    </row>
    <row r="809" spans="1:23" ht="13.15" customHeight="1" x14ac:dyDescent="0.2">
      <c r="A809" s="2" t="s">
        <v>2241</v>
      </c>
      <c r="B809" s="2">
        <f t="shared" si="24"/>
        <v>2019</v>
      </c>
      <c r="C809" s="2" t="str">
        <f t="shared" si="25"/>
        <v>EC101</v>
      </c>
      <c r="D809" s="2">
        <v>191</v>
      </c>
      <c r="F809" s="1764"/>
      <c r="G809" s="1764"/>
      <c r="H809" s="1764"/>
      <c r="I809" s="1764"/>
      <c r="J809" s="1764"/>
      <c r="K809" s="1764"/>
      <c r="L809" s="1764"/>
      <c r="M809" s="1765"/>
      <c r="N809" s="1765"/>
      <c r="O809" s="1765"/>
      <c r="P809" s="1765"/>
      <c r="Q809" s="1765"/>
      <c r="W809" t="s">
        <v>2089</v>
      </c>
    </row>
    <row r="810" spans="1:23" ht="13.15" customHeight="1" x14ac:dyDescent="0.2">
      <c r="A810" s="2" t="s">
        <v>2241</v>
      </c>
      <c r="B810" s="2">
        <f t="shared" si="24"/>
        <v>2019</v>
      </c>
      <c r="C810" s="2" t="str">
        <f t="shared" si="25"/>
        <v>EC101</v>
      </c>
      <c r="D810" s="2">
        <v>192</v>
      </c>
      <c r="F810" s="1764"/>
      <c r="G810" s="1764"/>
      <c r="H810" s="1764"/>
      <c r="I810" s="1764"/>
      <c r="J810" s="1764"/>
      <c r="K810" s="1764"/>
      <c r="L810" s="1764"/>
      <c r="M810" s="1765"/>
      <c r="N810" s="1765"/>
      <c r="O810" s="1765"/>
      <c r="P810" s="1765"/>
      <c r="Q810" s="1765"/>
      <c r="W810" t="s">
        <v>2089</v>
      </c>
    </row>
    <row r="811" spans="1:23" ht="13.15" customHeight="1" x14ac:dyDescent="0.2">
      <c r="A811" s="2" t="s">
        <v>2241</v>
      </c>
      <c r="B811" s="2">
        <f t="shared" si="24"/>
        <v>2019</v>
      </c>
      <c r="C811" s="2" t="str">
        <f t="shared" si="25"/>
        <v>EC101</v>
      </c>
      <c r="D811" s="2">
        <v>193</v>
      </c>
      <c r="F811" s="1764"/>
      <c r="G811" s="1764"/>
      <c r="H811" s="1764"/>
      <c r="I811" s="1764"/>
      <c r="J811" s="1764"/>
      <c r="K811" s="1764"/>
      <c r="L811" s="1764"/>
      <c r="M811" s="1765"/>
      <c r="N811" s="1765"/>
      <c r="O811" s="1765"/>
      <c r="P811" s="1765"/>
      <c r="Q811" s="1765"/>
      <c r="W811" t="s">
        <v>2089</v>
      </c>
    </row>
    <row r="812" spans="1:23" ht="13.15" customHeight="1" x14ac:dyDescent="0.2">
      <c r="A812" s="2" t="s">
        <v>2241</v>
      </c>
      <c r="B812" s="2">
        <f t="shared" si="24"/>
        <v>2019</v>
      </c>
      <c r="C812" s="2" t="str">
        <f t="shared" si="25"/>
        <v>EC101</v>
      </c>
      <c r="D812" s="2">
        <v>194</v>
      </c>
      <c r="F812" s="1764"/>
      <c r="G812" s="1764"/>
      <c r="H812" s="1764"/>
      <c r="I812" s="1764"/>
      <c r="J812" s="1764"/>
      <c r="K812" s="1764"/>
      <c r="L812" s="1764"/>
      <c r="M812" s="1765"/>
      <c r="N812" s="1765"/>
      <c r="O812" s="1765"/>
      <c r="P812" s="1765"/>
      <c r="Q812" s="1765"/>
      <c r="W812" t="s">
        <v>2089</v>
      </c>
    </row>
    <row r="813" spans="1:23" ht="13.15" customHeight="1" x14ac:dyDescent="0.2">
      <c r="A813" s="2" t="s">
        <v>2241</v>
      </c>
      <c r="B813" s="2">
        <f t="shared" si="24"/>
        <v>2019</v>
      </c>
      <c r="C813" s="2" t="str">
        <f t="shared" si="25"/>
        <v>EC101</v>
      </c>
      <c r="D813" s="2">
        <v>195</v>
      </c>
      <c r="F813" s="1764"/>
      <c r="G813" s="1764"/>
      <c r="H813" s="1764"/>
      <c r="I813" s="1764"/>
      <c r="J813" s="1764"/>
      <c r="K813" s="1764"/>
      <c r="L813" s="1764"/>
      <c r="M813" s="1765"/>
      <c r="N813" s="1765"/>
      <c r="O813" s="1765"/>
      <c r="P813" s="1765"/>
      <c r="Q813" s="1765"/>
      <c r="W813" t="s">
        <v>2089</v>
      </c>
    </row>
    <row r="814" spans="1:23" ht="13.15" customHeight="1" x14ac:dyDescent="0.2">
      <c r="A814" s="2" t="s">
        <v>2241</v>
      </c>
      <c r="B814" s="2">
        <f t="shared" si="24"/>
        <v>2019</v>
      </c>
      <c r="C814" s="2" t="str">
        <f t="shared" si="25"/>
        <v>EC101</v>
      </c>
      <c r="D814" s="2">
        <v>196</v>
      </c>
      <c r="F814" s="1764"/>
      <c r="G814" s="1764"/>
      <c r="H814" s="1764"/>
      <c r="I814" s="1764"/>
      <c r="J814" s="1764"/>
      <c r="K814" s="1764"/>
      <c r="L814" s="1764"/>
      <c r="M814" s="1765"/>
      <c r="N814" s="1765"/>
      <c r="O814" s="1765"/>
      <c r="P814" s="1765"/>
      <c r="Q814" s="1765"/>
      <c r="W814" t="s">
        <v>2089</v>
      </c>
    </row>
    <row r="815" spans="1:23" ht="13.15" customHeight="1" x14ac:dyDescent="0.2">
      <c r="A815" s="2" t="s">
        <v>2241</v>
      </c>
      <c r="B815" s="2">
        <f t="shared" si="24"/>
        <v>2019</v>
      </c>
      <c r="C815" s="2" t="str">
        <f t="shared" si="25"/>
        <v>EC101</v>
      </c>
      <c r="D815" s="2">
        <v>197</v>
      </c>
      <c r="F815" s="1764"/>
      <c r="G815" s="1764"/>
      <c r="H815" s="1764"/>
      <c r="I815" s="1764"/>
      <c r="J815" s="1764"/>
      <c r="K815" s="1764"/>
      <c r="L815" s="1764"/>
      <c r="M815" s="1765"/>
      <c r="N815" s="1765"/>
      <c r="O815" s="1765"/>
      <c r="P815" s="1765"/>
      <c r="Q815" s="1765"/>
      <c r="W815" t="s">
        <v>2089</v>
      </c>
    </row>
    <row r="816" spans="1:23" ht="13.15" customHeight="1" x14ac:dyDescent="0.2">
      <c r="A816" s="2" t="s">
        <v>2241</v>
      </c>
      <c r="B816" s="2">
        <f t="shared" si="24"/>
        <v>2019</v>
      </c>
      <c r="C816" s="2" t="str">
        <f t="shared" si="25"/>
        <v>EC101</v>
      </c>
      <c r="D816" s="2">
        <v>198</v>
      </c>
      <c r="F816" s="1764"/>
      <c r="G816" s="1764"/>
      <c r="H816" s="1764"/>
      <c r="I816" s="1764"/>
      <c r="J816" s="1764"/>
      <c r="K816" s="1764"/>
      <c r="L816" s="1764"/>
      <c r="M816" s="1765"/>
      <c r="N816" s="1765"/>
      <c r="O816" s="1765"/>
      <c r="P816" s="1765"/>
      <c r="Q816" s="1765"/>
      <c r="W816" t="s">
        <v>2089</v>
      </c>
    </row>
    <row r="817" spans="1:23" ht="13.15" customHeight="1" x14ac:dyDescent="0.2">
      <c r="A817" s="2" t="s">
        <v>2241</v>
      </c>
      <c r="B817" s="2">
        <f t="shared" si="24"/>
        <v>2019</v>
      </c>
      <c r="C817" s="2" t="str">
        <f t="shared" si="25"/>
        <v>EC101</v>
      </c>
      <c r="D817" s="2">
        <v>199</v>
      </c>
      <c r="F817" s="1764"/>
      <c r="G817" s="1764"/>
      <c r="H817" s="1764"/>
      <c r="I817" s="1764"/>
      <c r="J817" s="1764"/>
      <c r="K817" s="1764"/>
      <c r="L817" s="1764"/>
      <c r="M817" s="1765"/>
      <c r="N817" s="1765"/>
      <c r="O817" s="1765"/>
      <c r="P817" s="1765"/>
      <c r="Q817" s="1765"/>
      <c r="W817" t="s">
        <v>2089</v>
      </c>
    </row>
    <row r="818" spans="1:23" ht="13.15" customHeight="1" x14ac:dyDescent="0.2">
      <c r="A818" s="2" t="s">
        <v>2241</v>
      </c>
      <c r="B818" s="2">
        <f t="shared" si="24"/>
        <v>2019</v>
      </c>
      <c r="C818" s="2" t="str">
        <f t="shared" si="25"/>
        <v>EC101</v>
      </c>
      <c r="D818" s="2">
        <v>200</v>
      </c>
      <c r="F818" s="1764"/>
      <c r="G818" s="1764"/>
      <c r="H818" s="1764"/>
      <c r="I818" s="1764"/>
      <c r="J818" s="1764"/>
      <c r="K818" s="1764"/>
      <c r="L818" s="1764"/>
      <c r="M818" s="1765"/>
      <c r="N818" s="1765"/>
      <c r="O818" s="1765"/>
      <c r="P818" s="1765"/>
      <c r="Q818" s="1765"/>
      <c r="W818" t="s">
        <v>2089</v>
      </c>
    </row>
    <row r="819" spans="1:23" ht="13.15" customHeight="1" x14ac:dyDescent="0.2">
      <c r="A819" s="2" t="s">
        <v>2241</v>
      </c>
      <c r="B819" s="2">
        <f t="shared" si="24"/>
        <v>2019</v>
      </c>
      <c r="C819" s="2" t="str">
        <f t="shared" si="25"/>
        <v>EC101</v>
      </c>
      <c r="D819" s="2">
        <v>201</v>
      </c>
      <c r="F819" s="1764"/>
      <c r="G819" s="1764"/>
      <c r="H819" s="1764"/>
      <c r="I819" s="1764"/>
      <c r="J819" s="1764"/>
      <c r="K819" s="1764"/>
      <c r="L819" s="1764"/>
      <c r="M819" s="1765"/>
      <c r="N819" s="1765"/>
      <c r="O819" s="1765"/>
      <c r="P819" s="1765"/>
      <c r="Q819" s="1765"/>
      <c r="W819" t="s">
        <v>2089</v>
      </c>
    </row>
    <row r="820" spans="1:23" ht="13.15" customHeight="1" x14ac:dyDescent="0.2">
      <c r="A820" s="2" t="s">
        <v>2241</v>
      </c>
      <c r="B820" s="2">
        <f t="shared" si="24"/>
        <v>2019</v>
      </c>
      <c r="C820" s="2" t="str">
        <f t="shared" si="25"/>
        <v>EC101</v>
      </c>
      <c r="D820" s="2">
        <v>202</v>
      </c>
      <c r="F820" s="1764"/>
      <c r="G820" s="1764"/>
      <c r="H820" s="1764"/>
      <c r="I820" s="1764"/>
      <c r="J820" s="1764"/>
      <c r="K820" s="1764"/>
      <c r="L820" s="1764"/>
      <c r="M820" s="1765"/>
      <c r="N820" s="1765"/>
      <c r="O820" s="1765"/>
      <c r="P820" s="1765"/>
      <c r="Q820" s="1765"/>
      <c r="W820" t="s">
        <v>2089</v>
      </c>
    </row>
    <row r="821" spans="1:23" ht="13.15" customHeight="1" x14ac:dyDescent="0.2">
      <c r="A821" s="2" t="s">
        <v>2241</v>
      </c>
      <c r="B821" s="2">
        <f t="shared" si="24"/>
        <v>2019</v>
      </c>
      <c r="C821" s="2" t="str">
        <f t="shared" si="25"/>
        <v>EC101</v>
      </c>
      <c r="D821" s="2">
        <v>203</v>
      </c>
      <c r="F821" s="1764"/>
      <c r="G821" s="1764"/>
      <c r="H821" s="1764"/>
      <c r="I821" s="1764"/>
      <c r="J821" s="1764"/>
      <c r="K821" s="1764"/>
      <c r="L821" s="1764"/>
      <c r="M821" s="1765"/>
      <c r="N821" s="1765"/>
      <c r="O821" s="1765"/>
      <c r="P821" s="1765"/>
      <c r="Q821" s="1765"/>
      <c r="W821" t="s">
        <v>2089</v>
      </c>
    </row>
    <row r="822" spans="1:23" ht="13.15" customHeight="1" x14ac:dyDescent="0.2">
      <c r="A822" s="2" t="s">
        <v>2241</v>
      </c>
      <c r="B822" s="2">
        <f t="shared" si="24"/>
        <v>2019</v>
      </c>
      <c r="C822" s="2" t="str">
        <f t="shared" si="25"/>
        <v>EC101</v>
      </c>
      <c r="D822" s="2">
        <v>204</v>
      </c>
      <c r="F822" s="1764"/>
      <c r="G822" s="1764"/>
      <c r="H822" s="1764"/>
      <c r="I822" s="1764"/>
      <c r="J822" s="1764"/>
      <c r="K822" s="1764"/>
      <c r="L822" s="1764"/>
      <c r="M822" s="1765"/>
      <c r="N822" s="1765"/>
      <c r="O822" s="1765"/>
      <c r="P822" s="1765"/>
      <c r="Q822" s="1765"/>
      <c r="W822" t="s">
        <v>2089</v>
      </c>
    </row>
    <row r="823" spans="1:23" ht="13.15" customHeight="1" x14ac:dyDescent="0.2">
      <c r="A823" s="2" t="s">
        <v>2241</v>
      </c>
      <c r="B823" s="2">
        <f t="shared" si="24"/>
        <v>2019</v>
      </c>
      <c r="C823" s="2" t="str">
        <f t="shared" si="25"/>
        <v>EC101</v>
      </c>
      <c r="D823" s="2">
        <v>205</v>
      </c>
      <c r="F823" s="1764"/>
      <c r="G823" s="1764"/>
      <c r="H823" s="1764"/>
      <c r="I823" s="1764"/>
      <c r="J823" s="1764"/>
      <c r="K823" s="1764"/>
      <c r="L823" s="1764"/>
      <c r="M823" s="1765"/>
      <c r="N823" s="1765"/>
      <c r="O823" s="1765"/>
      <c r="P823" s="1765"/>
      <c r="Q823" s="1765"/>
      <c r="W823" t="s">
        <v>2089</v>
      </c>
    </row>
    <row r="824" spans="1:23" ht="13.15" customHeight="1" x14ac:dyDescent="0.2">
      <c r="A824" s="2" t="s">
        <v>2241</v>
      </c>
      <c r="B824" s="2">
        <f t="shared" si="24"/>
        <v>2019</v>
      </c>
      <c r="C824" s="2" t="str">
        <f t="shared" si="25"/>
        <v>EC101</v>
      </c>
      <c r="D824" s="2">
        <v>206</v>
      </c>
      <c r="F824" s="1764"/>
      <c r="G824" s="1764"/>
      <c r="H824" s="1764"/>
      <c r="I824" s="1764"/>
      <c r="J824" s="1764"/>
      <c r="K824" s="1764"/>
      <c r="L824" s="1764"/>
      <c r="M824" s="1765"/>
      <c r="N824" s="1765"/>
      <c r="O824" s="1765"/>
      <c r="P824" s="1765"/>
      <c r="Q824" s="1765"/>
      <c r="W824" t="s">
        <v>2089</v>
      </c>
    </row>
    <row r="825" spans="1:23" ht="13.15" customHeight="1" x14ac:dyDescent="0.2">
      <c r="A825" s="2" t="s">
        <v>2241</v>
      </c>
      <c r="B825" s="2">
        <f t="shared" si="24"/>
        <v>2019</v>
      </c>
      <c r="C825" s="2" t="str">
        <f t="shared" si="25"/>
        <v>EC101</v>
      </c>
      <c r="D825" s="2">
        <v>207</v>
      </c>
      <c r="F825" s="1764"/>
      <c r="G825" s="1764"/>
      <c r="H825" s="1764"/>
      <c r="I825" s="1764"/>
      <c r="J825" s="1764"/>
      <c r="K825" s="1764"/>
      <c r="L825" s="1764"/>
      <c r="M825" s="1765"/>
      <c r="N825" s="1765"/>
      <c r="O825" s="1765"/>
      <c r="P825" s="1765"/>
      <c r="Q825" s="1765"/>
      <c r="W825" t="s">
        <v>2089</v>
      </c>
    </row>
    <row r="826" spans="1:23" ht="13.15" customHeight="1" x14ac:dyDescent="0.2">
      <c r="A826" s="2" t="s">
        <v>2241</v>
      </c>
      <c r="B826" s="2">
        <f t="shared" si="24"/>
        <v>2019</v>
      </c>
      <c r="C826" s="2" t="str">
        <f t="shared" si="25"/>
        <v>EC101</v>
      </c>
      <c r="D826" s="2">
        <v>208</v>
      </c>
      <c r="F826" s="1764"/>
      <c r="G826" s="1764"/>
      <c r="H826" s="1764"/>
      <c r="I826" s="1764"/>
      <c r="J826" s="1764"/>
      <c r="K826" s="1764"/>
      <c r="L826" s="1764"/>
      <c r="M826" s="1765"/>
      <c r="N826" s="1765"/>
      <c r="O826" s="1765"/>
      <c r="P826" s="1765"/>
      <c r="Q826" s="1765"/>
      <c r="W826" t="s">
        <v>2089</v>
      </c>
    </row>
    <row r="827" spans="1:23" ht="13.15" customHeight="1" x14ac:dyDescent="0.2">
      <c r="A827" s="2" t="s">
        <v>2241</v>
      </c>
      <c r="B827" s="2">
        <f t="shared" si="24"/>
        <v>2019</v>
      </c>
      <c r="C827" s="2" t="str">
        <f t="shared" si="25"/>
        <v>EC101</v>
      </c>
      <c r="D827" s="2">
        <v>209</v>
      </c>
      <c r="F827" s="1764"/>
      <c r="G827" s="1764"/>
      <c r="H827" s="1764"/>
      <c r="I827" s="1764"/>
      <c r="J827" s="1764"/>
      <c r="K827" s="1764"/>
      <c r="L827" s="1764"/>
      <c r="M827" s="1765"/>
      <c r="N827" s="1765"/>
      <c r="O827" s="1765"/>
      <c r="P827" s="1765"/>
      <c r="Q827" s="1765"/>
      <c r="W827" t="s">
        <v>2089</v>
      </c>
    </row>
    <row r="828" spans="1:23" ht="13.15" customHeight="1" x14ac:dyDescent="0.2">
      <c r="A828" s="2" t="s">
        <v>2241</v>
      </c>
      <c r="B828" s="2">
        <f t="shared" si="24"/>
        <v>2019</v>
      </c>
      <c r="C828" s="2" t="str">
        <f t="shared" si="25"/>
        <v>EC101</v>
      </c>
      <c r="D828" s="2">
        <v>210</v>
      </c>
      <c r="F828" s="1764"/>
      <c r="G828" s="1764"/>
      <c r="H828" s="1764"/>
      <c r="I828" s="1764"/>
      <c r="J828" s="1764"/>
      <c r="K828" s="1764"/>
      <c r="L828" s="1764"/>
      <c r="M828" s="1765"/>
      <c r="N828" s="1765"/>
      <c r="O828" s="1765"/>
      <c r="P828" s="1765"/>
      <c r="Q828" s="1765"/>
      <c r="W828" t="s">
        <v>2089</v>
      </c>
    </row>
    <row r="829" spans="1:23" ht="13.15" customHeight="1" x14ac:dyDescent="0.2">
      <c r="A829" s="2" t="s">
        <v>2241</v>
      </c>
      <c r="B829" s="2">
        <f t="shared" si="24"/>
        <v>2019</v>
      </c>
      <c r="C829" s="2" t="str">
        <f t="shared" si="25"/>
        <v>EC101</v>
      </c>
      <c r="D829" s="2">
        <v>211</v>
      </c>
      <c r="F829" s="1764"/>
      <c r="G829" s="1764"/>
      <c r="H829" s="1764"/>
      <c r="I829" s="1764"/>
      <c r="J829" s="1764"/>
      <c r="K829" s="1764"/>
      <c r="L829" s="1764"/>
      <c r="M829" s="1765"/>
      <c r="N829" s="1765"/>
      <c r="O829" s="1765"/>
      <c r="P829" s="1765"/>
      <c r="Q829" s="1765"/>
      <c r="W829" t="s">
        <v>2089</v>
      </c>
    </row>
    <row r="830" spans="1:23" ht="13.15" customHeight="1" x14ac:dyDescent="0.2">
      <c r="A830" s="2" t="s">
        <v>2241</v>
      </c>
      <c r="B830" s="2">
        <f t="shared" si="24"/>
        <v>2019</v>
      </c>
      <c r="C830" s="2" t="str">
        <f t="shared" si="25"/>
        <v>EC101</v>
      </c>
      <c r="D830" s="2">
        <v>212</v>
      </c>
      <c r="F830" s="1764"/>
      <c r="G830" s="1764"/>
      <c r="H830" s="1764"/>
      <c r="I830" s="1764"/>
      <c r="J830" s="1764"/>
      <c r="K830" s="1764"/>
      <c r="L830" s="1764"/>
      <c r="M830" s="1765"/>
      <c r="N830" s="1765"/>
      <c r="O830" s="1765"/>
      <c r="P830" s="1765"/>
      <c r="Q830" s="1765"/>
      <c r="W830" t="s">
        <v>2089</v>
      </c>
    </row>
    <row r="831" spans="1:23" ht="13.15" customHeight="1" x14ac:dyDescent="0.2">
      <c r="A831" s="2" t="s">
        <v>2241</v>
      </c>
      <c r="B831" s="2">
        <f t="shared" si="24"/>
        <v>2019</v>
      </c>
      <c r="C831" s="2" t="str">
        <f t="shared" si="25"/>
        <v>EC101</v>
      </c>
      <c r="D831" s="2">
        <v>213</v>
      </c>
      <c r="F831" s="1764"/>
      <c r="G831" s="1764"/>
      <c r="H831" s="1764"/>
      <c r="I831" s="1764"/>
      <c r="J831" s="1764"/>
      <c r="K831" s="1764"/>
      <c r="L831" s="1764"/>
      <c r="M831" s="1765"/>
      <c r="N831" s="1765"/>
      <c r="O831" s="1765"/>
      <c r="P831" s="1765"/>
      <c r="Q831" s="1765"/>
      <c r="W831" t="s">
        <v>2089</v>
      </c>
    </row>
    <row r="832" spans="1:23" ht="13.15" customHeight="1" x14ac:dyDescent="0.2">
      <c r="A832" s="2" t="s">
        <v>2241</v>
      </c>
      <c r="B832" s="2">
        <f t="shared" si="24"/>
        <v>2019</v>
      </c>
      <c r="C832" s="2" t="str">
        <f t="shared" si="25"/>
        <v>EC101</v>
      </c>
      <c r="D832" s="2">
        <v>214</v>
      </c>
      <c r="F832" s="1764"/>
      <c r="G832" s="1764"/>
      <c r="H832" s="1764"/>
      <c r="I832" s="1764"/>
      <c r="J832" s="1764"/>
      <c r="K832" s="1764"/>
      <c r="L832" s="1764"/>
      <c r="M832" s="1765"/>
      <c r="N832" s="1765"/>
      <c r="O832" s="1765"/>
      <c r="P832" s="1765"/>
      <c r="Q832" s="1765"/>
      <c r="W832" t="s">
        <v>2089</v>
      </c>
    </row>
    <row r="833" spans="1:23" ht="13.15" customHeight="1" x14ac:dyDescent="0.2">
      <c r="A833" s="2" t="s">
        <v>2241</v>
      </c>
      <c r="B833" s="2">
        <f t="shared" si="24"/>
        <v>2019</v>
      </c>
      <c r="C833" s="2" t="str">
        <f t="shared" si="25"/>
        <v>EC101</v>
      </c>
      <c r="D833" s="2">
        <v>215</v>
      </c>
      <c r="F833" s="1764"/>
      <c r="G833" s="1764"/>
      <c r="H833" s="1764"/>
      <c r="I833" s="1764"/>
      <c r="J833" s="1764"/>
      <c r="K833" s="1764"/>
      <c r="L833" s="1764"/>
      <c r="M833" s="1765"/>
      <c r="N833" s="1765"/>
      <c r="O833" s="1765"/>
      <c r="P833" s="1765"/>
      <c r="Q833" s="1765"/>
      <c r="W833" t="s">
        <v>2089</v>
      </c>
    </row>
    <row r="834" spans="1:23" ht="13.15" customHeight="1" x14ac:dyDescent="0.2">
      <c r="A834" s="2" t="s">
        <v>2241</v>
      </c>
      <c r="B834" s="2">
        <f t="shared" ref="B834:B897" si="26">+MTREF</f>
        <v>2019</v>
      </c>
      <c r="C834" s="2" t="str">
        <f t="shared" ref="C834:C897" si="27">LEFT(muni,(FIND(" ",muni,1)-1))</f>
        <v>EC101</v>
      </c>
      <c r="D834" s="2">
        <v>216</v>
      </c>
      <c r="F834" s="1764"/>
      <c r="G834" s="1764"/>
      <c r="H834" s="1764"/>
      <c r="I834" s="1764"/>
      <c r="J834" s="1764"/>
      <c r="K834" s="1764"/>
      <c r="L834" s="1764"/>
      <c r="M834" s="1765"/>
      <c r="N834" s="1765"/>
      <c r="O834" s="1765"/>
      <c r="P834" s="1765"/>
      <c r="Q834" s="1765"/>
      <c r="W834" t="s">
        <v>2089</v>
      </c>
    </row>
    <row r="835" spans="1:23" ht="13.15" customHeight="1" x14ac:dyDescent="0.2">
      <c r="A835" s="2" t="s">
        <v>2241</v>
      </c>
      <c r="B835" s="2">
        <f t="shared" si="26"/>
        <v>2019</v>
      </c>
      <c r="C835" s="2" t="str">
        <f t="shared" si="27"/>
        <v>EC101</v>
      </c>
      <c r="D835" s="2">
        <v>217</v>
      </c>
      <c r="F835" s="1764"/>
      <c r="G835" s="1764"/>
      <c r="H835" s="1764"/>
      <c r="I835" s="1764"/>
      <c r="J835" s="1764"/>
      <c r="K835" s="1764"/>
      <c r="L835" s="1764"/>
      <c r="M835" s="1765"/>
      <c r="N835" s="1765"/>
      <c r="O835" s="1765"/>
      <c r="P835" s="1765"/>
      <c r="Q835" s="1765"/>
      <c r="W835" t="s">
        <v>2089</v>
      </c>
    </row>
    <row r="836" spans="1:23" ht="13.15" customHeight="1" x14ac:dyDescent="0.2">
      <c r="A836" s="2" t="s">
        <v>2241</v>
      </c>
      <c r="B836" s="2">
        <f t="shared" si="26"/>
        <v>2019</v>
      </c>
      <c r="C836" s="2" t="str">
        <f t="shared" si="27"/>
        <v>EC101</v>
      </c>
      <c r="D836" s="2">
        <v>218</v>
      </c>
      <c r="F836" s="1764"/>
      <c r="G836" s="1764"/>
      <c r="H836" s="1764"/>
      <c r="I836" s="1764"/>
      <c r="J836" s="1764"/>
      <c r="K836" s="1764"/>
      <c r="L836" s="1764"/>
      <c r="M836" s="1765"/>
      <c r="N836" s="1765"/>
      <c r="O836" s="1765"/>
      <c r="P836" s="1765"/>
      <c r="Q836" s="1765"/>
      <c r="W836" t="s">
        <v>2089</v>
      </c>
    </row>
    <row r="837" spans="1:23" ht="13.15" customHeight="1" x14ac:dyDescent="0.2">
      <c r="A837" s="2" t="s">
        <v>2241</v>
      </c>
      <c r="B837" s="2">
        <f t="shared" si="26"/>
        <v>2019</v>
      </c>
      <c r="C837" s="2" t="str">
        <f t="shared" si="27"/>
        <v>EC101</v>
      </c>
      <c r="D837" s="2">
        <v>219</v>
      </c>
      <c r="F837" s="1764"/>
      <c r="G837" s="1764"/>
      <c r="H837" s="1764"/>
      <c r="I837" s="1764"/>
      <c r="J837" s="1764"/>
      <c r="K837" s="1764"/>
      <c r="L837" s="1764"/>
      <c r="M837" s="1765"/>
      <c r="N837" s="1765"/>
      <c r="O837" s="1765"/>
      <c r="P837" s="1765"/>
      <c r="Q837" s="1765"/>
      <c r="W837" t="s">
        <v>2089</v>
      </c>
    </row>
    <row r="838" spans="1:23" ht="13.15" customHeight="1" x14ac:dyDescent="0.2">
      <c r="A838" s="2" t="s">
        <v>2241</v>
      </c>
      <c r="B838" s="2">
        <f t="shared" si="26"/>
        <v>2019</v>
      </c>
      <c r="C838" s="2" t="str">
        <f t="shared" si="27"/>
        <v>EC101</v>
      </c>
      <c r="D838" s="2">
        <v>220</v>
      </c>
      <c r="F838" s="1764"/>
      <c r="G838" s="1764"/>
      <c r="H838" s="1764"/>
      <c r="I838" s="1764"/>
      <c r="J838" s="1764"/>
      <c r="K838" s="1764"/>
      <c r="L838" s="1764"/>
      <c r="M838" s="1765"/>
      <c r="N838" s="1765"/>
      <c r="O838" s="1765"/>
      <c r="P838" s="1765"/>
      <c r="Q838" s="1765"/>
      <c r="W838" t="s">
        <v>2089</v>
      </c>
    </row>
    <row r="839" spans="1:23" ht="13.15" customHeight="1" x14ac:dyDescent="0.2">
      <c r="A839" s="2" t="s">
        <v>2241</v>
      </c>
      <c r="B839" s="2">
        <f t="shared" si="26"/>
        <v>2019</v>
      </c>
      <c r="C839" s="2" t="str">
        <f t="shared" si="27"/>
        <v>EC101</v>
      </c>
      <c r="D839" s="2">
        <v>221</v>
      </c>
      <c r="F839" s="1764"/>
      <c r="G839" s="1764"/>
      <c r="H839" s="1764"/>
      <c r="I839" s="1764"/>
      <c r="J839" s="1764"/>
      <c r="K839" s="1764"/>
      <c r="L839" s="1764"/>
      <c r="M839" s="1765"/>
      <c r="N839" s="1765"/>
      <c r="O839" s="1765"/>
      <c r="P839" s="1765"/>
      <c r="Q839" s="1765"/>
      <c r="W839" t="s">
        <v>2089</v>
      </c>
    </row>
    <row r="840" spans="1:23" ht="13.15" customHeight="1" x14ac:dyDescent="0.2">
      <c r="A840" s="2" t="s">
        <v>2241</v>
      </c>
      <c r="B840" s="2">
        <f t="shared" si="26"/>
        <v>2019</v>
      </c>
      <c r="C840" s="2" t="str">
        <f t="shared" si="27"/>
        <v>EC101</v>
      </c>
      <c r="D840" s="2">
        <v>222</v>
      </c>
      <c r="F840" s="1764"/>
      <c r="G840" s="1764"/>
      <c r="H840" s="1764"/>
      <c r="I840" s="1764"/>
      <c r="J840" s="1764"/>
      <c r="K840" s="1764"/>
      <c r="L840" s="1764"/>
      <c r="M840" s="1765"/>
      <c r="N840" s="1765"/>
      <c r="O840" s="1765"/>
      <c r="P840" s="1765"/>
      <c r="Q840" s="1765"/>
      <c r="W840" t="s">
        <v>2089</v>
      </c>
    </row>
    <row r="841" spans="1:23" ht="13.15" customHeight="1" x14ac:dyDescent="0.2">
      <c r="A841" s="2" t="s">
        <v>2241</v>
      </c>
      <c r="B841" s="2">
        <f t="shared" si="26"/>
        <v>2019</v>
      </c>
      <c r="C841" s="2" t="str">
        <f t="shared" si="27"/>
        <v>EC101</v>
      </c>
      <c r="D841" s="2">
        <v>223</v>
      </c>
      <c r="F841" s="1764"/>
      <c r="G841" s="1764"/>
      <c r="H841" s="1764"/>
      <c r="I841" s="1764"/>
      <c r="J841" s="1764"/>
      <c r="K841" s="1764"/>
      <c r="L841" s="1764"/>
      <c r="M841" s="1765"/>
      <c r="N841" s="1765"/>
      <c r="O841" s="1765"/>
      <c r="P841" s="1765"/>
      <c r="Q841" s="1765"/>
      <c r="W841" t="s">
        <v>2089</v>
      </c>
    </row>
    <row r="842" spans="1:23" ht="13.15" customHeight="1" x14ac:dyDescent="0.2">
      <c r="A842" s="2" t="s">
        <v>2241</v>
      </c>
      <c r="B842" s="2">
        <f t="shared" si="26"/>
        <v>2019</v>
      </c>
      <c r="C842" s="2" t="str">
        <f t="shared" si="27"/>
        <v>EC101</v>
      </c>
      <c r="D842" s="2">
        <v>224</v>
      </c>
      <c r="F842" s="1764"/>
      <c r="G842" s="1764"/>
      <c r="H842" s="1764"/>
      <c r="I842" s="1764"/>
      <c r="J842" s="1764"/>
      <c r="K842" s="1764"/>
      <c r="L842" s="1764"/>
      <c r="M842" s="1765"/>
      <c r="N842" s="1765"/>
      <c r="O842" s="1765"/>
      <c r="P842" s="1765"/>
      <c r="Q842" s="1765"/>
      <c r="W842" t="s">
        <v>2089</v>
      </c>
    </row>
    <row r="843" spans="1:23" ht="13.15" customHeight="1" x14ac:dyDescent="0.2">
      <c r="A843" s="2" t="s">
        <v>2241</v>
      </c>
      <c r="B843" s="2">
        <f t="shared" si="26"/>
        <v>2019</v>
      </c>
      <c r="C843" s="2" t="str">
        <f t="shared" si="27"/>
        <v>EC101</v>
      </c>
      <c r="D843" s="2">
        <v>225</v>
      </c>
      <c r="F843" s="1764"/>
      <c r="G843" s="1764"/>
      <c r="H843" s="1764"/>
      <c r="I843" s="1764"/>
      <c r="J843" s="1764"/>
      <c r="K843" s="1764"/>
      <c r="L843" s="1764"/>
      <c r="M843" s="1765"/>
      <c r="N843" s="1765"/>
      <c r="O843" s="1765"/>
      <c r="P843" s="1765"/>
      <c r="Q843" s="1765"/>
      <c r="W843" t="s">
        <v>2089</v>
      </c>
    </row>
    <row r="844" spans="1:23" ht="13.15" customHeight="1" x14ac:dyDescent="0.2">
      <c r="A844" s="2" t="s">
        <v>2241</v>
      </c>
      <c r="B844" s="2">
        <f t="shared" si="26"/>
        <v>2019</v>
      </c>
      <c r="C844" s="2" t="str">
        <f t="shared" si="27"/>
        <v>EC101</v>
      </c>
      <c r="D844" s="2">
        <v>226</v>
      </c>
      <c r="F844" s="1764"/>
      <c r="G844" s="1764"/>
      <c r="H844" s="1764"/>
      <c r="I844" s="1764"/>
      <c r="J844" s="1764"/>
      <c r="K844" s="1764"/>
      <c r="L844" s="1764"/>
      <c r="M844" s="1765"/>
      <c r="N844" s="1765"/>
      <c r="O844" s="1765"/>
      <c r="P844" s="1765"/>
      <c r="Q844" s="1765"/>
      <c r="W844" t="s">
        <v>2089</v>
      </c>
    </row>
    <row r="845" spans="1:23" ht="13.15" customHeight="1" x14ac:dyDescent="0.2">
      <c r="A845" s="2" t="s">
        <v>2241</v>
      </c>
      <c r="B845" s="2">
        <f t="shared" si="26"/>
        <v>2019</v>
      </c>
      <c r="C845" s="2" t="str">
        <f t="shared" si="27"/>
        <v>EC101</v>
      </c>
      <c r="D845" s="2">
        <v>227</v>
      </c>
      <c r="F845" s="1764"/>
      <c r="G845" s="1764"/>
      <c r="H845" s="1764"/>
      <c r="I845" s="1764"/>
      <c r="J845" s="1764"/>
      <c r="K845" s="1764"/>
      <c r="L845" s="1764"/>
      <c r="M845" s="1765"/>
      <c r="N845" s="1765"/>
      <c r="O845" s="1765"/>
      <c r="P845" s="1765"/>
      <c r="Q845" s="1765"/>
      <c r="W845" t="s">
        <v>2089</v>
      </c>
    </row>
    <row r="846" spans="1:23" ht="13.15" customHeight="1" x14ac:dyDescent="0.2">
      <c r="A846" s="2" t="s">
        <v>2241</v>
      </c>
      <c r="B846" s="2">
        <f t="shared" si="26"/>
        <v>2019</v>
      </c>
      <c r="C846" s="2" t="str">
        <f t="shared" si="27"/>
        <v>EC101</v>
      </c>
      <c r="D846" s="2">
        <v>228</v>
      </c>
      <c r="F846" s="1764"/>
      <c r="G846" s="1764"/>
      <c r="H846" s="1764"/>
      <c r="I846" s="1764"/>
      <c r="J846" s="1764"/>
      <c r="K846" s="1764"/>
      <c r="L846" s="1764"/>
      <c r="M846" s="1765"/>
      <c r="N846" s="1765"/>
      <c r="O846" s="1765"/>
      <c r="P846" s="1765"/>
      <c r="Q846" s="1765"/>
      <c r="W846" t="s">
        <v>2089</v>
      </c>
    </row>
    <row r="847" spans="1:23" ht="13.15" customHeight="1" x14ac:dyDescent="0.2">
      <c r="A847" s="2" t="s">
        <v>2241</v>
      </c>
      <c r="B847" s="2">
        <f t="shared" si="26"/>
        <v>2019</v>
      </c>
      <c r="C847" s="2" t="str">
        <f t="shared" si="27"/>
        <v>EC101</v>
      </c>
      <c r="D847" s="2">
        <v>229</v>
      </c>
      <c r="F847" s="1764"/>
      <c r="G847" s="1764"/>
      <c r="H847" s="1764"/>
      <c r="I847" s="1764"/>
      <c r="J847" s="1764"/>
      <c r="K847" s="1764"/>
      <c r="L847" s="1764"/>
      <c r="M847" s="1765"/>
      <c r="N847" s="1765"/>
      <c r="O847" s="1765"/>
      <c r="P847" s="1765"/>
      <c r="Q847" s="1765"/>
      <c r="W847" t="s">
        <v>2089</v>
      </c>
    </row>
    <row r="848" spans="1:23" ht="13.15" customHeight="1" x14ac:dyDescent="0.2">
      <c r="A848" s="2" t="s">
        <v>2241</v>
      </c>
      <c r="B848" s="2">
        <f t="shared" si="26"/>
        <v>2019</v>
      </c>
      <c r="C848" s="2" t="str">
        <f t="shared" si="27"/>
        <v>EC101</v>
      </c>
      <c r="D848" s="2">
        <v>230</v>
      </c>
      <c r="F848" s="1764"/>
      <c r="G848" s="1764"/>
      <c r="H848" s="1764"/>
      <c r="I848" s="1764"/>
      <c r="J848" s="1764"/>
      <c r="K848" s="1764"/>
      <c r="L848" s="1764"/>
      <c r="M848" s="1765"/>
      <c r="N848" s="1765"/>
      <c r="O848" s="1765"/>
      <c r="P848" s="1765"/>
      <c r="Q848" s="1765"/>
      <c r="W848" t="s">
        <v>2089</v>
      </c>
    </row>
    <row r="849" spans="1:23" ht="13.15" customHeight="1" x14ac:dyDescent="0.2">
      <c r="A849" s="2" t="s">
        <v>2241</v>
      </c>
      <c r="B849" s="2">
        <f t="shared" si="26"/>
        <v>2019</v>
      </c>
      <c r="C849" s="2" t="str">
        <f t="shared" si="27"/>
        <v>EC101</v>
      </c>
      <c r="D849" s="2">
        <v>231</v>
      </c>
      <c r="F849" s="1764"/>
      <c r="G849" s="1764"/>
      <c r="H849" s="1764"/>
      <c r="I849" s="1764"/>
      <c r="J849" s="1764"/>
      <c r="K849" s="1764"/>
      <c r="L849" s="1764"/>
      <c r="M849" s="1765"/>
      <c r="N849" s="1765"/>
      <c r="O849" s="1765"/>
      <c r="P849" s="1765"/>
      <c r="Q849" s="1765"/>
      <c r="W849" t="s">
        <v>2089</v>
      </c>
    </row>
    <row r="850" spans="1:23" ht="13.15" customHeight="1" x14ac:dyDescent="0.2">
      <c r="A850" s="2" t="s">
        <v>2241</v>
      </c>
      <c r="B850" s="2">
        <f t="shared" si="26"/>
        <v>2019</v>
      </c>
      <c r="C850" s="2" t="str">
        <f t="shared" si="27"/>
        <v>EC101</v>
      </c>
      <c r="D850" s="2">
        <v>232</v>
      </c>
      <c r="F850" s="1764"/>
      <c r="G850" s="1764"/>
      <c r="H850" s="1764"/>
      <c r="I850" s="1764"/>
      <c r="J850" s="1764"/>
      <c r="K850" s="1764"/>
      <c r="L850" s="1764"/>
      <c r="M850" s="1765"/>
      <c r="N850" s="1765"/>
      <c r="O850" s="1765"/>
      <c r="P850" s="1765"/>
      <c r="Q850" s="1765"/>
      <c r="W850" t="s">
        <v>2089</v>
      </c>
    </row>
    <row r="851" spans="1:23" ht="13.15" customHeight="1" x14ac:dyDescent="0.2">
      <c r="A851" s="2" t="s">
        <v>2241</v>
      </c>
      <c r="B851" s="2">
        <f t="shared" si="26"/>
        <v>2019</v>
      </c>
      <c r="C851" s="2" t="str">
        <f t="shared" si="27"/>
        <v>EC101</v>
      </c>
      <c r="D851" s="2">
        <v>233</v>
      </c>
      <c r="F851" s="1764"/>
      <c r="G851" s="1764"/>
      <c r="H851" s="1764"/>
      <c r="I851" s="1764"/>
      <c r="J851" s="1764"/>
      <c r="K851" s="1764"/>
      <c r="L851" s="1764"/>
      <c r="M851" s="1765"/>
      <c r="N851" s="1765"/>
      <c r="O851" s="1765"/>
      <c r="P851" s="1765"/>
      <c r="Q851" s="1765"/>
      <c r="W851" t="s">
        <v>2089</v>
      </c>
    </row>
    <row r="852" spans="1:23" ht="13.15" customHeight="1" x14ac:dyDescent="0.2">
      <c r="A852" s="2" t="s">
        <v>2241</v>
      </c>
      <c r="B852" s="2">
        <f t="shared" si="26"/>
        <v>2019</v>
      </c>
      <c r="C852" s="2" t="str">
        <f t="shared" si="27"/>
        <v>EC101</v>
      </c>
      <c r="D852" s="2">
        <v>234</v>
      </c>
      <c r="F852" s="1764"/>
      <c r="G852" s="1764"/>
      <c r="H852" s="1764"/>
      <c r="I852" s="1764"/>
      <c r="J852" s="1764"/>
      <c r="K852" s="1764"/>
      <c r="L852" s="1764"/>
      <c r="M852" s="1765"/>
      <c r="N852" s="1765"/>
      <c r="O852" s="1765"/>
      <c r="P852" s="1765"/>
      <c r="Q852" s="1765"/>
      <c r="W852" t="s">
        <v>2089</v>
      </c>
    </row>
    <row r="853" spans="1:23" ht="13.15" customHeight="1" x14ac:dyDescent="0.2">
      <c r="A853" s="2" t="s">
        <v>2241</v>
      </c>
      <c r="B853" s="2">
        <f t="shared" si="26"/>
        <v>2019</v>
      </c>
      <c r="C853" s="2" t="str">
        <f t="shared" si="27"/>
        <v>EC101</v>
      </c>
      <c r="D853" s="2">
        <v>235</v>
      </c>
      <c r="F853" s="1764"/>
      <c r="G853" s="1764"/>
      <c r="H853" s="1764"/>
      <c r="I853" s="1764"/>
      <c r="J853" s="1764"/>
      <c r="K853" s="1764"/>
      <c r="L853" s="1764"/>
      <c r="M853" s="1765"/>
      <c r="N853" s="1765"/>
      <c r="O853" s="1765"/>
      <c r="P853" s="1765"/>
      <c r="Q853" s="1765"/>
      <c r="W853" t="s">
        <v>2089</v>
      </c>
    </row>
    <row r="854" spans="1:23" ht="13.15" customHeight="1" x14ac:dyDescent="0.2">
      <c r="A854" s="2" t="s">
        <v>2241</v>
      </c>
      <c r="B854" s="2">
        <f t="shared" si="26"/>
        <v>2019</v>
      </c>
      <c r="C854" s="2" t="str">
        <f t="shared" si="27"/>
        <v>EC101</v>
      </c>
      <c r="D854" s="2">
        <v>236</v>
      </c>
      <c r="F854" s="1764"/>
      <c r="G854" s="1764"/>
      <c r="H854" s="1764"/>
      <c r="I854" s="1764"/>
      <c r="J854" s="1764"/>
      <c r="K854" s="1764"/>
      <c r="L854" s="1764"/>
      <c r="M854" s="1765"/>
      <c r="N854" s="1765"/>
      <c r="O854" s="1765"/>
      <c r="P854" s="1765"/>
      <c r="Q854" s="1765"/>
      <c r="W854" t="s">
        <v>2089</v>
      </c>
    </row>
    <row r="855" spans="1:23" ht="13.15" customHeight="1" x14ac:dyDescent="0.2">
      <c r="A855" s="2" t="s">
        <v>2241</v>
      </c>
      <c r="B855" s="2">
        <f t="shared" si="26"/>
        <v>2019</v>
      </c>
      <c r="C855" s="2" t="str">
        <f t="shared" si="27"/>
        <v>EC101</v>
      </c>
      <c r="D855" s="2">
        <v>237</v>
      </c>
      <c r="F855" s="1764"/>
      <c r="G855" s="1764"/>
      <c r="H855" s="1764"/>
      <c r="I855" s="1764"/>
      <c r="J855" s="1764"/>
      <c r="K855" s="1764"/>
      <c r="L855" s="1764"/>
      <c r="M855" s="1765"/>
      <c r="N855" s="1765"/>
      <c r="O855" s="1765"/>
      <c r="P855" s="1765"/>
      <c r="Q855" s="1765"/>
      <c r="W855" t="s">
        <v>2089</v>
      </c>
    </row>
    <row r="856" spans="1:23" ht="13.15" customHeight="1" x14ac:dyDescent="0.2">
      <c r="A856" s="2" t="s">
        <v>2241</v>
      </c>
      <c r="B856" s="2">
        <f t="shared" si="26"/>
        <v>2019</v>
      </c>
      <c r="C856" s="2" t="str">
        <f t="shared" si="27"/>
        <v>EC101</v>
      </c>
      <c r="D856" s="2">
        <v>238</v>
      </c>
      <c r="F856" s="1764"/>
      <c r="G856" s="1764"/>
      <c r="H856" s="1764"/>
      <c r="I856" s="1764"/>
      <c r="J856" s="1764"/>
      <c r="K856" s="1764"/>
      <c r="L856" s="1764"/>
      <c r="M856" s="1765"/>
      <c r="N856" s="1765"/>
      <c r="O856" s="1765"/>
      <c r="P856" s="1765"/>
      <c r="Q856" s="1765"/>
      <c r="W856" t="s">
        <v>2089</v>
      </c>
    </row>
    <row r="857" spans="1:23" ht="13.15" customHeight="1" x14ac:dyDescent="0.2">
      <c r="A857" s="2" t="s">
        <v>2241</v>
      </c>
      <c r="B857" s="2">
        <f t="shared" si="26"/>
        <v>2019</v>
      </c>
      <c r="C857" s="2" t="str">
        <f t="shared" si="27"/>
        <v>EC101</v>
      </c>
      <c r="D857" s="2">
        <v>239</v>
      </c>
      <c r="F857" s="1764"/>
      <c r="G857" s="1764"/>
      <c r="H857" s="1764"/>
      <c r="I857" s="1764"/>
      <c r="J857" s="1764"/>
      <c r="K857" s="1764"/>
      <c r="L857" s="1764"/>
      <c r="M857" s="1765"/>
      <c r="N857" s="1765"/>
      <c r="O857" s="1765"/>
      <c r="P857" s="1765"/>
      <c r="Q857" s="1765"/>
      <c r="W857" t="s">
        <v>2089</v>
      </c>
    </row>
    <row r="858" spans="1:23" ht="13.15" customHeight="1" x14ac:dyDescent="0.2">
      <c r="A858" s="2" t="s">
        <v>2241</v>
      </c>
      <c r="B858" s="2">
        <f t="shared" si="26"/>
        <v>2019</v>
      </c>
      <c r="C858" s="2" t="str">
        <f t="shared" si="27"/>
        <v>EC101</v>
      </c>
      <c r="D858" s="2">
        <v>240</v>
      </c>
      <c r="F858" s="1764"/>
      <c r="G858" s="1764"/>
      <c r="H858" s="1764"/>
      <c r="I858" s="1764"/>
      <c r="J858" s="1764"/>
      <c r="K858" s="1764"/>
      <c r="L858" s="1764"/>
      <c r="M858" s="1765"/>
      <c r="N858" s="1765"/>
      <c r="O858" s="1765"/>
      <c r="P858" s="1765"/>
      <c r="Q858" s="1765"/>
      <c r="W858" t="s">
        <v>2089</v>
      </c>
    </row>
    <row r="859" spans="1:23" ht="13.15" customHeight="1" x14ac:dyDescent="0.2">
      <c r="A859" s="2" t="s">
        <v>2241</v>
      </c>
      <c r="B859" s="2">
        <f t="shared" si="26"/>
        <v>2019</v>
      </c>
      <c r="C859" s="2" t="str">
        <f t="shared" si="27"/>
        <v>EC101</v>
      </c>
      <c r="D859" s="2">
        <v>241</v>
      </c>
      <c r="F859" s="1764"/>
      <c r="G859" s="1764"/>
      <c r="H859" s="1764"/>
      <c r="I859" s="1764"/>
      <c r="J859" s="1764"/>
      <c r="K859" s="1764"/>
      <c r="L859" s="1764"/>
      <c r="M859" s="1765"/>
      <c r="N859" s="1765"/>
      <c r="O859" s="1765"/>
      <c r="P859" s="1765"/>
      <c r="Q859" s="1765"/>
      <c r="W859" t="s">
        <v>2089</v>
      </c>
    </row>
    <row r="860" spans="1:23" ht="13.15" customHeight="1" x14ac:dyDescent="0.2">
      <c r="A860" s="2" t="s">
        <v>2241</v>
      </c>
      <c r="B860" s="2">
        <f t="shared" si="26"/>
        <v>2019</v>
      </c>
      <c r="C860" s="2" t="str">
        <f t="shared" si="27"/>
        <v>EC101</v>
      </c>
      <c r="D860" s="2">
        <v>242</v>
      </c>
      <c r="F860" s="1764"/>
      <c r="G860" s="1764"/>
      <c r="H860" s="1764"/>
      <c r="I860" s="1764"/>
      <c r="J860" s="1764"/>
      <c r="K860" s="1764"/>
      <c r="L860" s="1764"/>
      <c r="M860" s="1765"/>
      <c r="N860" s="1765"/>
      <c r="O860" s="1765"/>
      <c r="P860" s="1765"/>
      <c r="Q860" s="1765"/>
      <c r="W860" t="s">
        <v>2089</v>
      </c>
    </row>
    <row r="861" spans="1:23" ht="13.15" customHeight="1" x14ac:dyDescent="0.2">
      <c r="A861" s="2" t="s">
        <v>2241</v>
      </c>
      <c r="B861" s="2">
        <f t="shared" si="26"/>
        <v>2019</v>
      </c>
      <c r="C861" s="2" t="str">
        <f t="shared" si="27"/>
        <v>EC101</v>
      </c>
      <c r="D861" s="2">
        <v>243</v>
      </c>
      <c r="F861" s="1764"/>
      <c r="G861" s="1764"/>
      <c r="H861" s="1764"/>
      <c r="I861" s="1764"/>
      <c r="J861" s="1764"/>
      <c r="K861" s="1764"/>
      <c r="L861" s="1764"/>
      <c r="M861" s="1765"/>
      <c r="N861" s="1765"/>
      <c r="O861" s="1765"/>
      <c r="P861" s="1765"/>
      <c r="Q861" s="1765"/>
      <c r="W861" t="s">
        <v>2089</v>
      </c>
    </row>
    <row r="862" spans="1:23" ht="13.15" customHeight="1" x14ac:dyDescent="0.2">
      <c r="A862" s="2" t="s">
        <v>2241</v>
      </c>
      <c r="B862" s="2">
        <f t="shared" si="26"/>
        <v>2019</v>
      </c>
      <c r="C862" s="2" t="str">
        <f t="shared" si="27"/>
        <v>EC101</v>
      </c>
      <c r="D862" s="2">
        <v>244</v>
      </c>
      <c r="F862" s="1764"/>
      <c r="G862" s="1764"/>
      <c r="H862" s="1764"/>
      <c r="I862" s="1764"/>
      <c r="J862" s="1764"/>
      <c r="K862" s="1764"/>
      <c r="L862" s="1764"/>
      <c r="M862" s="1765"/>
      <c r="N862" s="1765"/>
      <c r="O862" s="1765"/>
      <c r="P862" s="1765"/>
      <c r="Q862" s="1765"/>
      <c r="W862" t="s">
        <v>2089</v>
      </c>
    </row>
    <row r="863" spans="1:23" ht="13.15" customHeight="1" x14ac:dyDescent="0.2">
      <c r="A863" s="2" t="s">
        <v>2241</v>
      </c>
      <c r="B863" s="2">
        <f t="shared" si="26"/>
        <v>2019</v>
      </c>
      <c r="C863" s="2" t="str">
        <f t="shared" si="27"/>
        <v>EC101</v>
      </c>
      <c r="D863" s="2">
        <v>245</v>
      </c>
      <c r="F863" s="1764"/>
      <c r="G863" s="1764"/>
      <c r="H863" s="1764"/>
      <c r="I863" s="1764"/>
      <c r="J863" s="1764"/>
      <c r="K863" s="1764"/>
      <c r="L863" s="1764"/>
      <c r="M863" s="1765"/>
      <c r="N863" s="1765"/>
      <c r="O863" s="1765"/>
      <c r="P863" s="1765"/>
      <c r="Q863" s="1765"/>
      <c r="W863" t="s">
        <v>2089</v>
      </c>
    </row>
    <row r="864" spans="1:23" ht="13.15" customHeight="1" x14ac:dyDescent="0.2">
      <c r="A864" s="2" t="s">
        <v>2241</v>
      </c>
      <c r="B864" s="2">
        <f t="shared" si="26"/>
        <v>2019</v>
      </c>
      <c r="C864" s="2" t="str">
        <f t="shared" si="27"/>
        <v>EC101</v>
      </c>
      <c r="D864" s="2">
        <v>246</v>
      </c>
      <c r="F864" s="1764"/>
      <c r="G864" s="1764"/>
      <c r="H864" s="1764"/>
      <c r="I864" s="1764"/>
      <c r="J864" s="1764"/>
      <c r="K864" s="1764"/>
      <c r="L864" s="1764"/>
      <c r="M864" s="1765"/>
      <c r="N864" s="1765"/>
      <c r="O864" s="1765"/>
      <c r="P864" s="1765"/>
      <c r="Q864" s="1765"/>
      <c r="W864" t="s">
        <v>2089</v>
      </c>
    </row>
    <row r="865" spans="1:23" ht="13.15" customHeight="1" x14ac:dyDescent="0.2">
      <c r="A865" s="2" t="s">
        <v>2241</v>
      </c>
      <c r="B865" s="2">
        <f t="shared" si="26"/>
        <v>2019</v>
      </c>
      <c r="C865" s="2" t="str">
        <f t="shared" si="27"/>
        <v>EC101</v>
      </c>
      <c r="D865" s="2">
        <v>247</v>
      </c>
      <c r="F865" s="1764"/>
      <c r="G865" s="1764"/>
      <c r="H865" s="1764"/>
      <c r="I865" s="1764"/>
      <c r="J865" s="1764"/>
      <c r="K865" s="1764"/>
      <c r="L865" s="1764"/>
      <c r="M865" s="1765"/>
      <c r="N865" s="1765"/>
      <c r="O865" s="1765"/>
      <c r="P865" s="1765"/>
      <c r="Q865" s="1765"/>
      <c r="W865" t="s">
        <v>2089</v>
      </c>
    </row>
    <row r="866" spans="1:23" ht="13.15" customHeight="1" x14ac:dyDescent="0.2">
      <c r="A866" s="2" t="s">
        <v>2241</v>
      </c>
      <c r="B866" s="2">
        <f t="shared" si="26"/>
        <v>2019</v>
      </c>
      <c r="C866" s="2" t="str">
        <f t="shared" si="27"/>
        <v>EC101</v>
      </c>
      <c r="D866" s="2">
        <v>248</v>
      </c>
      <c r="F866" s="1764"/>
      <c r="G866" s="1764"/>
      <c r="H866" s="1764"/>
      <c r="I866" s="1764"/>
      <c r="J866" s="1764"/>
      <c r="K866" s="1764"/>
      <c r="L866" s="1764"/>
      <c r="M866" s="1765"/>
      <c r="N866" s="1765"/>
      <c r="O866" s="1765"/>
      <c r="P866" s="1765"/>
      <c r="Q866" s="1765"/>
      <c r="W866" t="s">
        <v>2089</v>
      </c>
    </row>
    <row r="867" spans="1:23" ht="13.15" customHeight="1" x14ac:dyDescent="0.2">
      <c r="A867" s="2" t="s">
        <v>2241</v>
      </c>
      <c r="B867" s="2">
        <f t="shared" si="26"/>
        <v>2019</v>
      </c>
      <c r="C867" s="2" t="str">
        <f t="shared" si="27"/>
        <v>EC101</v>
      </c>
      <c r="D867" s="2">
        <v>249</v>
      </c>
      <c r="F867" s="1764"/>
      <c r="G867" s="1764"/>
      <c r="H867" s="1764"/>
      <c r="I867" s="1764"/>
      <c r="J867" s="1764"/>
      <c r="K867" s="1764"/>
      <c r="L867" s="1764"/>
      <c r="M867" s="1765"/>
      <c r="N867" s="1765"/>
      <c r="O867" s="1765"/>
      <c r="P867" s="1765"/>
      <c r="Q867" s="1765"/>
      <c r="W867" t="s">
        <v>2089</v>
      </c>
    </row>
    <row r="868" spans="1:23" ht="13.15" customHeight="1" x14ac:dyDescent="0.2">
      <c r="A868" s="2" t="s">
        <v>2241</v>
      </c>
      <c r="B868" s="2">
        <f t="shared" si="26"/>
        <v>2019</v>
      </c>
      <c r="C868" s="2" t="str">
        <f t="shared" si="27"/>
        <v>EC101</v>
      </c>
      <c r="D868" s="2">
        <v>250</v>
      </c>
      <c r="F868" s="1764"/>
      <c r="G868" s="1764"/>
      <c r="H868" s="1764"/>
      <c r="I868" s="1764"/>
      <c r="J868" s="1764"/>
      <c r="K868" s="1764"/>
      <c r="L868" s="1764"/>
      <c r="M868" s="1765"/>
      <c r="N868" s="1765"/>
      <c r="O868" s="1765"/>
      <c r="P868" s="1765"/>
      <c r="Q868" s="1765"/>
      <c r="W868" t="s">
        <v>2089</v>
      </c>
    </row>
    <row r="869" spans="1:23" ht="13.15" customHeight="1" x14ac:dyDescent="0.2">
      <c r="A869" s="2" t="s">
        <v>2241</v>
      </c>
      <c r="B869" s="2">
        <f t="shared" si="26"/>
        <v>2019</v>
      </c>
      <c r="C869" s="2" t="str">
        <f t="shared" si="27"/>
        <v>EC101</v>
      </c>
      <c r="D869" s="2">
        <v>251</v>
      </c>
      <c r="F869" s="1764"/>
      <c r="G869" s="1764"/>
      <c r="H869" s="1764"/>
      <c r="I869" s="1764"/>
      <c r="J869" s="1764"/>
      <c r="K869" s="1764"/>
      <c r="L869" s="1764"/>
      <c r="M869" s="1765"/>
      <c r="N869" s="1765"/>
      <c r="O869" s="1765"/>
      <c r="P869" s="1765"/>
      <c r="Q869" s="1765"/>
      <c r="W869" t="s">
        <v>2089</v>
      </c>
    </row>
    <row r="870" spans="1:23" ht="13.15" customHeight="1" x14ac:dyDescent="0.2">
      <c r="A870" s="2" t="s">
        <v>2241</v>
      </c>
      <c r="B870" s="2">
        <f t="shared" si="26"/>
        <v>2019</v>
      </c>
      <c r="C870" s="2" t="str">
        <f t="shared" si="27"/>
        <v>EC101</v>
      </c>
      <c r="D870" s="2">
        <v>252</v>
      </c>
      <c r="F870" s="1764"/>
      <c r="G870" s="1764"/>
      <c r="H870" s="1764"/>
      <c r="I870" s="1764"/>
      <c r="J870" s="1764"/>
      <c r="K870" s="1764"/>
      <c r="L870" s="1764"/>
      <c r="M870" s="1765"/>
      <c r="N870" s="1765"/>
      <c r="O870" s="1765"/>
      <c r="P870" s="1765"/>
      <c r="Q870" s="1765"/>
      <c r="W870" t="s">
        <v>2089</v>
      </c>
    </row>
    <row r="871" spans="1:23" ht="13.15" customHeight="1" x14ac:dyDescent="0.2">
      <c r="A871" s="2" t="s">
        <v>2241</v>
      </c>
      <c r="B871" s="2">
        <f t="shared" si="26"/>
        <v>2019</v>
      </c>
      <c r="C871" s="2" t="str">
        <f t="shared" si="27"/>
        <v>EC101</v>
      </c>
      <c r="D871" s="2">
        <v>253</v>
      </c>
      <c r="F871" s="1764"/>
      <c r="G871" s="1764"/>
      <c r="H871" s="1764"/>
      <c r="I871" s="1764"/>
      <c r="J871" s="1764"/>
      <c r="K871" s="1764"/>
      <c r="L871" s="1764"/>
      <c r="M871" s="1765"/>
      <c r="N871" s="1765"/>
      <c r="O871" s="1765"/>
      <c r="P871" s="1765"/>
      <c r="Q871" s="1765"/>
      <c r="W871" t="s">
        <v>2089</v>
      </c>
    </row>
    <row r="872" spans="1:23" ht="13.15" customHeight="1" x14ac:dyDescent="0.2">
      <c r="A872" s="2" t="s">
        <v>2241</v>
      </c>
      <c r="B872" s="2">
        <f t="shared" si="26"/>
        <v>2019</v>
      </c>
      <c r="C872" s="2" t="str">
        <f t="shared" si="27"/>
        <v>EC101</v>
      </c>
      <c r="D872" s="2">
        <v>254</v>
      </c>
      <c r="F872" s="1764"/>
      <c r="G872" s="1764"/>
      <c r="H872" s="1764"/>
      <c r="I872" s="1764"/>
      <c r="J872" s="1764"/>
      <c r="K872" s="1764"/>
      <c r="L872" s="1764"/>
      <c r="M872" s="1765"/>
      <c r="N872" s="1765"/>
      <c r="O872" s="1765"/>
      <c r="P872" s="1765"/>
      <c r="Q872" s="1765"/>
      <c r="W872" t="s">
        <v>2089</v>
      </c>
    </row>
    <row r="873" spans="1:23" ht="13.15" customHeight="1" x14ac:dyDescent="0.2">
      <c r="A873" s="2" t="s">
        <v>2241</v>
      </c>
      <c r="B873" s="2">
        <f t="shared" si="26"/>
        <v>2019</v>
      </c>
      <c r="C873" s="2" t="str">
        <f t="shared" si="27"/>
        <v>EC101</v>
      </c>
      <c r="D873" s="2">
        <v>255</v>
      </c>
      <c r="F873" s="1764"/>
      <c r="G873" s="1764"/>
      <c r="H873" s="1764"/>
      <c r="I873" s="1764"/>
      <c r="J873" s="1764"/>
      <c r="K873" s="1764"/>
      <c r="L873" s="1764"/>
      <c r="M873" s="1765"/>
      <c r="N873" s="1765"/>
      <c r="O873" s="1765"/>
      <c r="P873" s="1765"/>
      <c r="Q873" s="1765"/>
      <c r="W873" t="s">
        <v>2089</v>
      </c>
    </row>
    <row r="874" spans="1:23" ht="13.15" customHeight="1" x14ac:dyDescent="0.2">
      <c r="A874" s="2" t="s">
        <v>2241</v>
      </c>
      <c r="B874" s="2">
        <f t="shared" si="26"/>
        <v>2019</v>
      </c>
      <c r="C874" s="2" t="str">
        <f t="shared" si="27"/>
        <v>EC101</v>
      </c>
      <c r="D874" s="2">
        <v>256</v>
      </c>
      <c r="F874" s="1764"/>
      <c r="G874" s="1764"/>
      <c r="H874" s="1764"/>
      <c r="I874" s="1764"/>
      <c r="J874" s="1764"/>
      <c r="K874" s="1764"/>
      <c r="L874" s="1764"/>
      <c r="M874" s="1765"/>
      <c r="N874" s="1765"/>
      <c r="O874" s="1765"/>
      <c r="P874" s="1765"/>
      <c r="Q874" s="1765"/>
      <c r="W874" t="s">
        <v>2089</v>
      </c>
    </row>
    <row r="875" spans="1:23" ht="13.15" customHeight="1" x14ac:dyDescent="0.2">
      <c r="A875" s="2" t="s">
        <v>2241</v>
      </c>
      <c r="B875" s="2">
        <f t="shared" si="26"/>
        <v>2019</v>
      </c>
      <c r="C875" s="2" t="str">
        <f t="shared" si="27"/>
        <v>EC101</v>
      </c>
      <c r="D875" s="2">
        <v>257</v>
      </c>
      <c r="F875" s="1764"/>
      <c r="G875" s="1764"/>
      <c r="H875" s="1764"/>
      <c r="I875" s="1764"/>
      <c r="J875" s="1764"/>
      <c r="K875" s="1764"/>
      <c r="L875" s="1764"/>
      <c r="M875" s="1765"/>
      <c r="N875" s="1765"/>
      <c r="O875" s="1765"/>
      <c r="P875" s="1765"/>
      <c r="Q875" s="1765"/>
      <c r="W875" t="s">
        <v>2089</v>
      </c>
    </row>
    <row r="876" spans="1:23" ht="13.15" customHeight="1" x14ac:dyDescent="0.2">
      <c r="A876" s="2" t="s">
        <v>2241</v>
      </c>
      <c r="B876" s="2">
        <f t="shared" si="26"/>
        <v>2019</v>
      </c>
      <c r="C876" s="2" t="str">
        <f t="shared" si="27"/>
        <v>EC101</v>
      </c>
      <c r="D876" s="2">
        <v>258</v>
      </c>
      <c r="F876" s="1764"/>
      <c r="G876" s="1764"/>
      <c r="H876" s="1764"/>
      <c r="I876" s="1764"/>
      <c r="J876" s="1764"/>
      <c r="K876" s="1764"/>
      <c r="L876" s="1764"/>
      <c r="M876" s="1765"/>
      <c r="N876" s="1765"/>
      <c r="O876" s="1765"/>
      <c r="P876" s="1765"/>
      <c r="Q876" s="1765"/>
      <c r="W876" t="s">
        <v>2089</v>
      </c>
    </row>
    <row r="877" spans="1:23" ht="13.15" customHeight="1" x14ac:dyDescent="0.2">
      <c r="A877" s="2" t="s">
        <v>2241</v>
      </c>
      <c r="B877" s="2">
        <f t="shared" si="26"/>
        <v>2019</v>
      </c>
      <c r="C877" s="2" t="str">
        <f t="shared" si="27"/>
        <v>EC101</v>
      </c>
      <c r="D877" s="2">
        <v>259</v>
      </c>
      <c r="F877" s="1764"/>
      <c r="G877" s="1764"/>
      <c r="H877" s="1764"/>
      <c r="I877" s="1764"/>
      <c r="J877" s="1764"/>
      <c r="K877" s="1764"/>
      <c r="L877" s="1764"/>
      <c r="M877" s="1765"/>
      <c r="N877" s="1765"/>
      <c r="O877" s="1765"/>
      <c r="P877" s="1765"/>
      <c r="Q877" s="1765"/>
      <c r="W877" t="s">
        <v>2089</v>
      </c>
    </row>
    <row r="878" spans="1:23" ht="13.15" customHeight="1" x14ac:dyDescent="0.2">
      <c r="A878" s="2" t="s">
        <v>2241</v>
      </c>
      <c r="B878" s="2">
        <f t="shared" si="26"/>
        <v>2019</v>
      </c>
      <c r="C878" s="2" t="str">
        <f t="shared" si="27"/>
        <v>EC101</v>
      </c>
      <c r="D878" s="2">
        <v>260</v>
      </c>
      <c r="F878" s="1764"/>
      <c r="G878" s="1764"/>
      <c r="H878" s="1764"/>
      <c r="I878" s="1764"/>
      <c r="J878" s="1764"/>
      <c r="K878" s="1764"/>
      <c r="L878" s="1764"/>
      <c r="M878" s="1765"/>
      <c r="N878" s="1765"/>
      <c r="O878" s="1765"/>
      <c r="P878" s="1765"/>
      <c r="Q878" s="1765"/>
      <c r="W878" t="s">
        <v>2089</v>
      </c>
    </row>
    <row r="879" spans="1:23" ht="13.15" customHeight="1" x14ac:dyDescent="0.2">
      <c r="A879" s="2" t="s">
        <v>2241</v>
      </c>
      <c r="B879" s="2">
        <f t="shared" si="26"/>
        <v>2019</v>
      </c>
      <c r="C879" s="2" t="str">
        <f t="shared" si="27"/>
        <v>EC101</v>
      </c>
      <c r="D879" s="2">
        <v>261</v>
      </c>
      <c r="F879" s="1764"/>
      <c r="G879" s="1764"/>
      <c r="H879" s="1764"/>
      <c r="I879" s="1764"/>
      <c r="J879" s="1764"/>
      <c r="K879" s="1764"/>
      <c r="L879" s="1764"/>
      <c r="M879" s="1765"/>
      <c r="N879" s="1765"/>
      <c r="O879" s="1765"/>
      <c r="P879" s="1765"/>
      <c r="Q879" s="1765"/>
      <c r="W879" t="s">
        <v>2089</v>
      </c>
    </row>
    <row r="880" spans="1:23" ht="13.15" customHeight="1" x14ac:dyDescent="0.2">
      <c r="A880" s="2" t="s">
        <v>2241</v>
      </c>
      <c r="B880" s="2">
        <f t="shared" si="26"/>
        <v>2019</v>
      </c>
      <c r="C880" s="2" t="str">
        <f t="shared" si="27"/>
        <v>EC101</v>
      </c>
      <c r="D880" s="2">
        <v>262</v>
      </c>
      <c r="F880" s="1764"/>
      <c r="G880" s="1764"/>
      <c r="H880" s="1764"/>
      <c r="I880" s="1764"/>
      <c r="J880" s="1764"/>
      <c r="K880" s="1764"/>
      <c r="L880" s="1764"/>
      <c r="M880" s="1765"/>
      <c r="N880" s="1765"/>
      <c r="O880" s="1765"/>
      <c r="P880" s="1765"/>
      <c r="Q880" s="1765"/>
      <c r="W880" t="s">
        <v>2089</v>
      </c>
    </row>
    <row r="881" spans="1:23" ht="13.15" customHeight="1" x14ac:dyDescent="0.2">
      <c r="A881" s="2" t="s">
        <v>2241</v>
      </c>
      <c r="B881" s="2">
        <f t="shared" si="26"/>
        <v>2019</v>
      </c>
      <c r="C881" s="2" t="str">
        <f t="shared" si="27"/>
        <v>EC101</v>
      </c>
      <c r="D881" s="2">
        <v>263</v>
      </c>
      <c r="F881" s="1764"/>
      <c r="G881" s="1764"/>
      <c r="H881" s="1764"/>
      <c r="I881" s="1764"/>
      <c r="J881" s="1764"/>
      <c r="K881" s="1764"/>
      <c r="L881" s="1764"/>
      <c r="M881" s="1765"/>
      <c r="N881" s="1765"/>
      <c r="O881" s="1765"/>
      <c r="P881" s="1765"/>
      <c r="Q881" s="1765"/>
      <c r="W881" t="s">
        <v>2089</v>
      </c>
    </row>
    <row r="882" spans="1:23" ht="13.15" customHeight="1" x14ac:dyDescent="0.2">
      <c r="A882" s="2" t="s">
        <v>2241</v>
      </c>
      <c r="B882" s="2">
        <f t="shared" si="26"/>
        <v>2019</v>
      </c>
      <c r="C882" s="2" t="str">
        <f t="shared" si="27"/>
        <v>EC101</v>
      </c>
      <c r="D882" s="2">
        <v>264</v>
      </c>
      <c r="F882" s="1764"/>
      <c r="G882" s="1764"/>
      <c r="H882" s="1764"/>
      <c r="I882" s="1764"/>
      <c r="J882" s="1764"/>
      <c r="K882" s="1764"/>
      <c r="L882" s="1764"/>
      <c r="M882" s="1765"/>
      <c r="N882" s="1765"/>
      <c r="O882" s="1765"/>
      <c r="P882" s="1765"/>
      <c r="Q882" s="1765"/>
      <c r="W882" t="s">
        <v>2089</v>
      </c>
    </row>
    <row r="883" spans="1:23" ht="13.15" customHeight="1" x14ac:dyDescent="0.2">
      <c r="A883" s="2" t="s">
        <v>2241</v>
      </c>
      <c r="B883" s="2">
        <f t="shared" si="26"/>
        <v>2019</v>
      </c>
      <c r="C883" s="2" t="str">
        <f t="shared" si="27"/>
        <v>EC101</v>
      </c>
      <c r="D883" s="2">
        <v>265</v>
      </c>
      <c r="F883" s="1764"/>
      <c r="G883" s="1764"/>
      <c r="H883" s="1764"/>
      <c r="I883" s="1764"/>
      <c r="J883" s="1764"/>
      <c r="K883" s="1764"/>
      <c r="L883" s="1764"/>
      <c r="M883" s="1765"/>
      <c r="N883" s="1765"/>
      <c r="O883" s="1765"/>
      <c r="P883" s="1765"/>
      <c r="Q883" s="1765"/>
      <c r="W883" t="s">
        <v>2089</v>
      </c>
    </row>
    <row r="884" spans="1:23" ht="13.15" customHeight="1" x14ac:dyDescent="0.2">
      <c r="A884" s="2" t="s">
        <v>2241</v>
      </c>
      <c r="B884" s="2">
        <f t="shared" si="26"/>
        <v>2019</v>
      </c>
      <c r="C884" s="2" t="str">
        <f t="shared" si="27"/>
        <v>EC101</v>
      </c>
      <c r="D884" s="2">
        <v>266</v>
      </c>
      <c r="F884" s="1764"/>
      <c r="G884" s="1764"/>
      <c r="H884" s="1764"/>
      <c r="I884" s="1764"/>
      <c r="J884" s="1764"/>
      <c r="K884" s="1764"/>
      <c r="L884" s="1764"/>
      <c r="M884" s="1765"/>
      <c r="N884" s="1765"/>
      <c r="O884" s="1765"/>
      <c r="P884" s="1765"/>
      <c r="Q884" s="1765"/>
      <c r="W884" t="s">
        <v>2089</v>
      </c>
    </row>
    <row r="885" spans="1:23" ht="13.15" customHeight="1" x14ac:dyDescent="0.2">
      <c r="A885" s="2" t="s">
        <v>2241</v>
      </c>
      <c r="B885" s="2">
        <f t="shared" si="26"/>
        <v>2019</v>
      </c>
      <c r="C885" s="2" t="str">
        <f t="shared" si="27"/>
        <v>EC101</v>
      </c>
      <c r="D885" s="2">
        <v>267</v>
      </c>
      <c r="F885" s="1764"/>
      <c r="G885" s="1764"/>
      <c r="H885" s="1764"/>
      <c r="I885" s="1764"/>
      <c r="J885" s="1764"/>
      <c r="K885" s="1764"/>
      <c r="L885" s="1764"/>
      <c r="M885" s="1765"/>
      <c r="N885" s="1765"/>
      <c r="O885" s="1765"/>
      <c r="P885" s="1765"/>
      <c r="Q885" s="1765"/>
      <c r="W885" t="s">
        <v>2089</v>
      </c>
    </row>
    <row r="886" spans="1:23" ht="13.15" customHeight="1" x14ac:dyDescent="0.2">
      <c r="A886" s="2" t="s">
        <v>2241</v>
      </c>
      <c r="B886" s="2">
        <f t="shared" si="26"/>
        <v>2019</v>
      </c>
      <c r="C886" s="2" t="str">
        <f t="shared" si="27"/>
        <v>EC101</v>
      </c>
      <c r="D886" s="2">
        <v>268</v>
      </c>
      <c r="F886" s="1764"/>
      <c r="G886" s="1764"/>
      <c r="H886" s="1764"/>
      <c r="I886" s="1764"/>
      <c r="J886" s="1764"/>
      <c r="K886" s="1764"/>
      <c r="L886" s="1764"/>
      <c r="M886" s="1765"/>
      <c r="N886" s="1765"/>
      <c r="O886" s="1765"/>
      <c r="P886" s="1765"/>
      <c r="Q886" s="1765"/>
      <c r="W886" t="s">
        <v>2089</v>
      </c>
    </row>
    <row r="887" spans="1:23" ht="13.15" customHeight="1" x14ac:dyDescent="0.2">
      <c r="A887" s="2" t="s">
        <v>2241</v>
      </c>
      <c r="B887" s="2">
        <f t="shared" si="26"/>
        <v>2019</v>
      </c>
      <c r="C887" s="2" t="str">
        <f t="shared" si="27"/>
        <v>EC101</v>
      </c>
      <c r="D887" s="2">
        <v>269</v>
      </c>
      <c r="F887" s="1764"/>
      <c r="G887" s="1764"/>
      <c r="H887" s="1764"/>
      <c r="I887" s="1764"/>
      <c r="J887" s="1764"/>
      <c r="K887" s="1764"/>
      <c r="L887" s="1764"/>
      <c r="M887" s="1765"/>
      <c r="N887" s="1765"/>
      <c r="O887" s="1765"/>
      <c r="P887" s="1765"/>
      <c r="Q887" s="1765"/>
      <c r="W887" t="s">
        <v>2089</v>
      </c>
    </row>
    <row r="888" spans="1:23" ht="13.15" customHeight="1" x14ac:dyDescent="0.2">
      <c r="A888" s="2" t="s">
        <v>2241</v>
      </c>
      <c r="B888" s="2">
        <f t="shared" si="26"/>
        <v>2019</v>
      </c>
      <c r="C888" s="2" t="str">
        <f t="shared" si="27"/>
        <v>EC101</v>
      </c>
      <c r="D888" s="2">
        <v>270</v>
      </c>
      <c r="F888" s="1764"/>
      <c r="G888" s="1764"/>
      <c r="H888" s="1764"/>
      <c r="I888" s="1764"/>
      <c r="J888" s="1764"/>
      <c r="K888" s="1764"/>
      <c r="L888" s="1764"/>
      <c r="M888" s="1765"/>
      <c r="N888" s="1765"/>
      <c r="O888" s="1765"/>
      <c r="P888" s="1765"/>
      <c r="Q888" s="1765"/>
      <c r="W888" t="s">
        <v>2089</v>
      </c>
    </row>
    <row r="889" spans="1:23" ht="13.15" customHeight="1" x14ac:dyDescent="0.2">
      <c r="A889" s="2" t="s">
        <v>2241</v>
      </c>
      <c r="B889" s="2">
        <f t="shared" si="26"/>
        <v>2019</v>
      </c>
      <c r="C889" s="2" t="str">
        <f t="shared" si="27"/>
        <v>EC101</v>
      </c>
      <c r="D889" s="2">
        <v>271</v>
      </c>
      <c r="F889" s="1764"/>
      <c r="G889" s="1764"/>
      <c r="H889" s="1764"/>
      <c r="I889" s="1764"/>
      <c r="J889" s="1764"/>
      <c r="K889" s="1764"/>
      <c r="L889" s="1764"/>
      <c r="M889" s="1765"/>
      <c r="N889" s="1765"/>
      <c r="O889" s="1765"/>
      <c r="P889" s="1765"/>
      <c r="Q889" s="1765"/>
      <c r="W889" t="s">
        <v>2089</v>
      </c>
    </row>
    <row r="890" spans="1:23" ht="13.15" customHeight="1" x14ac:dyDescent="0.2">
      <c r="A890" s="2" t="s">
        <v>2241</v>
      </c>
      <c r="B890" s="2">
        <f t="shared" si="26"/>
        <v>2019</v>
      </c>
      <c r="C890" s="2" t="str">
        <f t="shared" si="27"/>
        <v>EC101</v>
      </c>
      <c r="D890" s="2">
        <v>272</v>
      </c>
      <c r="F890" s="1764"/>
      <c r="G890" s="1764"/>
      <c r="H890" s="1764"/>
      <c r="I890" s="1764"/>
      <c r="J890" s="1764"/>
      <c r="K890" s="1764"/>
      <c r="L890" s="1764"/>
      <c r="M890" s="1765"/>
      <c r="N890" s="1765"/>
      <c r="O890" s="1765"/>
      <c r="P890" s="1765"/>
      <c r="Q890" s="1765"/>
      <c r="W890" t="s">
        <v>2089</v>
      </c>
    </row>
    <row r="891" spans="1:23" ht="13.15" customHeight="1" x14ac:dyDescent="0.2">
      <c r="A891" s="2" t="s">
        <v>2241</v>
      </c>
      <c r="B891" s="2">
        <f t="shared" si="26"/>
        <v>2019</v>
      </c>
      <c r="C891" s="2" t="str">
        <f t="shared" si="27"/>
        <v>EC101</v>
      </c>
      <c r="D891" s="2">
        <v>273</v>
      </c>
      <c r="F891" s="1764"/>
      <c r="G891" s="1764"/>
      <c r="H891" s="1764"/>
      <c r="I891" s="1764"/>
      <c r="J891" s="1764"/>
      <c r="K891" s="1764"/>
      <c r="L891" s="1764"/>
      <c r="M891" s="1765"/>
      <c r="N891" s="1765"/>
      <c r="O891" s="1765"/>
      <c r="P891" s="1765"/>
      <c r="Q891" s="1765"/>
      <c r="W891" t="s">
        <v>2089</v>
      </c>
    </row>
    <row r="892" spans="1:23" ht="13.15" customHeight="1" x14ac:dyDescent="0.2">
      <c r="A892" s="2" t="s">
        <v>2241</v>
      </c>
      <c r="B892" s="2">
        <f t="shared" si="26"/>
        <v>2019</v>
      </c>
      <c r="C892" s="2" t="str">
        <f t="shared" si="27"/>
        <v>EC101</v>
      </c>
      <c r="D892" s="2">
        <v>274</v>
      </c>
      <c r="F892" s="1764"/>
      <c r="G892" s="1764"/>
      <c r="H892" s="1764"/>
      <c r="I892" s="1764"/>
      <c r="J892" s="1764"/>
      <c r="K892" s="1764"/>
      <c r="L892" s="1764"/>
      <c r="M892" s="1765"/>
      <c r="N892" s="1765"/>
      <c r="O892" s="1765"/>
      <c r="P892" s="1765"/>
      <c r="Q892" s="1765"/>
      <c r="W892" t="s">
        <v>2089</v>
      </c>
    </row>
    <row r="893" spans="1:23" ht="13.15" customHeight="1" x14ac:dyDescent="0.2">
      <c r="A893" s="2" t="s">
        <v>2241</v>
      </c>
      <c r="B893" s="2">
        <f t="shared" si="26"/>
        <v>2019</v>
      </c>
      <c r="C893" s="2" t="str">
        <f t="shared" si="27"/>
        <v>EC101</v>
      </c>
      <c r="D893" s="2">
        <v>275</v>
      </c>
      <c r="F893" s="1764"/>
      <c r="G893" s="1764"/>
      <c r="H893" s="1764"/>
      <c r="I893" s="1764"/>
      <c r="J893" s="1764"/>
      <c r="K893" s="1764"/>
      <c r="L893" s="1764"/>
      <c r="M893" s="1765"/>
      <c r="N893" s="1765"/>
      <c r="O893" s="1765"/>
      <c r="P893" s="1765"/>
      <c r="Q893" s="1765"/>
      <c r="W893" t="s">
        <v>2089</v>
      </c>
    </row>
    <row r="894" spans="1:23" ht="13.15" customHeight="1" x14ac:dyDescent="0.2">
      <c r="A894" s="2" t="s">
        <v>2241</v>
      </c>
      <c r="B894" s="2">
        <f t="shared" si="26"/>
        <v>2019</v>
      </c>
      <c r="C894" s="2" t="str">
        <f t="shared" si="27"/>
        <v>EC101</v>
      </c>
      <c r="D894" s="2">
        <v>276</v>
      </c>
      <c r="F894" s="1764"/>
      <c r="G894" s="1764"/>
      <c r="H894" s="1764"/>
      <c r="I894" s="1764"/>
      <c r="J894" s="1764"/>
      <c r="K894" s="1764"/>
      <c r="L894" s="1764"/>
      <c r="M894" s="1765"/>
      <c r="N894" s="1765"/>
      <c r="O894" s="1765"/>
      <c r="P894" s="1765"/>
      <c r="Q894" s="1765"/>
      <c r="W894" t="s">
        <v>2089</v>
      </c>
    </row>
    <row r="895" spans="1:23" ht="13.15" customHeight="1" x14ac:dyDescent="0.2">
      <c r="A895" s="2" t="s">
        <v>2241</v>
      </c>
      <c r="B895" s="2">
        <f t="shared" si="26"/>
        <v>2019</v>
      </c>
      <c r="C895" s="2" t="str">
        <f t="shared" si="27"/>
        <v>EC101</v>
      </c>
      <c r="D895" s="2">
        <v>277</v>
      </c>
      <c r="F895" s="1764"/>
      <c r="G895" s="1764"/>
      <c r="H895" s="1764"/>
      <c r="I895" s="1764"/>
      <c r="J895" s="1764"/>
      <c r="K895" s="1764"/>
      <c r="L895" s="1764"/>
      <c r="M895" s="1765"/>
      <c r="N895" s="1765"/>
      <c r="O895" s="1765"/>
      <c r="P895" s="1765"/>
      <c r="Q895" s="1765"/>
      <c r="W895" t="s">
        <v>2089</v>
      </c>
    </row>
    <row r="896" spans="1:23" ht="13.15" customHeight="1" x14ac:dyDescent="0.2">
      <c r="A896" s="2" t="s">
        <v>2241</v>
      </c>
      <c r="B896" s="2">
        <f t="shared" si="26"/>
        <v>2019</v>
      </c>
      <c r="C896" s="2" t="str">
        <f t="shared" si="27"/>
        <v>EC101</v>
      </c>
      <c r="D896" s="2">
        <v>278</v>
      </c>
      <c r="F896" s="1764"/>
      <c r="G896" s="1764"/>
      <c r="H896" s="1764"/>
      <c r="I896" s="1764"/>
      <c r="J896" s="1764"/>
      <c r="K896" s="1764"/>
      <c r="L896" s="1764"/>
      <c r="M896" s="1765"/>
      <c r="N896" s="1765"/>
      <c r="O896" s="1765"/>
      <c r="P896" s="1765"/>
      <c r="Q896" s="1765"/>
      <c r="W896" t="s">
        <v>2089</v>
      </c>
    </row>
    <row r="897" spans="1:23" ht="13.15" customHeight="1" x14ac:dyDescent="0.2">
      <c r="A897" s="2" t="s">
        <v>2241</v>
      </c>
      <c r="B897" s="2">
        <f t="shared" si="26"/>
        <v>2019</v>
      </c>
      <c r="C897" s="2" t="str">
        <f t="shared" si="27"/>
        <v>EC101</v>
      </c>
      <c r="D897" s="2">
        <v>279</v>
      </c>
      <c r="F897" s="1764"/>
      <c r="G897" s="1764"/>
      <c r="H897" s="1764"/>
      <c r="I897" s="1764"/>
      <c r="J897" s="1764"/>
      <c r="K897" s="1764"/>
      <c r="L897" s="1764"/>
      <c r="M897" s="1765"/>
      <c r="N897" s="1765"/>
      <c r="O897" s="1765"/>
      <c r="P897" s="1765"/>
      <c r="Q897" s="1765"/>
      <c r="W897" t="s">
        <v>2089</v>
      </c>
    </row>
    <row r="898" spans="1:23" ht="13.15" customHeight="1" x14ac:dyDescent="0.2">
      <c r="A898" s="2" t="s">
        <v>2241</v>
      </c>
      <c r="B898" s="2">
        <f t="shared" ref="B898:B961" si="28">+MTREF</f>
        <v>2019</v>
      </c>
      <c r="C898" s="2" t="str">
        <f t="shared" ref="C898:C961" si="29">LEFT(muni,(FIND(" ",muni,1)-1))</f>
        <v>EC101</v>
      </c>
      <c r="D898" s="2">
        <v>280</v>
      </c>
      <c r="F898" s="1764"/>
      <c r="G898" s="1764"/>
      <c r="H898" s="1764"/>
      <c r="I898" s="1764"/>
      <c r="J898" s="1764"/>
      <c r="K898" s="1764"/>
      <c r="L898" s="1764"/>
      <c r="M898" s="1765"/>
      <c r="N898" s="1765"/>
      <c r="O898" s="1765"/>
      <c r="P898" s="1765"/>
      <c r="Q898" s="1765"/>
      <c r="W898" t="s">
        <v>2089</v>
      </c>
    </row>
    <row r="899" spans="1:23" ht="13.15" customHeight="1" x14ac:dyDescent="0.2">
      <c r="A899" s="2" t="s">
        <v>2241</v>
      </c>
      <c r="B899" s="2">
        <f t="shared" si="28"/>
        <v>2019</v>
      </c>
      <c r="C899" s="2" t="str">
        <f t="shared" si="29"/>
        <v>EC101</v>
      </c>
      <c r="D899" s="2">
        <v>281</v>
      </c>
      <c r="F899" s="1764"/>
      <c r="G899" s="1764"/>
      <c r="H899" s="1764"/>
      <c r="I899" s="1764"/>
      <c r="J899" s="1764"/>
      <c r="K899" s="1764"/>
      <c r="L899" s="1764"/>
      <c r="M899" s="1765"/>
      <c r="N899" s="1765"/>
      <c r="O899" s="1765"/>
      <c r="P899" s="1765"/>
      <c r="Q899" s="1765"/>
      <c r="W899" t="s">
        <v>2089</v>
      </c>
    </row>
    <row r="900" spans="1:23" ht="13.15" customHeight="1" x14ac:dyDescent="0.2">
      <c r="A900" s="2" t="s">
        <v>2241</v>
      </c>
      <c r="B900" s="2">
        <f t="shared" si="28"/>
        <v>2019</v>
      </c>
      <c r="C900" s="2" t="str">
        <f t="shared" si="29"/>
        <v>EC101</v>
      </c>
      <c r="D900" s="2">
        <v>282</v>
      </c>
      <c r="F900" s="1764"/>
      <c r="G900" s="1764"/>
      <c r="H900" s="1764"/>
      <c r="I900" s="1764"/>
      <c r="J900" s="1764"/>
      <c r="K900" s="1764"/>
      <c r="L900" s="1764"/>
      <c r="M900" s="1765"/>
      <c r="N900" s="1765"/>
      <c r="O900" s="1765"/>
      <c r="P900" s="1765"/>
      <c r="Q900" s="1765"/>
      <c r="W900" t="s">
        <v>2089</v>
      </c>
    </row>
    <row r="901" spans="1:23" ht="13.15" customHeight="1" x14ac:dyDescent="0.2">
      <c r="A901" s="2" t="s">
        <v>2241</v>
      </c>
      <c r="B901" s="2">
        <f t="shared" si="28"/>
        <v>2019</v>
      </c>
      <c r="C901" s="2" t="str">
        <f t="shared" si="29"/>
        <v>EC101</v>
      </c>
      <c r="D901" s="2">
        <v>283</v>
      </c>
      <c r="F901" s="1764"/>
      <c r="G901" s="1764"/>
      <c r="H901" s="1764"/>
      <c r="I901" s="1764"/>
      <c r="J901" s="1764"/>
      <c r="K901" s="1764"/>
      <c r="L901" s="1764"/>
      <c r="M901" s="1765"/>
      <c r="N901" s="1765"/>
      <c r="O901" s="1765"/>
      <c r="P901" s="1765"/>
      <c r="Q901" s="1765"/>
      <c r="W901" t="s">
        <v>2089</v>
      </c>
    </row>
    <row r="902" spans="1:23" ht="13.15" customHeight="1" x14ac:dyDescent="0.2">
      <c r="A902" s="2" t="s">
        <v>2241</v>
      </c>
      <c r="B902" s="2">
        <f t="shared" si="28"/>
        <v>2019</v>
      </c>
      <c r="C902" s="2" t="str">
        <f t="shared" si="29"/>
        <v>EC101</v>
      </c>
      <c r="D902" s="2">
        <v>284</v>
      </c>
      <c r="F902" s="1764"/>
      <c r="G902" s="1764"/>
      <c r="H902" s="1764"/>
      <c r="I902" s="1764"/>
      <c r="J902" s="1764"/>
      <c r="K902" s="1764"/>
      <c r="L902" s="1764"/>
      <c r="M902" s="1765"/>
      <c r="N902" s="1765"/>
      <c r="O902" s="1765"/>
      <c r="P902" s="1765"/>
      <c r="Q902" s="1765"/>
      <c r="W902" t="s">
        <v>2089</v>
      </c>
    </row>
    <row r="903" spans="1:23" ht="13.15" customHeight="1" x14ac:dyDescent="0.2">
      <c r="A903" s="2" t="s">
        <v>2241</v>
      </c>
      <c r="B903" s="2">
        <f t="shared" si="28"/>
        <v>2019</v>
      </c>
      <c r="C903" s="2" t="str">
        <f t="shared" si="29"/>
        <v>EC101</v>
      </c>
      <c r="D903" s="2">
        <v>285</v>
      </c>
      <c r="F903" s="1764"/>
      <c r="G903" s="1764"/>
      <c r="H903" s="1764"/>
      <c r="I903" s="1764"/>
      <c r="J903" s="1764"/>
      <c r="K903" s="1764"/>
      <c r="L903" s="1764"/>
      <c r="M903" s="1765"/>
      <c r="N903" s="1765"/>
      <c r="O903" s="1765"/>
      <c r="P903" s="1765"/>
      <c r="Q903" s="1765"/>
      <c r="W903" t="s">
        <v>2089</v>
      </c>
    </row>
    <row r="904" spans="1:23" ht="13.15" customHeight="1" x14ac:dyDescent="0.2">
      <c r="A904" s="2" t="s">
        <v>2241</v>
      </c>
      <c r="B904" s="2">
        <f t="shared" si="28"/>
        <v>2019</v>
      </c>
      <c r="C904" s="2" t="str">
        <f t="shared" si="29"/>
        <v>EC101</v>
      </c>
      <c r="D904" s="2">
        <v>286</v>
      </c>
      <c r="F904" s="1764"/>
      <c r="G904" s="1764"/>
      <c r="H904" s="1764"/>
      <c r="I904" s="1764"/>
      <c r="J904" s="1764"/>
      <c r="K904" s="1764"/>
      <c r="L904" s="1764"/>
      <c r="M904" s="1765"/>
      <c r="N904" s="1765"/>
      <c r="O904" s="1765"/>
      <c r="P904" s="1765"/>
      <c r="Q904" s="1765"/>
      <c r="W904" t="s">
        <v>2089</v>
      </c>
    </row>
    <row r="905" spans="1:23" ht="13.15" customHeight="1" x14ac:dyDescent="0.2">
      <c r="A905" s="2" t="s">
        <v>2241</v>
      </c>
      <c r="B905" s="2">
        <f t="shared" si="28"/>
        <v>2019</v>
      </c>
      <c r="C905" s="2" t="str">
        <f t="shared" si="29"/>
        <v>EC101</v>
      </c>
      <c r="D905" s="2">
        <v>287</v>
      </c>
      <c r="F905" s="1764"/>
      <c r="G905" s="1764"/>
      <c r="H905" s="1764"/>
      <c r="I905" s="1764"/>
      <c r="J905" s="1764"/>
      <c r="K905" s="1764"/>
      <c r="L905" s="1764"/>
      <c r="M905" s="1765"/>
      <c r="N905" s="1765"/>
      <c r="O905" s="1765"/>
      <c r="P905" s="1765"/>
      <c r="Q905" s="1765"/>
      <c r="W905" t="s">
        <v>2089</v>
      </c>
    </row>
    <row r="906" spans="1:23" ht="13.15" customHeight="1" x14ac:dyDescent="0.2">
      <c r="A906" s="2" t="s">
        <v>2241</v>
      </c>
      <c r="B906" s="2">
        <f t="shared" si="28"/>
        <v>2019</v>
      </c>
      <c r="C906" s="2" t="str">
        <f t="shared" si="29"/>
        <v>EC101</v>
      </c>
      <c r="D906" s="2">
        <v>288</v>
      </c>
      <c r="F906" s="1764"/>
      <c r="G906" s="1764"/>
      <c r="H906" s="1764"/>
      <c r="I906" s="1764"/>
      <c r="J906" s="1764"/>
      <c r="K906" s="1764"/>
      <c r="L906" s="1764"/>
      <c r="M906" s="1765"/>
      <c r="N906" s="1765"/>
      <c r="O906" s="1765"/>
      <c r="P906" s="1765"/>
      <c r="Q906" s="1765"/>
      <c r="W906" t="s">
        <v>2089</v>
      </c>
    </row>
    <row r="907" spans="1:23" ht="13.15" customHeight="1" x14ac:dyDescent="0.2">
      <c r="A907" s="2" t="s">
        <v>2241</v>
      </c>
      <c r="B907" s="2">
        <f t="shared" si="28"/>
        <v>2019</v>
      </c>
      <c r="C907" s="2" t="str">
        <f t="shared" si="29"/>
        <v>EC101</v>
      </c>
      <c r="D907" s="2">
        <v>289</v>
      </c>
      <c r="F907" s="1764"/>
      <c r="G907" s="1764"/>
      <c r="H907" s="1764"/>
      <c r="I907" s="1764"/>
      <c r="J907" s="1764"/>
      <c r="K907" s="1764"/>
      <c r="L907" s="1764"/>
      <c r="M907" s="1765"/>
      <c r="N907" s="1765"/>
      <c r="O907" s="1765"/>
      <c r="P907" s="1765"/>
      <c r="Q907" s="1765"/>
      <c r="W907" t="s">
        <v>2089</v>
      </c>
    </row>
    <row r="908" spans="1:23" ht="13.15" customHeight="1" x14ac:dyDescent="0.2">
      <c r="A908" s="2" t="s">
        <v>2241</v>
      </c>
      <c r="B908" s="2">
        <f t="shared" si="28"/>
        <v>2019</v>
      </c>
      <c r="C908" s="2" t="str">
        <f t="shared" si="29"/>
        <v>EC101</v>
      </c>
      <c r="D908" s="2">
        <v>290</v>
      </c>
      <c r="F908" s="1764"/>
      <c r="G908" s="1764"/>
      <c r="H908" s="1764"/>
      <c r="I908" s="1764"/>
      <c r="J908" s="1764"/>
      <c r="K908" s="1764"/>
      <c r="L908" s="1764"/>
      <c r="M908" s="1765"/>
      <c r="N908" s="1765"/>
      <c r="O908" s="1765"/>
      <c r="P908" s="1765"/>
      <c r="Q908" s="1765"/>
      <c r="W908" t="s">
        <v>2089</v>
      </c>
    </row>
    <row r="909" spans="1:23" ht="13.15" customHeight="1" x14ac:dyDescent="0.2">
      <c r="A909" s="2" t="s">
        <v>2241</v>
      </c>
      <c r="B909" s="2">
        <f t="shared" si="28"/>
        <v>2019</v>
      </c>
      <c r="C909" s="2" t="str">
        <f t="shared" si="29"/>
        <v>EC101</v>
      </c>
      <c r="D909" s="2">
        <v>291</v>
      </c>
      <c r="F909" s="1764"/>
      <c r="G909" s="1764"/>
      <c r="H909" s="1764"/>
      <c r="I909" s="1764"/>
      <c r="J909" s="1764"/>
      <c r="K909" s="1764"/>
      <c r="L909" s="1764"/>
      <c r="M909" s="1765"/>
      <c r="N909" s="1765"/>
      <c r="O909" s="1765"/>
      <c r="P909" s="1765"/>
      <c r="Q909" s="1765"/>
      <c r="W909" t="s">
        <v>2089</v>
      </c>
    </row>
    <row r="910" spans="1:23" ht="13.15" customHeight="1" x14ac:dyDescent="0.2">
      <c r="A910" s="2" t="s">
        <v>2241</v>
      </c>
      <c r="B910" s="2">
        <f t="shared" si="28"/>
        <v>2019</v>
      </c>
      <c r="C910" s="2" t="str">
        <f t="shared" si="29"/>
        <v>EC101</v>
      </c>
      <c r="D910" s="2">
        <v>292</v>
      </c>
      <c r="F910" s="1764"/>
      <c r="G910" s="1764"/>
      <c r="H910" s="1764"/>
      <c r="I910" s="1764"/>
      <c r="J910" s="1764"/>
      <c r="K910" s="1764"/>
      <c r="L910" s="1764"/>
      <c r="M910" s="1765"/>
      <c r="N910" s="1765"/>
      <c r="O910" s="1765"/>
      <c r="P910" s="1765"/>
      <c r="Q910" s="1765"/>
      <c r="W910" t="s">
        <v>2089</v>
      </c>
    </row>
    <row r="911" spans="1:23" ht="13.15" customHeight="1" x14ac:dyDescent="0.2">
      <c r="A911" s="2" t="s">
        <v>2241</v>
      </c>
      <c r="B911" s="2">
        <f t="shared" si="28"/>
        <v>2019</v>
      </c>
      <c r="C911" s="2" t="str">
        <f t="shared" si="29"/>
        <v>EC101</v>
      </c>
      <c r="D911" s="2">
        <v>293</v>
      </c>
      <c r="F911" s="1764"/>
      <c r="G911" s="1764"/>
      <c r="H911" s="1764"/>
      <c r="I911" s="1764"/>
      <c r="J911" s="1764"/>
      <c r="K911" s="1764"/>
      <c r="L911" s="1764"/>
      <c r="M911" s="1765"/>
      <c r="N911" s="1765"/>
      <c r="O911" s="1765"/>
      <c r="P911" s="1765"/>
      <c r="Q911" s="1765"/>
      <c r="W911" t="s">
        <v>2089</v>
      </c>
    </row>
    <row r="912" spans="1:23" ht="13.15" customHeight="1" x14ac:dyDescent="0.2">
      <c r="A912" s="2" t="s">
        <v>2241</v>
      </c>
      <c r="B912" s="2">
        <f t="shared" si="28"/>
        <v>2019</v>
      </c>
      <c r="C912" s="2" t="str">
        <f t="shared" si="29"/>
        <v>EC101</v>
      </c>
      <c r="D912" s="2">
        <v>294</v>
      </c>
      <c r="F912" s="1764"/>
      <c r="G912" s="1764"/>
      <c r="H912" s="1764"/>
      <c r="I912" s="1764"/>
      <c r="J912" s="1764"/>
      <c r="K912" s="1764"/>
      <c r="L912" s="1764"/>
      <c r="M912" s="1765"/>
      <c r="N912" s="1765"/>
      <c r="O912" s="1765"/>
      <c r="P912" s="1765"/>
      <c r="Q912" s="1765"/>
      <c r="W912" t="s">
        <v>2089</v>
      </c>
    </row>
    <row r="913" spans="1:23" ht="13.15" customHeight="1" x14ac:dyDescent="0.2">
      <c r="A913" s="2" t="s">
        <v>2241</v>
      </c>
      <c r="B913" s="2">
        <f t="shared" si="28"/>
        <v>2019</v>
      </c>
      <c r="C913" s="2" t="str">
        <f t="shared" si="29"/>
        <v>EC101</v>
      </c>
      <c r="D913" s="2">
        <v>295</v>
      </c>
      <c r="F913" s="1764"/>
      <c r="G913" s="1764"/>
      <c r="H913" s="1764"/>
      <c r="I913" s="1764"/>
      <c r="J913" s="1764"/>
      <c r="K913" s="1764"/>
      <c r="L913" s="1764"/>
      <c r="M913" s="1765"/>
      <c r="N913" s="1765"/>
      <c r="O913" s="1765"/>
      <c r="P913" s="1765"/>
      <c r="Q913" s="1765"/>
      <c r="W913" t="s">
        <v>2089</v>
      </c>
    </row>
    <row r="914" spans="1:23" ht="13.15" customHeight="1" x14ac:dyDescent="0.2">
      <c r="A914" s="2" t="s">
        <v>2241</v>
      </c>
      <c r="B914" s="2">
        <f t="shared" si="28"/>
        <v>2019</v>
      </c>
      <c r="C914" s="2" t="str">
        <f t="shared" si="29"/>
        <v>EC101</v>
      </c>
      <c r="D914" s="2">
        <v>296</v>
      </c>
      <c r="F914" s="1764"/>
      <c r="G914" s="1764"/>
      <c r="H914" s="1764"/>
      <c r="I914" s="1764"/>
      <c r="J914" s="1764"/>
      <c r="K914" s="1764"/>
      <c r="L914" s="1764"/>
      <c r="M914" s="1765"/>
      <c r="N914" s="1765"/>
      <c r="O914" s="1765"/>
      <c r="P914" s="1765"/>
      <c r="Q914" s="1765"/>
      <c r="W914" t="s">
        <v>2089</v>
      </c>
    </row>
    <row r="915" spans="1:23" ht="13.15" customHeight="1" x14ac:dyDescent="0.2">
      <c r="A915" s="2" t="s">
        <v>2241</v>
      </c>
      <c r="B915" s="2">
        <f t="shared" si="28"/>
        <v>2019</v>
      </c>
      <c r="C915" s="2" t="str">
        <f t="shared" si="29"/>
        <v>EC101</v>
      </c>
      <c r="D915" s="2">
        <v>297</v>
      </c>
      <c r="F915" s="1764"/>
      <c r="G915" s="1764"/>
      <c r="H915" s="1764"/>
      <c r="I915" s="1764"/>
      <c r="J915" s="1764"/>
      <c r="K915" s="1764"/>
      <c r="L915" s="1764"/>
      <c r="M915" s="1765"/>
      <c r="N915" s="1765"/>
      <c r="O915" s="1765"/>
      <c r="P915" s="1765"/>
      <c r="Q915" s="1765"/>
      <c r="W915" t="s">
        <v>2089</v>
      </c>
    </row>
    <row r="916" spans="1:23" ht="13.15" customHeight="1" x14ac:dyDescent="0.2">
      <c r="A916" s="2" t="s">
        <v>2241</v>
      </c>
      <c r="B916" s="2">
        <f t="shared" si="28"/>
        <v>2019</v>
      </c>
      <c r="C916" s="2" t="str">
        <f t="shared" si="29"/>
        <v>EC101</v>
      </c>
      <c r="D916" s="2">
        <v>298</v>
      </c>
      <c r="F916" s="1764"/>
      <c r="G916" s="1764"/>
      <c r="H916" s="1764"/>
      <c r="I916" s="1764"/>
      <c r="J916" s="1764"/>
      <c r="K916" s="1764"/>
      <c r="L916" s="1764"/>
      <c r="M916" s="1765"/>
      <c r="N916" s="1765"/>
      <c r="O916" s="1765"/>
      <c r="P916" s="1765"/>
      <c r="Q916" s="1765"/>
      <c r="W916" t="s">
        <v>2089</v>
      </c>
    </row>
    <row r="917" spans="1:23" ht="13.15" customHeight="1" x14ac:dyDescent="0.2">
      <c r="A917" s="2" t="s">
        <v>2241</v>
      </c>
      <c r="B917" s="2">
        <f t="shared" si="28"/>
        <v>2019</v>
      </c>
      <c r="C917" s="2" t="str">
        <f t="shared" si="29"/>
        <v>EC101</v>
      </c>
      <c r="D917" s="2">
        <v>299</v>
      </c>
      <c r="F917" s="1764"/>
      <c r="G917" s="1764"/>
      <c r="H917" s="1764"/>
      <c r="I917" s="1764"/>
      <c r="J917" s="1764"/>
      <c r="K917" s="1764"/>
      <c r="L917" s="1764"/>
      <c r="M917" s="1765"/>
      <c r="N917" s="1765"/>
      <c r="O917" s="1765"/>
      <c r="P917" s="1765"/>
      <c r="Q917" s="1765"/>
      <c r="W917" t="s">
        <v>2089</v>
      </c>
    </row>
    <row r="918" spans="1:23" ht="13.15" customHeight="1" x14ac:dyDescent="0.2">
      <c r="A918" s="2" t="s">
        <v>2241</v>
      </c>
      <c r="B918" s="2">
        <f t="shared" si="28"/>
        <v>2019</v>
      </c>
      <c r="C918" s="2" t="str">
        <f t="shared" si="29"/>
        <v>EC101</v>
      </c>
      <c r="D918" s="2">
        <v>300</v>
      </c>
      <c r="F918" s="1764"/>
      <c r="G918" s="1764"/>
      <c r="H918" s="1764"/>
      <c r="I918" s="1764"/>
      <c r="J918" s="1764"/>
      <c r="K918" s="1764"/>
      <c r="L918" s="1764"/>
      <c r="M918" s="1765"/>
      <c r="N918" s="1765"/>
      <c r="O918" s="1765"/>
      <c r="P918" s="1765"/>
      <c r="Q918" s="1765"/>
      <c r="W918" t="s">
        <v>2089</v>
      </c>
    </row>
    <row r="919" spans="1:23" ht="13.15" customHeight="1" x14ac:dyDescent="0.2">
      <c r="A919" s="2" t="s">
        <v>2241</v>
      </c>
      <c r="B919" s="2">
        <f t="shared" si="28"/>
        <v>2019</v>
      </c>
      <c r="C919" s="2" t="str">
        <f t="shared" si="29"/>
        <v>EC101</v>
      </c>
      <c r="D919" s="2">
        <v>301</v>
      </c>
      <c r="F919" s="1764"/>
      <c r="G919" s="1764"/>
      <c r="H919" s="1764"/>
      <c r="I919" s="1764"/>
      <c r="J919" s="1764"/>
      <c r="K919" s="1764"/>
      <c r="L919" s="1764"/>
      <c r="M919" s="1765"/>
      <c r="N919" s="1765"/>
      <c r="O919" s="1765"/>
      <c r="P919" s="1765"/>
      <c r="Q919" s="1765"/>
      <c r="W919" t="s">
        <v>2089</v>
      </c>
    </row>
    <row r="920" spans="1:23" ht="13.15" customHeight="1" x14ac:dyDescent="0.2">
      <c r="A920" s="2" t="s">
        <v>2241</v>
      </c>
      <c r="B920" s="2">
        <f t="shared" si="28"/>
        <v>2019</v>
      </c>
      <c r="C920" s="2" t="str">
        <f t="shared" si="29"/>
        <v>EC101</v>
      </c>
      <c r="D920" s="2">
        <v>302</v>
      </c>
      <c r="F920" s="1764"/>
      <c r="G920" s="1764"/>
      <c r="H920" s="1764"/>
      <c r="I920" s="1764"/>
      <c r="J920" s="1764"/>
      <c r="K920" s="1764"/>
      <c r="L920" s="1764"/>
      <c r="M920" s="1765"/>
      <c r="N920" s="1765"/>
      <c r="O920" s="1765"/>
      <c r="P920" s="1765"/>
      <c r="Q920" s="1765"/>
      <c r="W920" t="s">
        <v>2089</v>
      </c>
    </row>
    <row r="921" spans="1:23" ht="13.15" customHeight="1" x14ac:dyDescent="0.2">
      <c r="A921" s="2" t="s">
        <v>2241</v>
      </c>
      <c r="B921" s="2">
        <f t="shared" si="28"/>
        <v>2019</v>
      </c>
      <c r="C921" s="2" t="str">
        <f t="shared" si="29"/>
        <v>EC101</v>
      </c>
      <c r="D921" s="2">
        <v>303</v>
      </c>
      <c r="F921" s="1764"/>
      <c r="G921" s="1764"/>
      <c r="H921" s="1764"/>
      <c r="I921" s="1764"/>
      <c r="J921" s="1764"/>
      <c r="K921" s="1764"/>
      <c r="L921" s="1764"/>
      <c r="M921" s="1765"/>
      <c r="N921" s="1765"/>
      <c r="O921" s="1765"/>
      <c r="P921" s="1765"/>
      <c r="Q921" s="1765"/>
      <c r="W921" t="s">
        <v>2089</v>
      </c>
    </row>
    <row r="922" spans="1:23" ht="13.15" customHeight="1" x14ac:dyDescent="0.2">
      <c r="A922" s="2" t="s">
        <v>2241</v>
      </c>
      <c r="B922" s="2">
        <f t="shared" si="28"/>
        <v>2019</v>
      </c>
      <c r="C922" s="2" t="str">
        <f t="shared" si="29"/>
        <v>EC101</v>
      </c>
      <c r="D922" s="2">
        <v>304</v>
      </c>
      <c r="F922" s="1764"/>
      <c r="G922" s="1764"/>
      <c r="H922" s="1764"/>
      <c r="I922" s="1764"/>
      <c r="J922" s="1764"/>
      <c r="K922" s="1764"/>
      <c r="L922" s="1764"/>
      <c r="M922" s="1765"/>
      <c r="N922" s="1765"/>
      <c r="O922" s="1765"/>
      <c r="P922" s="1765"/>
      <c r="Q922" s="1765"/>
      <c r="W922" t="s">
        <v>2089</v>
      </c>
    </row>
    <row r="923" spans="1:23" ht="13.15" customHeight="1" x14ac:dyDescent="0.2">
      <c r="A923" s="2" t="s">
        <v>2241</v>
      </c>
      <c r="B923" s="2">
        <f t="shared" si="28"/>
        <v>2019</v>
      </c>
      <c r="C923" s="2" t="str">
        <f t="shared" si="29"/>
        <v>EC101</v>
      </c>
      <c r="D923" s="2">
        <v>305</v>
      </c>
      <c r="F923" s="1764"/>
      <c r="G923" s="1764"/>
      <c r="H923" s="1764"/>
      <c r="I923" s="1764"/>
      <c r="J923" s="1764"/>
      <c r="K923" s="1764"/>
      <c r="L923" s="1764"/>
      <c r="M923" s="1765"/>
      <c r="N923" s="1765"/>
      <c r="O923" s="1765"/>
      <c r="P923" s="1765"/>
      <c r="Q923" s="1765"/>
      <c r="W923" t="s">
        <v>2089</v>
      </c>
    </row>
    <row r="924" spans="1:23" ht="13.15" customHeight="1" x14ac:dyDescent="0.2">
      <c r="A924" s="2" t="s">
        <v>2241</v>
      </c>
      <c r="B924" s="2">
        <f t="shared" si="28"/>
        <v>2019</v>
      </c>
      <c r="C924" s="2" t="str">
        <f t="shared" si="29"/>
        <v>EC101</v>
      </c>
      <c r="D924" s="2">
        <v>306</v>
      </c>
      <c r="F924" s="1764"/>
      <c r="G924" s="1764"/>
      <c r="H924" s="1764"/>
      <c r="I924" s="1764"/>
      <c r="J924" s="1764"/>
      <c r="K924" s="1764"/>
      <c r="L924" s="1764"/>
      <c r="M924" s="1765"/>
      <c r="N924" s="1765"/>
      <c r="O924" s="1765"/>
      <c r="P924" s="1765"/>
      <c r="Q924" s="1765"/>
      <c r="W924" t="s">
        <v>2089</v>
      </c>
    </row>
    <row r="925" spans="1:23" ht="13.15" customHeight="1" x14ac:dyDescent="0.2">
      <c r="A925" s="2" t="s">
        <v>2241</v>
      </c>
      <c r="B925" s="2">
        <f t="shared" si="28"/>
        <v>2019</v>
      </c>
      <c r="C925" s="2" t="str">
        <f t="shared" si="29"/>
        <v>EC101</v>
      </c>
      <c r="D925" s="2">
        <v>307</v>
      </c>
      <c r="F925" s="1764"/>
      <c r="G925" s="1764"/>
      <c r="H925" s="1764"/>
      <c r="I925" s="1764"/>
      <c r="J925" s="1764"/>
      <c r="K925" s="1764"/>
      <c r="L925" s="1764"/>
      <c r="M925" s="1765"/>
      <c r="N925" s="1765"/>
      <c r="O925" s="1765"/>
      <c r="P925" s="1765"/>
      <c r="Q925" s="1765"/>
      <c r="W925" t="s">
        <v>2089</v>
      </c>
    </row>
    <row r="926" spans="1:23" ht="13.15" customHeight="1" x14ac:dyDescent="0.2">
      <c r="A926" s="2" t="s">
        <v>2241</v>
      </c>
      <c r="B926" s="2">
        <f t="shared" si="28"/>
        <v>2019</v>
      </c>
      <c r="C926" s="2" t="str">
        <f t="shared" si="29"/>
        <v>EC101</v>
      </c>
      <c r="D926" s="2">
        <v>308</v>
      </c>
      <c r="F926" s="1764"/>
      <c r="G926" s="1764"/>
      <c r="H926" s="1764"/>
      <c r="I926" s="1764"/>
      <c r="J926" s="1764"/>
      <c r="K926" s="1764"/>
      <c r="L926" s="1764"/>
      <c r="M926" s="1765"/>
      <c r="N926" s="1765"/>
      <c r="O926" s="1765"/>
      <c r="P926" s="1765"/>
      <c r="Q926" s="1765"/>
      <c r="W926" t="s">
        <v>2089</v>
      </c>
    </row>
    <row r="927" spans="1:23" ht="13.15" customHeight="1" x14ac:dyDescent="0.2">
      <c r="A927" s="2" t="s">
        <v>2241</v>
      </c>
      <c r="B927" s="2">
        <f t="shared" si="28"/>
        <v>2019</v>
      </c>
      <c r="C927" s="2" t="str">
        <f t="shared" si="29"/>
        <v>EC101</v>
      </c>
      <c r="D927" s="2">
        <v>309</v>
      </c>
      <c r="F927" s="1764"/>
      <c r="G927" s="1764"/>
      <c r="H927" s="1764"/>
      <c r="I927" s="1764"/>
      <c r="J927" s="1764"/>
      <c r="K927" s="1764"/>
      <c r="L927" s="1764"/>
      <c r="M927" s="1765"/>
      <c r="N927" s="1765"/>
      <c r="O927" s="1765"/>
      <c r="P927" s="1765"/>
      <c r="Q927" s="1765"/>
      <c r="W927" t="s">
        <v>2089</v>
      </c>
    </row>
    <row r="928" spans="1:23" ht="13.15" customHeight="1" x14ac:dyDescent="0.2">
      <c r="A928" s="2" t="s">
        <v>2241</v>
      </c>
      <c r="B928" s="2">
        <f t="shared" si="28"/>
        <v>2019</v>
      </c>
      <c r="C928" s="2" t="str">
        <f t="shared" si="29"/>
        <v>EC101</v>
      </c>
      <c r="D928" s="2">
        <v>310</v>
      </c>
      <c r="F928" s="1764"/>
      <c r="G928" s="1764"/>
      <c r="H928" s="1764"/>
      <c r="I928" s="1764"/>
      <c r="J928" s="1764"/>
      <c r="K928" s="1764"/>
      <c r="L928" s="1764"/>
      <c r="M928" s="1765"/>
      <c r="N928" s="1765"/>
      <c r="O928" s="1765"/>
      <c r="P928" s="1765"/>
      <c r="Q928" s="1765"/>
      <c r="W928" t="s">
        <v>2089</v>
      </c>
    </row>
    <row r="929" spans="1:23" ht="13.15" customHeight="1" x14ac:dyDescent="0.2">
      <c r="A929" s="2" t="s">
        <v>2241</v>
      </c>
      <c r="B929" s="2">
        <f t="shared" si="28"/>
        <v>2019</v>
      </c>
      <c r="C929" s="2" t="str">
        <f t="shared" si="29"/>
        <v>EC101</v>
      </c>
      <c r="D929" s="2">
        <v>311</v>
      </c>
      <c r="F929" s="1764"/>
      <c r="G929" s="1764"/>
      <c r="H929" s="1764"/>
      <c r="I929" s="1764"/>
      <c r="J929" s="1764"/>
      <c r="K929" s="1764"/>
      <c r="L929" s="1764"/>
      <c r="M929" s="1765"/>
      <c r="N929" s="1765"/>
      <c r="O929" s="1765"/>
      <c r="P929" s="1765"/>
      <c r="Q929" s="1765"/>
      <c r="W929" t="s">
        <v>2089</v>
      </c>
    </row>
    <row r="930" spans="1:23" ht="13.15" customHeight="1" x14ac:dyDescent="0.2">
      <c r="A930" s="2" t="s">
        <v>2241</v>
      </c>
      <c r="B930" s="2">
        <f t="shared" si="28"/>
        <v>2019</v>
      </c>
      <c r="C930" s="2" t="str">
        <f t="shared" si="29"/>
        <v>EC101</v>
      </c>
      <c r="D930" s="2">
        <v>312</v>
      </c>
      <c r="F930" s="1764"/>
      <c r="G930" s="1764"/>
      <c r="H930" s="1764"/>
      <c r="I930" s="1764"/>
      <c r="J930" s="1764"/>
      <c r="K930" s="1764"/>
      <c r="L930" s="1764"/>
      <c r="M930" s="1765"/>
      <c r="N930" s="1765"/>
      <c r="O930" s="1765"/>
      <c r="P930" s="1765"/>
      <c r="Q930" s="1765"/>
      <c r="W930" t="s">
        <v>2089</v>
      </c>
    </row>
    <row r="931" spans="1:23" ht="13.15" customHeight="1" x14ac:dyDescent="0.2">
      <c r="A931" s="2" t="s">
        <v>2241</v>
      </c>
      <c r="B931" s="2">
        <f t="shared" si="28"/>
        <v>2019</v>
      </c>
      <c r="C931" s="2" t="str">
        <f t="shared" si="29"/>
        <v>EC101</v>
      </c>
      <c r="D931" s="2">
        <v>313</v>
      </c>
      <c r="F931" s="1764"/>
      <c r="G931" s="1764"/>
      <c r="H931" s="1764"/>
      <c r="I931" s="1764"/>
      <c r="J931" s="1764"/>
      <c r="K931" s="1764"/>
      <c r="L931" s="1764"/>
      <c r="M931" s="1765"/>
      <c r="N931" s="1765"/>
      <c r="O931" s="1765"/>
      <c r="P931" s="1765"/>
      <c r="Q931" s="1765"/>
      <c r="W931" t="s">
        <v>2089</v>
      </c>
    </row>
    <row r="932" spans="1:23" ht="13.15" customHeight="1" x14ac:dyDescent="0.2">
      <c r="A932" s="2" t="s">
        <v>2241</v>
      </c>
      <c r="B932" s="2">
        <f t="shared" si="28"/>
        <v>2019</v>
      </c>
      <c r="C932" s="2" t="str">
        <f t="shared" si="29"/>
        <v>EC101</v>
      </c>
      <c r="D932" s="2">
        <v>314</v>
      </c>
      <c r="F932" s="1764"/>
      <c r="G932" s="1764"/>
      <c r="H932" s="1764"/>
      <c r="I932" s="1764"/>
      <c r="J932" s="1764"/>
      <c r="K932" s="1764"/>
      <c r="L932" s="1764"/>
      <c r="M932" s="1765"/>
      <c r="N932" s="1765"/>
      <c r="O932" s="1765"/>
      <c r="P932" s="1765"/>
      <c r="Q932" s="1765"/>
      <c r="W932" t="s">
        <v>2089</v>
      </c>
    </row>
    <row r="933" spans="1:23" ht="13.15" customHeight="1" x14ac:dyDescent="0.2">
      <c r="A933" s="2" t="s">
        <v>2241</v>
      </c>
      <c r="B933" s="2">
        <f t="shared" si="28"/>
        <v>2019</v>
      </c>
      <c r="C933" s="2" t="str">
        <f t="shared" si="29"/>
        <v>EC101</v>
      </c>
      <c r="D933" s="2">
        <v>315</v>
      </c>
      <c r="F933" s="1764"/>
      <c r="G933" s="1764"/>
      <c r="H933" s="1764"/>
      <c r="I933" s="1764"/>
      <c r="J933" s="1764"/>
      <c r="K933" s="1764"/>
      <c r="L933" s="1764"/>
      <c r="M933" s="1765"/>
      <c r="N933" s="1765"/>
      <c r="O933" s="1765"/>
      <c r="P933" s="1765"/>
      <c r="Q933" s="1765"/>
      <c r="W933" t="s">
        <v>2089</v>
      </c>
    </row>
    <row r="934" spans="1:23" ht="13.15" customHeight="1" x14ac:dyDescent="0.2">
      <c r="A934" s="2" t="s">
        <v>2241</v>
      </c>
      <c r="B934" s="2">
        <f t="shared" si="28"/>
        <v>2019</v>
      </c>
      <c r="C934" s="2" t="str">
        <f t="shared" si="29"/>
        <v>EC101</v>
      </c>
      <c r="D934" s="2">
        <v>316</v>
      </c>
      <c r="F934" s="1764"/>
      <c r="G934" s="1764"/>
      <c r="H934" s="1764"/>
      <c r="I934" s="1764"/>
      <c r="J934" s="1764"/>
      <c r="K934" s="1764"/>
      <c r="L934" s="1764"/>
      <c r="M934" s="1765"/>
      <c r="N934" s="1765"/>
      <c r="O934" s="1765"/>
      <c r="P934" s="1765"/>
      <c r="Q934" s="1765"/>
      <c r="W934" t="s">
        <v>2089</v>
      </c>
    </row>
    <row r="935" spans="1:23" ht="13.15" customHeight="1" x14ac:dyDescent="0.2">
      <c r="A935" s="2" t="s">
        <v>2241</v>
      </c>
      <c r="B935" s="2">
        <f t="shared" si="28"/>
        <v>2019</v>
      </c>
      <c r="C935" s="2" t="str">
        <f t="shared" si="29"/>
        <v>EC101</v>
      </c>
      <c r="D935" s="2">
        <v>317</v>
      </c>
      <c r="F935" s="1764"/>
      <c r="G935" s="1764"/>
      <c r="H935" s="1764"/>
      <c r="I935" s="1764"/>
      <c r="J935" s="1764"/>
      <c r="K935" s="1764"/>
      <c r="L935" s="1764"/>
      <c r="M935" s="1765"/>
      <c r="N935" s="1765"/>
      <c r="O935" s="1765"/>
      <c r="P935" s="1765"/>
      <c r="Q935" s="1765"/>
      <c r="W935" t="s">
        <v>2089</v>
      </c>
    </row>
    <row r="936" spans="1:23" ht="13.15" customHeight="1" x14ac:dyDescent="0.2">
      <c r="A936" s="2" t="s">
        <v>2241</v>
      </c>
      <c r="B936" s="2">
        <f t="shared" si="28"/>
        <v>2019</v>
      </c>
      <c r="C936" s="2" t="str">
        <f t="shared" si="29"/>
        <v>EC101</v>
      </c>
      <c r="D936" s="2">
        <v>318</v>
      </c>
      <c r="F936" s="1764"/>
      <c r="G936" s="1764"/>
      <c r="H936" s="1764"/>
      <c r="I936" s="1764"/>
      <c r="J936" s="1764"/>
      <c r="K936" s="1764"/>
      <c r="L936" s="1764"/>
      <c r="M936" s="1765"/>
      <c r="N936" s="1765"/>
      <c r="O936" s="1765"/>
      <c r="P936" s="1765"/>
      <c r="Q936" s="1765"/>
      <c r="W936" t="s">
        <v>2089</v>
      </c>
    </row>
    <row r="937" spans="1:23" ht="13.15" customHeight="1" x14ac:dyDescent="0.2">
      <c r="A937" s="2" t="s">
        <v>2241</v>
      </c>
      <c r="B937" s="2">
        <f t="shared" si="28"/>
        <v>2019</v>
      </c>
      <c r="C937" s="2" t="str">
        <f t="shared" si="29"/>
        <v>EC101</v>
      </c>
      <c r="D937" s="2">
        <v>319</v>
      </c>
      <c r="F937" s="1764"/>
      <c r="G937" s="1764"/>
      <c r="H937" s="1764"/>
      <c r="I937" s="1764"/>
      <c r="J937" s="1764"/>
      <c r="K937" s="1764"/>
      <c r="L937" s="1764"/>
      <c r="M937" s="1765"/>
      <c r="N937" s="1765"/>
      <c r="O937" s="1765"/>
      <c r="P937" s="1765"/>
      <c r="Q937" s="1765"/>
      <c r="W937" t="s">
        <v>2089</v>
      </c>
    </row>
    <row r="938" spans="1:23" ht="13.15" customHeight="1" x14ac:dyDescent="0.2">
      <c r="A938" s="2" t="s">
        <v>2241</v>
      </c>
      <c r="B938" s="2">
        <f t="shared" si="28"/>
        <v>2019</v>
      </c>
      <c r="C938" s="2" t="str">
        <f t="shared" si="29"/>
        <v>EC101</v>
      </c>
      <c r="D938" s="2">
        <v>320</v>
      </c>
      <c r="F938" s="1764"/>
      <c r="G938" s="1764"/>
      <c r="H938" s="1764"/>
      <c r="I938" s="1764"/>
      <c r="J938" s="1764"/>
      <c r="K938" s="1764"/>
      <c r="L938" s="1764"/>
      <c r="M938" s="1765"/>
      <c r="N938" s="1765"/>
      <c r="O938" s="1765"/>
      <c r="P938" s="1765"/>
      <c r="Q938" s="1765"/>
      <c r="W938" t="s">
        <v>2089</v>
      </c>
    </row>
    <row r="939" spans="1:23" ht="13.15" customHeight="1" x14ac:dyDescent="0.2">
      <c r="A939" s="2" t="s">
        <v>2241</v>
      </c>
      <c r="B939" s="2">
        <f t="shared" si="28"/>
        <v>2019</v>
      </c>
      <c r="C939" s="2" t="str">
        <f t="shared" si="29"/>
        <v>EC101</v>
      </c>
      <c r="D939" s="2">
        <v>321</v>
      </c>
      <c r="F939" s="1764"/>
      <c r="G939" s="1764"/>
      <c r="H939" s="1764"/>
      <c r="I939" s="1764"/>
      <c r="J939" s="1764"/>
      <c r="K939" s="1764"/>
      <c r="L939" s="1764"/>
      <c r="M939" s="1765"/>
      <c r="N939" s="1765"/>
      <c r="O939" s="1765"/>
      <c r="P939" s="1765"/>
      <c r="Q939" s="1765"/>
      <c r="W939" t="s">
        <v>2089</v>
      </c>
    </row>
    <row r="940" spans="1:23" ht="13.15" customHeight="1" x14ac:dyDescent="0.2">
      <c r="A940" s="2" t="s">
        <v>2241</v>
      </c>
      <c r="B940" s="2">
        <f t="shared" si="28"/>
        <v>2019</v>
      </c>
      <c r="C940" s="2" t="str">
        <f t="shared" si="29"/>
        <v>EC101</v>
      </c>
      <c r="D940" s="2">
        <v>322</v>
      </c>
      <c r="F940" s="1764"/>
      <c r="G940" s="1764"/>
      <c r="H940" s="1764"/>
      <c r="I940" s="1764"/>
      <c r="J940" s="1764"/>
      <c r="K940" s="1764"/>
      <c r="L940" s="1764"/>
      <c r="M940" s="1765"/>
      <c r="N940" s="1765"/>
      <c r="O940" s="1765"/>
      <c r="P940" s="1765"/>
      <c r="Q940" s="1765"/>
      <c r="W940" t="s">
        <v>2089</v>
      </c>
    </row>
    <row r="941" spans="1:23" ht="13.15" customHeight="1" x14ac:dyDescent="0.2">
      <c r="A941" s="2" t="s">
        <v>2241</v>
      </c>
      <c r="B941" s="2">
        <f t="shared" si="28"/>
        <v>2019</v>
      </c>
      <c r="C941" s="2" t="str">
        <f t="shared" si="29"/>
        <v>EC101</v>
      </c>
      <c r="D941" s="2">
        <v>323</v>
      </c>
      <c r="F941" s="1764"/>
      <c r="G941" s="1764"/>
      <c r="H941" s="1764"/>
      <c r="I941" s="1764"/>
      <c r="J941" s="1764"/>
      <c r="K941" s="1764"/>
      <c r="L941" s="1764"/>
      <c r="M941" s="1765"/>
      <c r="N941" s="1765"/>
      <c r="O941" s="1765"/>
      <c r="P941" s="1765"/>
      <c r="Q941" s="1765"/>
      <c r="W941" t="s">
        <v>2089</v>
      </c>
    </row>
    <row r="942" spans="1:23" ht="13.15" customHeight="1" x14ac:dyDescent="0.2">
      <c r="A942" s="2" t="s">
        <v>2241</v>
      </c>
      <c r="B942" s="2">
        <f t="shared" si="28"/>
        <v>2019</v>
      </c>
      <c r="C942" s="2" t="str">
        <f t="shared" si="29"/>
        <v>EC101</v>
      </c>
      <c r="D942" s="2">
        <v>324</v>
      </c>
      <c r="F942" s="1764"/>
      <c r="G942" s="1764"/>
      <c r="H942" s="1764"/>
      <c r="I942" s="1764"/>
      <c r="J942" s="1764"/>
      <c r="K942" s="1764"/>
      <c r="L942" s="1764"/>
      <c r="M942" s="1765"/>
      <c r="N942" s="1765"/>
      <c r="O942" s="1765"/>
      <c r="P942" s="1765"/>
      <c r="Q942" s="1765"/>
      <c r="W942" t="s">
        <v>2089</v>
      </c>
    </row>
    <row r="943" spans="1:23" ht="13.15" customHeight="1" x14ac:dyDescent="0.2">
      <c r="A943" s="2" t="s">
        <v>2241</v>
      </c>
      <c r="B943" s="2">
        <f t="shared" si="28"/>
        <v>2019</v>
      </c>
      <c r="C943" s="2" t="str">
        <f t="shared" si="29"/>
        <v>EC101</v>
      </c>
      <c r="D943" s="2">
        <v>325</v>
      </c>
      <c r="F943" s="1764"/>
      <c r="G943" s="1764"/>
      <c r="H943" s="1764"/>
      <c r="I943" s="1764"/>
      <c r="J943" s="1764"/>
      <c r="K943" s="1764"/>
      <c r="L943" s="1764"/>
      <c r="M943" s="1765"/>
      <c r="N943" s="1765"/>
      <c r="O943" s="1765"/>
      <c r="P943" s="1765"/>
      <c r="Q943" s="1765"/>
      <c r="W943" t="s">
        <v>2089</v>
      </c>
    </row>
    <row r="944" spans="1:23" ht="13.15" customHeight="1" x14ac:dyDescent="0.2">
      <c r="A944" s="2" t="s">
        <v>2241</v>
      </c>
      <c r="B944" s="2">
        <f t="shared" si="28"/>
        <v>2019</v>
      </c>
      <c r="C944" s="2" t="str">
        <f t="shared" si="29"/>
        <v>EC101</v>
      </c>
      <c r="D944" s="2">
        <v>326</v>
      </c>
      <c r="F944" s="1764"/>
      <c r="G944" s="1764"/>
      <c r="H944" s="1764"/>
      <c r="I944" s="1764"/>
      <c r="J944" s="1764"/>
      <c r="K944" s="1764"/>
      <c r="L944" s="1764"/>
      <c r="M944" s="1765"/>
      <c r="N944" s="1765"/>
      <c r="O944" s="1765"/>
      <c r="P944" s="1765"/>
      <c r="Q944" s="1765"/>
      <c r="W944" t="s">
        <v>2089</v>
      </c>
    </row>
    <row r="945" spans="1:23" ht="13.15" customHeight="1" x14ac:dyDescent="0.2">
      <c r="A945" s="2" t="s">
        <v>2241</v>
      </c>
      <c r="B945" s="2">
        <f t="shared" si="28"/>
        <v>2019</v>
      </c>
      <c r="C945" s="2" t="str">
        <f t="shared" si="29"/>
        <v>EC101</v>
      </c>
      <c r="D945" s="2">
        <v>327</v>
      </c>
      <c r="F945" s="1764"/>
      <c r="G945" s="1764"/>
      <c r="H945" s="1764"/>
      <c r="I945" s="1764"/>
      <c r="J945" s="1764"/>
      <c r="K945" s="1764"/>
      <c r="L945" s="1764"/>
      <c r="M945" s="1765"/>
      <c r="N945" s="1765"/>
      <c r="O945" s="1765"/>
      <c r="P945" s="1765"/>
      <c r="Q945" s="1765"/>
      <c r="W945" t="s">
        <v>2089</v>
      </c>
    </row>
    <row r="946" spans="1:23" ht="13.15" customHeight="1" x14ac:dyDescent="0.2">
      <c r="A946" s="2" t="s">
        <v>2241</v>
      </c>
      <c r="B946" s="2">
        <f t="shared" si="28"/>
        <v>2019</v>
      </c>
      <c r="C946" s="2" t="str">
        <f t="shared" si="29"/>
        <v>EC101</v>
      </c>
      <c r="D946" s="2">
        <v>328</v>
      </c>
      <c r="F946" s="1764"/>
      <c r="G946" s="1764"/>
      <c r="H946" s="1764"/>
      <c r="I946" s="1764"/>
      <c r="J946" s="1764"/>
      <c r="K946" s="1764"/>
      <c r="L946" s="1764"/>
      <c r="M946" s="1765"/>
      <c r="N946" s="1765"/>
      <c r="O946" s="1765"/>
      <c r="P946" s="1765"/>
      <c r="Q946" s="1765"/>
      <c r="W946" t="s">
        <v>2089</v>
      </c>
    </row>
    <row r="947" spans="1:23" ht="13.15" customHeight="1" x14ac:dyDescent="0.2">
      <c r="A947" s="2" t="s">
        <v>2241</v>
      </c>
      <c r="B947" s="2">
        <f t="shared" si="28"/>
        <v>2019</v>
      </c>
      <c r="C947" s="2" t="str">
        <f t="shared" si="29"/>
        <v>EC101</v>
      </c>
      <c r="D947" s="2">
        <v>329</v>
      </c>
      <c r="F947" s="1764"/>
      <c r="G947" s="1764"/>
      <c r="H947" s="1764"/>
      <c r="I947" s="1764"/>
      <c r="J947" s="1764"/>
      <c r="K947" s="1764"/>
      <c r="L947" s="1764"/>
      <c r="M947" s="1765"/>
      <c r="N947" s="1765"/>
      <c r="O947" s="1765"/>
      <c r="P947" s="1765"/>
      <c r="Q947" s="1765"/>
      <c r="W947" t="s">
        <v>2089</v>
      </c>
    </row>
    <row r="948" spans="1:23" ht="13.15" customHeight="1" x14ac:dyDescent="0.2">
      <c r="A948" s="2" t="s">
        <v>2241</v>
      </c>
      <c r="B948" s="2">
        <f t="shared" si="28"/>
        <v>2019</v>
      </c>
      <c r="C948" s="2" t="str">
        <f t="shared" si="29"/>
        <v>EC101</v>
      </c>
      <c r="D948" s="2">
        <v>330</v>
      </c>
      <c r="F948" s="1764"/>
      <c r="G948" s="1764"/>
      <c r="H948" s="1764"/>
      <c r="I948" s="1764"/>
      <c r="J948" s="1764"/>
      <c r="K948" s="1764"/>
      <c r="L948" s="1764"/>
      <c r="M948" s="1765"/>
      <c r="N948" s="1765"/>
      <c r="O948" s="1765"/>
      <c r="P948" s="1765"/>
      <c r="Q948" s="1765"/>
      <c r="W948" t="s">
        <v>2089</v>
      </c>
    </row>
    <row r="949" spans="1:23" ht="13.15" customHeight="1" x14ac:dyDescent="0.2">
      <c r="A949" s="2" t="s">
        <v>2241</v>
      </c>
      <c r="B949" s="2">
        <f t="shared" si="28"/>
        <v>2019</v>
      </c>
      <c r="C949" s="2" t="str">
        <f t="shared" si="29"/>
        <v>EC101</v>
      </c>
      <c r="D949" s="2">
        <v>331</v>
      </c>
      <c r="F949" s="1764"/>
      <c r="G949" s="1764"/>
      <c r="H949" s="1764"/>
      <c r="I949" s="1764"/>
      <c r="J949" s="1764"/>
      <c r="K949" s="1764"/>
      <c r="L949" s="1764"/>
      <c r="M949" s="1765"/>
      <c r="N949" s="1765"/>
      <c r="O949" s="1765"/>
      <c r="P949" s="1765"/>
      <c r="Q949" s="1765"/>
      <c r="W949" t="s">
        <v>2089</v>
      </c>
    </row>
    <row r="950" spans="1:23" ht="13.15" customHeight="1" x14ac:dyDescent="0.2">
      <c r="A950" s="2" t="s">
        <v>2241</v>
      </c>
      <c r="B950" s="2">
        <f t="shared" si="28"/>
        <v>2019</v>
      </c>
      <c r="C950" s="2" t="str">
        <f t="shared" si="29"/>
        <v>EC101</v>
      </c>
      <c r="D950" s="2">
        <v>332</v>
      </c>
      <c r="F950" s="1764"/>
      <c r="G950" s="1764"/>
      <c r="H950" s="1764"/>
      <c r="I950" s="1764"/>
      <c r="J950" s="1764"/>
      <c r="K950" s="1764"/>
      <c r="L950" s="1764"/>
      <c r="M950" s="1765"/>
      <c r="N950" s="1765"/>
      <c r="O950" s="1765"/>
      <c r="P950" s="1765"/>
      <c r="Q950" s="1765"/>
      <c r="W950" t="s">
        <v>2089</v>
      </c>
    </row>
    <row r="951" spans="1:23" ht="13.15" customHeight="1" x14ac:dyDescent="0.2">
      <c r="A951" s="2" t="s">
        <v>2241</v>
      </c>
      <c r="B951" s="2">
        <f t="shared" si="28"/>
        <v>2019</v>
      </c>
      <c r="C951" s="2" t="str">
        <f t="shared" si="29"/>
        <v>EC101</v>
      </c>
      <c r="D951" s="2">
        <v>333</v>
      </c>
      <c r="F951" s="1764"/>
      <c r="G951" s="1764"/>
      <c r="H951" s="1764"/>
      <c r="I951" s="1764"/>
      <c r="J951" s="1764"/>
      <c r="K951" s="1764"/>
      <c r="L951" s="1764"/>
      <c r="M951" s="1765"/>
      <c r="N951" s="1765"/>
      <c r="O951" s="1765"/>
      <c r="P951" s="1765"/>
      <c r="Q951" s="1765"/>
      <c r="W951" t="s">
        <v>2089</v>
      </c>
    </row>
    <row r="952" spans="1:23" ht="13.15" customHeight="1" x14ac:dyDescent="0.2">
      <c r="A952" s="2" t="s">
        <v>2241</v>
      </c>
      <c r="B952" s="2">
        <f t="shared" si="28"/>
        <v>2019</v>
      </c>
      <c r="C952" s="2" t="str">
        <f t="shared" si="29"/>
        <v>EC101</v>
      </c>
      <c r="D952" s="2">
        <v>334</v>
      </c>
      <c r="F952" s="1764"/>
      <c r="G952" s="1764"/>
      <c r="H952" s="1764"/>
      <c r="I952" s="1764"/>
      <c r="J952" s="1764"/>
      <c r="K952" s="1764"/>
      <c r="L952" s="1764"/>
      <c r="M952" s="1765"/>
      <c r="N952" s="1765"/>
      <c r="O952" s="1765"/>
      <c r="P952" s="1765"/>
      <c r="Q952" s="1765"/>
      <c r="W952" t="s">
        <v>2089</v>
      </c>
    </row>
    <row r="953" spans="1:23" ht="13.15" customHeight="1" x14ac:dyDescent="0.2">
      <c r="A953" s="2" t="s">
        <v>2241</v>
      </c>
      <c r="B953" s="2">
        <f t="shared" si="28"/>
        <v>2019</v>
      </c>
      <c r="C953" s="2" t="str">
        <f t="shared" si="29"/>
        <v>EC101</v>
      </c>
      <c r="D953" s="2">
        <v>335</v>
      </c>
      <c r="F953" s="1764"/>
      <c r="G953" s="1764"/>
      <c r="H953" s="1764"/>
      <c r="I953" s="1764"/>
      <c r="J953" s="1764"/>
      <c r="K953" s="1764"/>
      <c r="L953" s="1764"/>
      <c r="M953" s="1765"/>
      <c r="N953" s="1765"/>
      <c r="O953" s="1765"/>
      <c r="P953" s="1765"/>
      <c r="Q953" s="1765"/>
      <c r="W953" t="s">
        <v>2089</v>
      </c>
    </row>
    <row r="954" spans="1:23" ht="13.15" customHeight="1" x14ac:dyDescent="0.2">
      <c r="A954" s="2" t="s">
        <v>2241</v>
      </c>
      <c r="B954" s="2">
        <f t="shared" si="28"/>
        <v>2019</v>
      </c>
      <c r="C954" s="2" t="str">
        <f t="shared" si="29"/>
        <v>EC101</v>
      </c>
      <c r="D954" s="2">
        <v>336</v>
      </c>
      <c r="F954" s="1764"/>
      <c r="G954" s="1764"/>
      <c r="H954" s="1764"/>
      <c r="I954" s="1764"/>
      <c r="J954" s="1764"/>
      <c r="K954" s="1764"/>
      <c r="L954" s="1764"/>
      <c r="M954" s="1765"/>
      <c r="N954" s="1765"/>
      <c r="O954" s="1765"/>
      <c r="P954" s="1765"/>
      <c r="Q954" s="1765"/>
      <c r="W954" t="s">
        <v>2089</v>
      </c>
    </row>
    <row r="955" spans="1:23" ht="13.15" customHeight="1" x14ac:dyDescent="0.2">
      <c r="A955" s="2" t="s">
        <v>2241</v>
      </c>
      <c r="B955" s="2">
        <f t="shared" si="28"/>
        <v>2019</v>
      </c>
      <c r="C955" s="2" t="str">
        <f t="shared" si="29"/>
        <v>EC101</v>
      </c>
      <c r="D955" s="2">
        <v>337</v>
      </c>
      <c r="F955" s="1764"/>
      <c r="G955" s="1764"/>
      <c r="H955" s="1764"/>
      <c r="I955" s="1764"/>
      <c r="J955" s="1764"/>
      <c r="K955" s="1764"/>
      <c r="L955" s="1764"/>
      <c r="M955" s="1765"/>
      <c r="N955" s="1765"/>
      <c r="O955" s="1765"/>
      <c r="P955" s="1765"/>
      <c r="Q955" s="1765"/>
      <c r="W955" t="s">
        <v>2089</v>
      </c>
    </row>
    <row r="956" spans="1:23" ht="13.15" customHeight="1" x14ac:dyDescent="0.2">
      <c r="A956" s="2" t="s">
        <v>2241</v>
      </c>
      <c r="B956" s="2">
        <f t="shared" si="28"/>
        <v>2019</v>
      </c>
      <c r="C956" s="2" t="str">
        <f t="shared" si="29"/>
        <v>EC101</v>
      </c>
      <c r="D956" s="2">
        <v>338</v>
      </c>
      <c r="F956" s="1764"/>
      <c r="G956" s="1764"/>
      <c r="H956" s="1764"/>
      <c r="I956" s="1764"/>
      <c r="J956" s="1764"/>
      <c r="K956" s="1764"/>
      <c r="L956" s="1764"/>
      <c r="M956" s="1765"/>
      <c r="N956" s="1765"/>
      <c r="O956" s="1765"/>
      <c r="P956" s="1765"/>
      <c r="Q956" s="1765"/>
      <c r="W956" t="s">
        <v>2089</v>
      </c>
    </row>
    <row r="957" spans="1:23" ht="13.15" customHeight="1" x14ac:dyDescent="0.2">
      <c r="A957" s="2" t="s">
        <v>2241</v>
      </c>
      <c r="B957" s="2">
        <f t="shared" si="28"/>
        <v>2019</v>
      </c>
      <c r="C957" s="2" t="str">
        <f t="shared" si="29"/>
        <v>EC101</v>
      </c>
      <c r="D957" s="2">
        <v>339</v>
      </c>
      <c r="F957" s="1764"/>
      <c r="G957" s="1764"/>
      <c r="H957" s="1764"/>
      <c r="I957" s="1764"/>
      <c r="J957" s="1764"/>
      <c r="K957" s="1764"/>
      <c r="L957" s="1764"/>
      <c r="M957" s="1765"/>
      <c r="N957" s="1765"/>
      <c r="O957" s="1765"/>
      <c r="P957" s="1765"/>
      <c r="Q957" s="1765"/>
      <c r="W957" t="s">
        <v>2089</v>
      </c>
    </row>
    <row r="958" spans="1:23" ht="13.15" customHeight="1" x14ac:dyDescent="0.2">
      <c r="A958" s="2" t="s">
        <v>2241</v>
      </c>
      <c r="B958" s="2">
        <f t="shared" si="28"/>
        <v>2019</v>
      </c>
      <c r="C958" s="2" t="str">
        <f t="shared" si="29"/>
        <v>EC101</v>
      </c>
      <c r="D958" s="2">
        <v>340</v>
      </c>
      <c r="F958" s="1764"/>
      <c r="G958" s="1764"/>
      <c r="H958" s="1764"/>
      <c r="I958" s="1764"/>
      <c r="J958" s="1764"/>
      <c r="K958" s="1764"/>
      <c r="L958" s="1764"/>
      <c r="M958" s="1765"/>
      <c r="N958" s="1765"/>
      <c r="O958" s="1765"/>
      <c r="P958" s="1765"/>
      <c r="Q958" s="1765"/>
      <c r="W958" t="s">
        <v>2089</v>
      </c>
    </row>
    <row r="959" spans="1:23" ht="13.15" customHeight="1" x14ac:dyDescent="0.2">
      <c r="A959" s="2" t="s">
        <v>2241</v>
      </c>
      <c r="B959" s="2">
        <f t="shared" si="28"/>
        <v>2019</v>
      </c>
      <c r="C959" s="2" t="str">
        <f t="shared" si="29"/>
        <v>EC101</v>
      </c>
      <c r="D959" s="2">
        <v>341</v>
      </c>
      <c r="F959" s="1764"/>
      <c r="G959" s="1764"/>
      <c r="H959" s="1764"/>
      <c r="I959" s="1764"/>
      <c r="J959" s="1764"/>
      <c r="K959" s="1764"/>
      <c r="L959" s="1764"/>
      <c r="M959" s="1765"/>
      <c r="N959" s="1765"/>
      <c r="O959" s="1765"/>
      <c r="P959" s="1765"/>
      <c r="Q959" s="1765"/>
      <c r="W959" t="s">
        <v>2089</v>
      </c>
    </row>
    <row r="960" spans="1:23" ht="13.15" customHeight="1" x14ac:dyDescent="0.2">
      <c r="A960" s="2" t="s">
        <v>2241</v>
      </c>
      <c r="B960" s="2">
        <f t="shared" si="28"/>
        <v>2019</v>
      </c>
      <c r="C960" s="2" t="str">
        <f t="shared" si="29"/>
        <v>EC101</v>
      </c>
      <c r="D960" s="2">
        <v>342</v>
      </c>
      <c r="F960" s="1764"/>
      <c r="G960" s="1764"/>
      <c r="H960" s="1764"/>
      <c r="I960" s="1764"/>
      <c r="J960" s="1764"/>
      <c r="K960" s="1764"/>
      <c r="L960" s="1764"/>
      <c r="M960" s="1765"/>
      <c r="N960" s="1765"/>
      <c r="O960" s="1765"/>
      <c r="P960" s="1765"/>
      <c r="Q960" s="1765"/>
      <c r="W960" t="s">
        <v>2089</v>
      </c>
    </row>
    <row r="961" spans="1:23" ht="13.15" customHeight="1" x14ac:dyDescent="0.2">
      <c r="A961" s="2" t="s">
        <v>2241</v>
      </c>
      <c r="B961" s="2">
        <f t="shared" si="28"/>
        <v>2019</v>
      </c>
      <c r="C961" s="2" t="str">
        <f t="shared" si="29"/>
        <v>EC101</v>
      </c>
      <c r="D961" s="2">
        <v>343</v>
      </c>
      <c r="F961" s="1764"/>
      <c r="G961" s="1764"/>
      <c r="H961" s="1764"/>
      <c r="I961" s="1764"/>
      <c r="J961" s="1764"/>
      <c r="K961" s="1764"/>
      <c r="L961" s="1764"/>
      <c r="M961" s="1765"/>
      <c r="N961" s="1765"/>
      <c r="O961" s="1765"/>
      <c r="P961" s="1765"/>
      <c r="Q961" s="1765"/>
      <c r="W961" t="s">
        <v>2089</v>
      </c>
    </row>
    <row r="962" spans="1:23" ht="13.15" customHeight="1" x14ac:dyDescent="0.2">
      <c r="A962" s="2" t="s">
        <v>2241</v>
      </c>
      <c r="B962" s="2">
        <f t="shared" ref="B962:B1025" si="30">+MTREF</f>
        <v>2019</v>
      </c>
      <c r="C962" s="2" t="str">
        <f t="shared" ref="C962:C1025" si="31">LEFT(muni,(FIND(" ",muni,1)-1))</f>
        <v>EC101</v>
      </c>
      <c r="D962" s="2">
        <v>344</v>
      </c>
      <c r="F962" s="1764"/>
      <c r="G962" s="1764"/>
      <c r="H962" s="1764"/>
      <c r="I962" s="1764"/>
      <c r="J962" s="1764"/>
      <c r="K962" s="1764"/>
      <c r="L962" s="1764"/>
      <c r="M962" s="1765"/>
      <c r="N962" s="1765"/>
      <c r="O962" s="1765"/>
      <c r="P962" s="1765"/>
      <c r="Q962" s="1765"/>
      <c r="W962" t="s">
        <v>2089</v>
      </c>
    </row>
    <row r="963" spans="1:23" ht="13.15" customHeight="1" x14ac:dyDescent="0.2">
      <c r="A963" s="2" t="s">
        <v>2241</v>
      </c>
      <c r="B963" s="2">
        <f t="shared" si="30"/>
        <v>2019</v>
      </c>
      <c r="C963" s="2" t="str">
        <f t="shared" si="31"/>
        <v>EC101</v>
      </c>
      <c r="D963" s="2">
        <v>345</v>
      </c>
      <c r="F963" s="1764"/>
      <c r="G963" s="1764"/>
      <c r="H963" s="1764"/>
      <c r="I963" s="1764"/>
      <c r="J963" s="1764"/>
      <c r="K963" s="1764"/>
      <c r="L963" s="1764"/>
      <c r="M963" s="1765"/>
      <c r="N963" s="1765"/>
      <c r="O963" s="1765"/>
      <c r="P963" s="1765"/>
      <c r="Q963" s="1765"/>
      <c r="W963" t="s">
        <v>2089</v>
      </c>
    </row>
    <row r="964" spans="1:23" ht="13.15" customHeight="1" x14ac:dyDescent="0.2">
      <c r="A964" s="2" t="s">
        <v>2241</v>
      </c>
      <c r="B964" s="2">
        <f t="shared" si="30"/>
        <v>2019</v>
      </c>
      <c r="C964" s="2" t="str">
        <f t="shared" si="31"/>
        <v>EC101</v>
      </c>
      <c r="D964" s="2">
        <v>346</v>
      </c>
      <c r="F964" s="1764"/>
      <c r="G964" s="1764"/>
      <c r="H964" s="1764"/>
      <c r="I964" s="1764"/>
      <c r="J964" s="1764"/>
      <c r="K964" s="1764"/>
      <c r="L964" s="1764"/>
      <c r="M964" s="1765"/>
      <c r="N964" s="1765"/>
      <c r="O964" s="1765"/>
      <c r="P964" s="1765"/>
      <c r="Q964" s="1765"/>
      <c r="W964" t="s">
        <v>2089</v>
      </c>
    </row>
    <row r="965" spans="1:23" ht="13.15" customHeight="1" x14ac:dyDescent="0.2">
      <c r="A965" s="2" t="s">
        <v>2241</v>
      </c>
      <c r="B965" s="2">
        <f t="shared" si="30"/>
        <v>2019</v>
      </c>
      <c r="C965" s="2" t="str">
        <f t="shared" si="31"/>
        <v>EC101</v>
      </c>
      <c r="D965" s="2">
        <v>347</v>
      </c>
      <c r="F965" s="1764"/>
      <c r="G965" s="1764"/>
      <c r="H965" s="1764"/>
      <c r="I965" s="1764"/>
      <c r="J965" s="1764"/>
      <c r="K965" s="1764"/>
      <c r="L965" s="1764"/>
      <c r="M965" s="1765"/>
      <c r="N965" s="1765"/>
      <c r="O965" s="1765"/>
      <c r="P965" s="1765"/>
      <c r="Q965" s="1765"/>
      <c r="W965" t="s">
        <v>2089</v>
      </c>
    </row>
    <row r="966" spans="1:23" ht="13.15" customHeight="1" x14ac:dyDescent="0.2">
      <c r="A966" s="2" t="s">
        <v>2241</v>
      </c>
      <c r="B966" s="2">
        <f t="shared" si="30"/>
        <v>2019</v>
      </c>
      <c r="C966" s="2" t="str">
        <f t="shared" si="31"/>
        <v>EC101</v>
      </c>
      <c r="D966" s="2">
        <v>348</v>
      </c>
      <c r="F966" s="1764"/>
      <c r="G966" s="1764"/>
      <c r="H966" s="1764"/>
      <c r="I966" s="1764"/>
      <c r="J966" s="1764"/>
      <c r="K966" s="1764"/>
      <c r="L966" s="1764"/>
      <c r="M966" s="1765"/>
      <c r="N966" s="1765"/>
      <c r="O966" s="1765"/>
      <c r="P966" s="1765"/>
      <c r="Q966" s="1765"/>
      <c r="W966" t="s">
        <v>2089</v>
      </c>
    </row>
    <row r="967" spans="1:23" ht="13.15" customHeight="1" x14ac:dyDescent="0.2">
      <c r="A967" s="2" t="s">
        <v>2241</v>
      </c>
      <c r="B967" s="2">
        <f t="shared" si="30"/>
        <v>2019</v>
      </c>
      <c r="C967" s="2" t="str">
        <f t="shared" si="31"/>
        <v>EC101</v>
      </c>
      <c r="D967" s="2">
        <v>349</v>
      </c>
      <c r="F967" s="1764"/>
      <c r="G967" s="1764"/>
      <c r="H967" s="1764"/>
      <c r="I967" s="1764"/>
      <c r="J967" s="1764"/>
      <c r="K967" s="1764"/>
      <c r="L967" s="1764"/>
      <c r="M967" s="1765"/>
      <c r="N967" s="1765"/>
      <c r="O967" s="1765"/>
      <c r="P967" s="1765"/>
      <c r="Q967" s="1765"/>
      <c r="W967" t="s">
        <v>2089</v>
      </c>
    </row>
    <row r="968" spans="1:23" ht="13.15" customHeight="1" x14ac:dyDescent="0.2">
      <c r="A968" s="2" t="s">
        <v>2241</v>
      </c>
      <c r="B968" s="2">
        <f t="shared" si="30"/>
        <v>2019</v>
      </c>
      <c r="C968" s="2" t="str">
        <f t="shared" si="31"/>
        <v>EC101</v>
      </c>
      <c r="D968" s="2">
        <v>350</v>
      </c>
      <c r="F968" s="1764"/>
      <c r="G968" s="1764"/>
      <c r="H968" s="1764"/>
      <c r="I968" s="1764"/>
      <c r="J968" s="1764"/>
      <c r="K968" s="1764"/>
      <c r="L968" s="1764"/>
      <c r="M968" s="1765"/>
      <c r="N968" s="1765"/>
      <c r="O968" s="1765"/>
      <c r="P968" s="1765"/>
      <c r="Q968" s="1765"/>
      <c r="W968" t="s">
        <v>2089</v>
      </c>
    </row>
    <row r="969" spans="1:23" ht="13.15" customHeight="1" x14ac:dyDescent="0.2">
      <c r="A969" s="2" t="s">
        <v>2241</v>
      </c>
      <c r="B969" s="2">
        <f t="shared" si="30"/>
        <v>2019</v>
      </c>
      <c r="C969" s="2" t="str">
        <f t="shared" si="31"/>
        <v>EC101</v>
      </c>
      <c r="D969" s="2">
        <v>351</v>
      </c>
      <c r="F969" s="1764"/>
      <c r="G969" s="1764"/>
      <c r="H969" s="1764"/>
      <c r="I969" s="1764"/>
      <c r="J969" s="1764"/>
      <c r="K969" s="1764"/>
      <c r="L969" s="1764"/>
      <c r="M969" s="1765"/>
      <c r="N969" s="1765"/>
      <c r="O969" s="1765"/>
      <c r="P969" s="1765"/>
      <c r="Q969" s="1765"/>
      <c r="W969" t="s">
        <v>2089</v>
      </c>
    </row>
    <row r="970" spans="1:23" ht="13.15" customHeight="1" x14ac:dyDescent="0.2">
      <c r="A970" s="2" t="s">
        <v>2241</v>
      </c>
      <c r="B970" s="2">
        <f t="shared" si="30"/>
        <v>2019</v>
      </c>
      <c r="C970" s="2" t="str">
        <f t="shared" si="31"/>
        <v>EC101</v>
      </c>
      <c r="D970" s="2">
        <v>352</v>
      </c>
      <c r="F970" s="1764"/>
      <c r="G970" s="1764"/>
      <c r="H970" s="1764"/>
      <c r="I970" s="1764"/>
      <c r="J970" s="1764"/>
      <c r="K970" s="1764"/>
      <c r="L970" s="1764"/>
      <c r="M970" s="1765"/>
      <c r="N970" s="1765"/>
      <c r="O970" s="1765"/>
      <c r="P970" s="1765"/>
      <c r="Q970" s="1765"/>
      <c r="W970" t="s">
        <v>2089</v>
      </c>
    </row>
    <row r="971" spans="1:23" ht="13.15" customHeight="1" x14ac:dyDescent="0.2">
      <c r="A971" s="2" t="s">
        <v>2241</v>
      </c>
      <c r="B971" s="2">
        <f t="shared" si="30"/>
        <v>2019</v>
      </c>
      <c r="C971" s="2" t="str">
        <f t="shared" si="31"/>
        <v>EC101</v>
      </c>
      <c r="D971" s="2">
        <v>353</v>
      </c>
      <c r="F971" s="1764"/>
      <c r="G971" s="1764"/>
      <c r="H971" s="1764"/>
      <c r="I971" s="1764"/>
      <c r="J971" s="1764"/>
      <c r="K971" s="1764"/>
      <c r="L971" s="1764"/>
      <c r="M971" s="1765"/>
      <c r="N971" s="1765"/>
      <c r="O971" s="1765"/>
      <c r="P971" s="1765"/>
      <c r="Q971" s="1765"/>
      <c r="W971" t="s">
        <v>2089</v>
      </c>
    </row>
    <row r="972" spans="1:23" ht="13.15" customHeight="1" x14ac:dyDescent="0.2">
      <c r="A972" s="2" t="s">
        <v>2241</v>
      </c>
      <c r="B972" s="2">
        <f t="shared" si="30"/>
        <v>2019</v>
      </c>
      <c r="C972" s="2" t="str">
        <f t="shared" si="31"/>
        <v>EC101</v>
      </c>
      <c r="D972" s="2">
        <v>354</v>
      </c>
      <c r="F972" s="1764"/>
      <c r="G972" s="1764"/>
      <c r="H972" s="1764"/>
      <c r="I972" s="1764"/>
      <c r="J972" s="1764"/>
      <c r="K972" s="1764"/>
      <c r="L972" s="1764"/>
      <c r="M972" s="1765"/>
      <c r="N972" s="1765"/>
      <c r="O972" s="1765"/>
      <c r="P972" s="1765"/>
      <c r="Q972" s="1765"/>
      <c r="W972" t="s">
        <v>2089</v>
      </c>
    </row>
    <row r="973" spans="1:23" ht="13.15" customHeight="1" x14ac:dyDescent="0.2">
      <c r="A973" s="2" t="s">
        <v>2241</v>
      </c>
      <c r="B973" s="2">
        <f t="shared" si="30"/>
        <v>2019</v>
      </c>
      <c r="C973" s="2" t="str">
        <f t="shared" si="31"/>
        <v>EC101</v>
      </c>
      <c r="D973" s="2">
        <v>355</v>
      </c>
      <c r="F973" s="1764"/>
      <c r="G973" s="1764"/>
      <c r="H973" s="1764"/>
      <c r="I973" s="1764"/>
      <c r="J973" s="1764"/>
      <c r="K973" s="1764"/>
      <c r="L973" s="1764"/>
      <c r="M973" s="1765"/>
      <c r="N973" s="1765"/>
      <c r="O973" s="1765"/>
      <c r="P973" s="1765"/>
      <c r="Q973" s="1765"/>
      <c r="W973" t="s">
        <v>2089</v>
      </c>
    </row>
    <row r="974" spans="1:23" ht="13.15" customHeight="1" x14ac:dyDescent="0.2">
      <c r="A974" s="2" t="s">
        <v>2241</v>
      </c>
      <c r="B974" s="2">
        <f t="shared" si="30"/>
        <v>2019</v>
      </c>
      <c r="C974" s="2" t="str">
        <f t="shared" si="31"/>
        <v>EC101</v>
      </c>
      <c r="D974" s="2">
        <v>356</v>
      </c>
      <c r="F974" s="1764"/>
      <c r="G974" s="1764"/>
      <c r="H974" s="1764"/>
      <c r="I974" s="1764"/>
      <c r="J974" s="1764"/>
      <c r="K974" s="1764"/>
      <c r="L974" s="1764"/>
      <c r="M974" s="1765"/>
      <c r="N974" s="1765"/>
      <c r="O974" s="1765"/>
      <c r="P974" s="1765"/>
      <c r="Q974" s="1765"/>
      <c r="W974" t="s">
        <v>2089</v>
      </c>
    </row>
    <row r="975" spans="1:23" ht="13.15" customHeight="1" x14ac:dyDescent="0.2">
      <c r="A975" s="2" t="s">
        <v>2241</v>
      </c>
      <c r="B975" s="2">
        <f t="shared" si="30"/>
        <v>2019</v>
      </c>
      <c r="C975" s="2" t="str">
        <f t="shared" si="31"/>
        <v>EC101</v>
      </c>
      <c r="D975" s="2">
        <v>357</v>
      </c>
      <c r="F975" s="1764"/>
      <c r="G975" s="1764"/>
      <c r="H975" s="1764"/>
      <c r="I975" s="1764"/>
      <c r="J975" s="1764"/>
      <c r="K975" s="1764"/>
      <c r="L975" s="1764"/>
      <c r="M975" s="1765"/>
      <c r="N975" s="1765"/>
      <c r="O975" s="1765"/>
      <c r="P975" s="1765"/>
      <c r="Q975" s="1765"/>
      <c r="W975" t="s">
        <v>2089</v>
      </c>
    </row>
    <row r="976" spans="1:23" ht="13.15" customHeight="1" x14ac:dyDescent="0.2">
      <c r="A976" s="2" t="s">
        <v>2241</v>
      </c>
      <c r="B976" s="2">
        <f t="shared" si="30"/>
        <v>2019</v>
      </c>
      <c r="C976" s="2" t="str">
        <f t="shared" si="31"/>
        <v>EC101</v>
      </c>
      <c r="D976" s="2">
        <v>358</v>
      </c>
      <c r="F976" s="1764"/>
      <c r="G976" s="1764"/>
      <c r="H976" s="1764"/>
      <c r="I976" s="1764"/>
      <c r="J976" s="1764"/>
      <c r="K976" s="1764"/>
      <c r="L976" s="1764"/>
      <c r="M976" s="1765"/>
      <c r="N976" s="1765"/>
      <c r="O976" s="1765"/>
      <c r="P976" s="1765"/>
      <c r="Q976" s="1765"/>
      <c r="W976" t="s">
        <v>2089</v>
      </c>
    </row>
    <row r="977" spans="1:23" ht="13.15" customHeight="1" x14ac:dyDescent="0.2">
      <c r="A977" s="2" t="s">
        <v>2241</v>
      </c>
      <c r="B977" s="2">
        <f t="shared" si="30"/>
        <v>2019</v>
      </c>
      <c r="C977" s="2" t="str">
        <f t="shared" si="31"/>
        <v>EC101</v>
      </c>
      <c r="D977" s="2">
        <v>359</v>
      </c>
      <c r="F977" s="1764"/>
      <c r="G977" s="1764"/>
      <c r="H977" s="1764"/>
      <c r="I977" s="1764"/>
      <c r="J977" s="1764"/>
      <c r="K977" s="1764"/>
      <c r="L977" s="1764"/>
      <c r="M977" s="1765"/>
      <c r="N977" s="1765"/>
      <c r="O977" s="1765"/>
      <c r="P977" s="1765"/>
      <c r="Q977" s="1765"/>
      <c r="W977" t="s">
        <v>2089</v>
      </c>
    </row>
    <row r="978" spans="1:23" ht="13.15" customHeight="1" x14ac:dyDescent="0.2">
      <c r="A978" s="2" t="s">
        <v>2241</v>
      </c>
      <c r="B978" s="2">
        <f t="shared" si="30"/>
        <v>2019</v>
      </c>
      <c r="C978" s="2" t="str">
        <f t="shared" si="31"/>
        <v>EC101</v>
      </c>
      <c r="D978" s="2">
        <v>360</v>
      </c>
      <c r="F978" s="1764"/>
      <c r="G978" s="1764"/>
      <c r="H978" s="1764"/>
      <c r="I978" s="1764"/>
      <c r="J978" s="1764"/>
      <c r="K978" s="1764"/>
      <c r="L978" s="1764"/>
      <c r="M978" s="1765"/>
      <c r="N978" s="1765"/>
      <c r="O978" s="1765"/>
      <c r="P978" s="1765"/>
      <c r="Q978" s="1765"/>
      <c r="W978" t="s">
        <v>2089</v>
      </c>
    </row>
    <row r="979" spans="1:23" ht="13.15" customHeight="1" x14ac:dyDescent="0.2">
      <c r="A979" s="2" t="s">
        <v>2241</v>
      </c>
      <c r="B979" s="2">
        <f t="shared" si="30"/>
        <v>2019</v>
      </c>
      <c r="C979" s="2" t="str">
        <f t="shared" si="31"/>
        <v>EC101</v>
      </c>
      <c r="D979" s="2">
        <v>361</v>
      </c>
      <c r="F979" s="1764"/>
      <c r="G979" s="1764"/>
      <c r="H979" s="1764"/>
      <c r="I979" s="1764"/>
      <c r="J979" s="1764"/>
      <c r="K979" s="1764"/>
      <c r="L979" s="1764"/>
      <c r="M979" s="1765"/>
      <c r="N979" s="1765"/>
      <c r="O979" s="1765"/>
      <c r="P979" s="1765"/>
      <c r="Q979" s="1765"/>
      <c r="W979" t="s">
        <v>2089</v>
      </c>
    </row>
    <row r="980" spans="1:23" ht="13.15" customHeight="1" x14ac:dyDescent="0.2">
      <c r="A980" s="2" t="s">
        <v>2241</v>
      </c>
      <c r="B980" s="2">
        <f t="shared" si="30"/>
        <v>2019</v>
      </c>
      <c r="C980" s="2" t="str">
        <f t="shared" si="31"/>
        <v>EC101</v>
      </c>
      <c r="D980" s="2">
        <v>362</v>
      </c>
      <c r="F980" s="1764"/>
      <c r="G980" s="1764"/>
      <c r="H980" s="1764"/>
      <c r="I980" s="1764"/>
      <c r="J980" s="1764"/>
      <c r="K980" s="1764"/>
      <c r="L980" s="1764"/>
      <c r="M980" s="1765"/>
      <c r="N980" s="1765"/>
      <c r="O980" s="1765"/>
      <c r="P980" s="1765"/>
      <c r="Q980" s="1765"/>
      <c r="W980" t="s">
        <v>2089</v>
      </c>
    </row>
    <row r="981" spans="1:23" ht="13.15" customHeight="1" x14ac:dyDescent="0.2">
      <c r="A981" s="2" t="s">
        <v>2241</v>
      </c>
      <c r="B981" s="2">
        <f t="shared" si="30"/>
        <v>2019</v>
      </c>
      <c r="C981" s="2" t="str">
        <f t="shared" si="31"/>
        <v>EC101</v>
      </c>
      <c r="D981" s="2">
        <v>363</v>
      </c>
      <c r="F981" s="1764"/>
      <c r="G981" s="1764"/>
      <c r="H981" s="1764"/>
      <c r="I981" s="1764"/>
      <c r="J981" s="1764"/>
      <c r="K981" s="1764"/>
      <c r="L981" s="1764"/>
      <c r="M981" s="1765"/>
      <c r="N981" s="1765"/>
      <c r="O981" s="1765"/>
      <c r="P981" s="1765"/>
      <c r="Q981" s="1765"/>
      <c r="W981" t="s">
        <v>2089</v>
      </c>
    </row>
    <row r="982" spans="1:23" ht="13.15" customHeight="1" x14ac:dyDescent="0.2">
      <c r="A982" s="2" t="s">
        <v>2241</v>
      </c>
      <c r="B982" s="2">
        <f t="shared" si="30"/>
        <v>2019</v>
      </c>
      <c r="C982" s="2" t="str">
        <f t="shared" si="31"/>
        <v>EC101</v>
      </c>
      <c r="D982" s="2">
        <v>364</v>
      </c>
      <c r="F982" s="1764"/>
      <c r="G982" s="1764"/>
      <c r="H982" s="1764"/>
      <c r="I982" s="1764"/>
      <c r="J982" s="1764"/>
      <c r="K982" s="1764"/>
      <c r="L982" s="1764"/>
      <c r="M982" s="1765"/>
      <c r="N982" s="1765"/>
      <c r="O982" s="1765"/>
      <c r="P982" s="1765"/>
      <c r="Q982" s="1765"/>
      <c r="W982" t="s">
        <v>2089</v>
      </c>
    </row>
    <row r="983" spans="1:23" ht="13.15" customHeight="1" x14ac:dyDescent="0.2">
      <c r="A983" s="2" t="s">
        <v>2241</v>
      </c>
      <c r="B983" s="2">
        <f t="shared" si="30"/>
        <v>2019</v>
      </c>
      <c r="C983" s="2" t="str">
        <f t="shared" si="31"/>
        <v>EC101</v>
      </c>
      <c r="D983" s="2">
        <v>365</v>
      </c>
      <c r="F983" s="1764"/>
      <c r="G983" s="1764"/>
      <c r="H983" s="1764"/>
      <c r="I983" s="1764"/>
      <c r="J983" s="1764"/>
      <c r="K983" s="1764"/>
      <c r="L983" s="1764"/>
      <c r="M983" s="1765"/>
      <c r="N983" s="1765"/>
      <c r="O983" s="1765"/>
      <c r="P983" s="1765"/>
      <c r="Q983" s="1765"/>
      <c r="W983" t="s">
        <v>2089</v>
      </c>
    </row>
    <row r="984" spans="1:23" ht="13.15" customHeight="1" x14ac:dyDescent="0.2">
      <c r="A984" s="2" t="s">
        <v>2241</v>
      </c>
      <c r="B984" s="2">
        <f t="shared" si="30"/>
        <v>2019</v>
      </c>
      <c r="C984" s="2" t="str">
        <f t="shared" si="31"/>
        <v>EC101</v>
      </c>
      <c r="D984" s="2">
        <v>366</v>
      </c>
      <c r="F984" s="1764"/>
      <c r="G984" s="1764"/>
      <c r="H984" s="1764"/>
      <c r="I984" s="1764"/>
      <c r="J984" s="1764"/>
      <c r="K984" s="1764"/>
      <c r="L984" s="1764"/>
      <c r="M984" s="1765"/>
      <c r="N984" s="1765"/>
      <c r="O984" s="1765"/>
      <c r="P984" s="1765"/>
      <c r="Q984" s="1765"/>
      <c r="W984" t="s">
        <v>2089</v>
      </c>
    </row>
    <row r="985" spans="1:23" ht="13.15" customHeight="1" x14ac:dyDescent="0.2">
      <c r="A985" s="2" t="s">
        <v>2241</v>
      </c>
      <c r="B985" s="2">
        <f t="shared" si="30"/>
        <v>2019</v>
      </c>
      <c r="C985" s="2" t="str">
        <f t="shared" si="31"/>
        <v>EC101</v>
      </c>
      <c r="D985" s="2">
        <v>367</v>
      </c>
      <c r="F985" s="1764"/>
      <c r="G985" s="1764"/>
      <c r="H985" s="1764"/>
      <c r="I985" s="1764"/>
      <c r="J985" s="1764"/>
      <c r="K985" s="1764"/>
      <c r="L985" s="1764"/>
      <c r="M985" s="1765"/>
      <c r="N985" s="1765"/>
      <c r="O985" s="1765"/>
      <c r="P985" s="1765"/>
      <c r="Q985" s="1765"/>
      <c r="W985" t="s">
        <v>2089</v>
      </c>
    </row>
    <row r="986" spans="1:23" ht="13.15" customHeight="1" x14ac:dyDescent="0.2">
      <c r="A986" s="2" t="s">
        <v>2241</v>
      </c>
      <c r="B986" s="2">
        <f t="shared" si="30"/>
        <v>2019</v>
      </c>
      <c r="C986" s="2" t="str">
        <f t="shared" si="31"/>
        <v>EC101</v>
      </c>
      <c r="D986" s="2">
        <v>368</v>
      </c>
      <c r="F986" s="1764"/>
      <c r="G986" s="1764"/>
      <c r="H986" s="1764"/>
      <c r="I986" s="1764"/>
      <c r="J986" s="1764"/>
      <c r="K986" s="1764"/>
      <c r="L986" s="1764"/>
      <c r="M986" s="1765"/>
      <c r="N986" s="1765"/>
      <c r="O986" s="1765"/>
      <c r="P986" s="1765"/>
      <c r="Q986" s="1765"/>
      <c r="W986" t="s">
        <v>2089</v>
      </c>
    </row>
    <row r="987" spans="1:23" ht="13.15" customHeight="1" x14ac:dyDescent="0.2">
      <c r="A987" s="2" t="s">
        <v>2241</v>
      </c>
      <c r="B987" s="2">
        <f t="shared" si="30"/>
        <v>2019</v>
      </c>
      <c r="C987" s="2" t="str">
        <f t="shared" si="31"/>
        <v>EC101</v>
      </c>
      <c r="D987" s="2">
        <v>369</v>
      </c>
      <c r="F987" s="1764"/>
      <c r="G987" s="1764"/>
      <c r="H987" s="1764"/>
      <c r="I987" s="1764"/>
      <c r="J987" s="1764"/>
      <c r="K987" s="1764"/>
      <c r="L987" s="1764"/>
      <c r="M987" s="1765"/>
      <c r="N987" s="1765"/>
      <c r="O987" s="1765"/>
      <c r="P987" s="1765"/>
      <c r="Q987" s="1765"/>
      <c r="W987" t="s">
        <v>2089</v>
      </c>
    </row>
    <row r="988" spans="1:23" ht="13.15" customHeight="1" x14ac:dyDescent="0.2">
      <c r="A988" s="2" t="s">
        <v>2241</v>
      </c>
      <c r="B988" s="2">
        <f t="shared" si="30"/>
        <v>2019</v>
      </c>
      <c r="C988" s="2" t="str">
        <f t="shared" si="31"/>
        <v>EC101</v>
      </c>
      <c r="D988" s="2">
        <v>370</v>
      </c>
      <c r="F988" s="1764"/>
      <c r="G988" s="1764"/>
      <c r="H988" s="1764"/>
      <c r="I988" s="1764"/>
      <c r="J988" s="1764"/>
      <c r="K988" s="1764"/>
      <c r="L988" s="1764"/>
      <c r="M988" s="1765"/>
      <c r="N988" s="1765"/>
      <c r="O988" s="1765"/>
      <c r="P988" s="1765"/>
      <c r="Q988" s="1765"/>
      <c r="W988" t="s">
        <v>2089</v>
      </c>
    </row>
    <row r="989" spans="1:23" ht="13.15" customHeight="1" x14ac:dyDescent="0.2">
      <c r="A989" s="2" t="s">
        <v>2241</v>
      </c>
      <c r="B989" s="2">
        <f t="shared" si="30"/>
        <v>2019</v>
      </c>
      <c r="C989" s="2" t="str">
        <f t="shared" si="31"/>
        <v>EC101</v>
      </c>
      <c r="D989" s="2">
        <v>371</v>
      </c>
      <c r="F989" s="1764"/>
      <c r="G989" s="1764"/>
      <c r="H989" s="1764"/>
      <c r="I989" s="1764"/>
      <c r="J989" s="1764"/>
      <c r="K989" s="1764"/>
      <c r="L989" s="1764"/>
      <c r="M989" s="1765"/>
      <c r="N989" s="1765"/>
      <c r="O989" s="1765"/>
      <c r="P989" s="1765"/>
      <c r="Q989" s="1765"/>
      <c r="W989" t="s">
        <v>2089</v>
      </c>
    </row>
    <row r="990" spans="1:23" ht="13.15" customHeight="1" x14ac:dyDescent="0.2">
      <c r="A990" s="2" t="s">
        <v>2241</v>
      </c>
      <c r="B990" s="2">
        <f t="shared" si="30"/>
        <v>2019</v>
      </c>
      <c r="C990" s="2" t="str">
        <f t="shared" si="31"/>
        <v>EC101</v>
      </c>
      <c r="D990" s="2">
        <v>372</v>
      </c>
      <c r="F990" s="1764"/>
      <c r="G990" s="1764"/>
      <c r="H990" s="1764"/>
      <c r="I990" s="1764"/>
      <c r="J990" s="1764"/>
      <c r="K990" s="1764"/>
      <c r="L990" s="1764"/>
      <c r="M990" s="1765"/>
      <c r="N990" s="1765"/>
      <c r="O990" s="1765"/>
      <c r="P990" s="1765"/>
      <c r="Q990" s="1765"/>
      <c r="W990" t="s">
        <v>2089</v>
      </c>
    </row>
    <row r="991" spans="1:23" ht="13.15" customHeight="1" x14ac:dyDescent="0.2">
      <c r="A991" s="2" t="s">
        <v>2241</v>
      </c>
      <c r="B991" s="2">
        <f t="shared" si="30"/>
        <v>2019</v>
      </c>
      <c r="C991" s="2" t="str">
        <f t="shared" si="31"/>
        <v>EC101</v>
      </c>
      <c r="D991" s="2">
        <v>373</v>
      </c>
      <c r="F991" s="1764"/>
      <c r="G991" s="1764"/>
      <c r="H991" s="1764"/>
      <c r="I991" s="1764"/>
      <c r="J991" s="1764"/>
      <c r="K991" s="1764"/>
      <c r="L991" s="1764"/>
      <c r="M991" s="1765"/>
      <c r="N991" s="1765"/>
      <c r="O991" s="1765"/>
      <c r="P991" s="1765"/>
      <c r="Q991" s="1765"/>
      <c r="W991" t="s">
        <v>2089</v>
      </c>
    </row>
    <row r="992" spans="1:23" ht="13.15" customHeight="1" x14ac:dyDescent="0.2">
      <c r="A992" s="2" t="s">
        <v>2241</v>
      </c>
      <c r="B992" s="2">
        <f t="shared" si="30"/>
        <v>2019</v>
      </c>
      <c r="C992" s="2" t="str">
        <f t="shared" si="31"/>
        <v>EC101</v>
      </c>
      <c r="D992" s="2">
        <v>374</v>
      </c>
      <c r="F992" s="1764"/>
      <c r="G992" s="1764"/>
      <c r="H992" s="1764"/>
      <c r="I992" s="1764"/>
      <c r="J992" s="1764"/>
      <c r="K992" s="1764"/>
      <c r="L992" s="1764"/>
      <c r="M992" s="1765"/>
      <c r="N992" s="1765"/>
      <c r="O992" s="1765"/>
      <c r="P992" s="1765"/>
      <c r="Q992" s="1765"/>
      <c r="W992" t="s">
        <v>2089</v>
      </c>
    </row>
    <row r="993" spans="1:23" ht="13.15" customHeight="1" x14ac:dyDescent="0.2">
      <c r="A993" s="2" t="s">
        <v>2241</v>
      </c>
      <c r="B993" s="2">
        <f t="shared" si="30"/>
        <v>2019</v>
      </c>
      <c r="C993" s="2" t="str">
        <f t="shared" si="31"/>
        <v>EC101</v>
      </c>
      <c r="D993" s="2">
        <v>375</v>
      </c>
      <c r="F993" s="1764"/>
      <c r="G993" s="1764"/>
      <c r="H993" s="1764"/>
      <c r="I993" s="1764"/>
      <c r="J993" s="1764"/>
      <c r="K993" s="1764"/>
      <c r="L993" s="1764"/>
      <c r="M993" s="1765"/>
      <c r="N993" s="1765"/>
      <c r="O993" s="1765"/>
      <c r="P993" s="1765"/>
      <c r="Q993" s="1765"/>
      <c r="W993" t="s">
        <v>2089</v>
      </c>
    </row>
    <row r="994" spans="1:23" ht="13.15" customHeight="1" x14ac:dyDescent="0.2">
      <c r="A994" s="2" t="s">
        <v>2241</v>
      </c>
      <c r="B994" s="2">
        <f t="shared" si="30"/>
        <v>2019</v>
      </c>
      <c r="C994" s="2" t="str">
        <f t="shared" si="31"/>
        <v>EC101</v>
      </c>
      <c r="D994" s="2">
        <v>376</v>
      </c>
      <c r="F994" s="1764"/>
      <c r="G994" s="1764"/>
      <c r="H994" s="1764"/>
      <c r="I994" s="1764"/>
      <c r="J994" s="1764"/>
      <c r="K994" s="1764"/>
      <c r="L994" s="1764"/>
      <c r="M994" s="1765"/>
      <c r="N994" s="1765"/>
      <c r="O994" s="1765"/>
      <c r="P994" s="1765"/>
      <c r="Q994" s="1765"/>
      <c r="W994" t="s">
        <v>2089</v>
      </c>
    </row>
    <row r="995" spans="1:23" ht="13.15" customHeight="1" x14ac:dyDescent="0.2">
      <c r="A995" s="2" t="s">
        <v>2241</v>
      </c>
      <c r="B995" s="2">
        <f t="shared" si="30"/>
        <v>2019</v>
      </c>
      <c r="C995" s="2" t="str">
        <f t="shared" si="31"/>
        <v>EC101</v>
      </c>
      <c r="D995" s="2">
        <v>377</v>
      </c>
      <c r="F995" s="1764"/>
      <c r="G995" s="1764"/>
      <c r="H995" s="1764"/>
      <c r="I995" s="1764"/>
      <c r="J995" s="1764"/>
      <c r="K995" s="1764"/>
      <c r="L995" s="1764"/>
      <c r="M995" s="1765"/>
      <c r="N995" s="1765"/>
      <c r="O995" s="1765"/>
      <c r="P995" s="1765"/>
      <c r="Q995" s="1765"/>
      <c r="W995" t="s">
        <v>2089</v>
      </c>
    </row>
    <row r="996" spans="1:23" ht="13.15" customHeight="1" x14ac:dyDescent="0.2">
      <c r="A996" s="2" t="s">
        <v>2241</v>
      </c>
      <c r="B996" s="2">
        <f t="shared" si="30"/>
        <v>2019</v>
      </c>
      <c r="C996" s="2" t="str">
        <f t="shared" si="31"/>
        <v>EC101</v>
      </c>
      <c r="D996" s="2">
        <v>378</v>
      </c>
      <c r="F996" s="1764"/>
      <c r="G996" s="1764"/>
      <c r="H996" s="1764"/>
      <c r="I996" s="1764"/>
      <c r="J996" s="1764"/>
      <c r="K996" s="1764"/>
      <c r="L996" s="1764"/>
      <c r="M996" s="1765"/>
      <c r="N996" s="1765"/>
      <c r="O996" s="1765"/>
      <c r="P996" s="1765"/>
      <c r="Q996" s="1765"/>
      <c r="W996" t="s">
        <v>2089</v>
      </c>
    </row>
    <row r="997" spans="1:23" ht="13.15" customHeight="1" x14ac:dyDescent="0.2">
      <c r="A997" s="2" t="s">
        <v>2241</v>
      </c>
      <c r="B997" s="2">
        <f t="shared" si="30"/>
        <v>2019</v>
      </c>
      <c r="C997" s="2" t="str">
        <f t="shared" si="31"/>
        <v>EC101</v>
      </c>
      <c r="D997" s="2">
        <v>379</v>
      </c>
      <c r="F997" s="1764"/>
      <c r="G997" s="1764"/>
      <c r="H997" s="1764"/>
      <c r="I997" s="1764"/>
      <c r="J997" s="1764"/>
      <c r="K997" s="1764"/>
      <c r="L997" s="1764"/>
      <c r="M997" s="1765"/>
      <c r="N997" s="1765"/>
      <c r="O997" s="1765"/>
      <c r="P997" s="1765"/>
      <c r="Q997" s="1765"/>
      <c r="W997" t="s">
        <v>2089</v>
      </c>
    </row>
    <row r="998" spans="1:23" ht="13.15" customHeight="1" x14ac:dyDescent="0.2">
      <c r="A998" s="2" t="s">
        <v>2241</v>
      </c>
      <c r="B998" s="2">
        <f t="shared" si="30"/>
        <v>2019</v>
      </c>
      <c r="C998" s="2" t="str">
        <f t="shared" si="31"/>
        <v>EC101</v>
      </c>
      <c r="D998" s="2">
        <v>380</v>
      </c>
      <c r="F998" s="1764"/>
      <c r="G998" s="1764"/>
      <c r="H998" s="1764"/>
      <c r="I998" s="1764"/>
      <c r="J998" s="1764"/>
      <c r="K998" s="1764"/>
      <c r="L998" s="1764"/>
      <c r="M998" s="1765"/>
      <c r="N998" s="1765"/>
      <c r="O998" s="1765"/>
      <c r="P998" s="1765"/>
      <c r="Q998" s="1765"/>
      <c r="W998" t="s">
        <v>2089</v>
      </c>
    </row>
    <row r="999" spans="1:23" ht="13.15" customHeight="1" x14ac:dyDescent="0.2">
      <c r="A999" s="2" t="s">
        <v>2241</v>
      </c>
      <c r="B999" s="2">
        <f t="shared" si="30"/>
        <v>2019</v>
      </c>
      <c r="C999" s="2" t="str">
        <f t="shared" si="31"/>
        <v>EC101</v>
      </c>
      <c r="D999" s="2">
        <v>381</v>
      </c>
      <c r="F999" s="1764"/>
      <c r="G999" s="1764"/>
      <c r="H999" s="1764"/>
      <c r="I999" s="1764"/>
      <c r="J999" s="1764"/>
      <c r="K999" s="1764"/>
      <c r="L999" s="1764"/>
      <c r="M999" s="1765"/>
      <c r="N999" s="1765"/>
      <c r="O999" s="1765"/>
      <c r="P999" s="1765"/>
      <c r="Q999" s="1765"/>
      <c r="W999" t="s">
        <v>2089</v>
      </c>
    </row>
    <row r="1000" spans="1:23" ht="13.15" customHeight="1" x14ac:dyDescent="0.2">
      <c r="A1000" s="2" t="s">
        <v>2241</v>
      </c>
      <c r="B1000" s="2">
        <f t="shared" si="30"/>
        <v>2019</v>
      </c>
      <c r="C1000" s="2" t="str">
        <f t="shared" si="31"/>
        <v>EC101</v>
      </c>
      <c r="D1000" s="2">
        <v>382</v>
      </c>
      <c r="F1000" s="1764"/>
      <c r="G1000" s="1764"/>
      <c r="H1000" s="1764"/>
      <c r="I1000" s="1764"/>
      <c r="J1000" s="1764"/>
      <c r="K1000" s="1764"/>
      <c r="L1000" s="1764"/>
      <c r="M1000" s="1765"/>
      <c r="N1000" s="1765"/>
      <c r="O1000" s="1765"/>
      <c r="P1000" s="1765"/>
      <c r="Q1000" s="1765"/>
      <c r="W1000" t="s">
        <v>2089</v>
      </c>
    </row>
    <row r="1001" spans="1:23" ht="13.15" customHeight="1" x14ac:dyDescent="0.2">
      <c r="A1001" s="2" t="s">
        <v>2241</v>
      </c>
      <c r="B1001" s="2">
        <f t="shared" si="30"/>
        <v>2019</v>
      </c>
      <c r="C1001" s="2" t="str">
        <f t="shared" si="31"/>
        <v>EC101</v>
      </c>
      <c r="D1001" s="2">
        <v>383</v>
      </c>
      <c r="F1001" s="1764"/>
      <c r="G1001" s="1764"/>
      <c r="H1001" s="1764"/>
      <c r="I1001" s="1764"/>
      <c r="J1001" s="1764"/>
      <c r="K1001" s="1764"/>
      <c r="L1001" s="1764"/>
      <c r="M1001" s="1765"/>
      <c r="N1001" s="1765"/>
      <c r="O1001" s="1765"/>
      <c r="P1001" s="1765"/>
      <c r="Q1001" s="1765"/>
      <c r="W1001" t="s">
        <v>2089</v>
      </c>
    </row>
    <row r="1002" spans="1:23" ht="13.15" customHeight="1" x14ac:dyDescent="0.2">
      <c r="A1002" s="2" t="s">
        <v>2241</v>
      </c>
      <c r="B1002" s="2">
        <f t="shared" si="30"/>
        <v>2019</v>
      </c>
      <c r="C1002" s="2" t="str">
        <f t="shared" si="31"/>
        <v>EC101</v>
      </c>
      <c r="D1002" s="2">
        <v>384</v>
      </c>
      <c r="F1002" s="1764"/>
      <c r="G1002" s="1764"/>
      <c r="H1002" s="1764"/>
      <c r="I1002" s="1764"/>
      <c r="J1002" s="1764"/>
      <c r="K1002" s="1764"/>
      <c r="L1002" s="1764"/>
      <c r="M1002" s="1765"/>
      <c r="N1002" s="1765"/>
      <c r="O1002" s="1765"/>
      <c r="P1002" s="1765"/>
      <c r="Q1002" s="1765"/>
      <c r="W1002" t="s">
        <v>2089</v>
      </c>
    </row>
    <row r="1003" spans="1:23" ht="13.15" customHeight="1" x14ac:dyDescent="0.2">
      <c r="A1003" s="2" t="s">
        <v>2241</v>
      </c>
      <c r="B1003" s="2">
        <f t="shared" si="30"/>
        <v>2019</v>
      </c>
      <c r="C1003" s="2" t="str">
        <f t="shared" si="31"/>
        <v>EC101</v>
      </c>
      <c r="D1003" s="2">
        <v>385</v>
      </c>
      <c r="F1003" s="1764"/>
      <c r="G1003" s="1764"/>
      <c r="H1003" s="1764"/>
      <c r="I1003" s="1764"/>
      <c r="J1003" s="1764"/>
      <c r="K1003" s="1764"/>
      <c r="L1003" s="1764"/>
      <c r="M1003" s="1765"/>
      <c r="N1003" s="1765"/>
      <c r="O1003" s="1765"/>
      <c r="P1003" s="1765"/>
      <c r="Q1003" s="1765"/>
      <c r="W1003" t="s">
        <v>2089</v>
      </c>
    </row>
    <row r="1004" spans="1:23" ht="13.15" customHeight="1" x14ac:dyDescent="0.2">
      <c r="A1004" s="2" t="s">
        <v>2241</v>
      </c>
      <c r="B1004" s="2">
        <f t="shared" si="30"/>
        <v>2019</v>
      </c>
      <c r="C1004" s="2" t="str">
        <f t="shared" si="31"/>
        <v>EC101</v>
      </c>
      <c r="D1004" s="2">
        <v>386</v>
      </c>
      <c r="F1004" s="1764"/>
      <c r="G1004" s="1764"/>
      <c r="H1004" s="1764"/>
      <c r="I1004" s="1764"/>
      <c r="J1004" s="1764"/>
      <c r="K1004" s="1764"/>
      <c r="L1004" s="1764"/>
      <c r="M1004" s="1765"/>
      <c r="N1004" s="1765"/>
      <c r="O1004" s="1765"/>
      <c r="P1004" s="1765"/>
      <c r="Q1004" s="1765"/>
      <c r="W1004" t="s">
        <v>2089</v>
      </c>
    </row>
    <row r="1005" spans="1:23" ht="13.15" customHeight="1" x14ac:dyDescent="0.2">
      <c r="A1005" s="2" t="s">
        <v>2241</v>
      </c>
      <c r="B1005" s="2">
        <f t="shared" si="30"/>
        <v>2019</v>
      </c>
      <c r="C1005" s="2" t="str">
        <f t="shared" si="31"/>
        <v>EC101</v>
      </c>
      <c r="D1005" s="2">
        <v>387</v>
      </c>
      <c r="F1005" s="1764"/>
      <c r="G1005" s="1764"/>
      <c r="H1005" s="1764"/>
      <c r="I1005" s="1764"/>
      <c r="J1005" s="1764"/>
      <c r="K1005" s="1764"/>
      <c r="L1005" s="1764"/>
      <c r="M1005" s="1765"/>
      <c r="N1005" s="1765"/>
      <c r="O1005" s="1765"/>
      <c r="P1005" s="1765"/>
      <c r="Q1005" s="1765"/>
      <c r="W1005" t="s">
        <v>2089</v>
      </c>
    </row>
    <row r="1006" spans="1:23" ht="13.15" customHeight="1" x14ac:dyDescent="0.2">
      <c r="A1006" s="2" t="s">
        <v>2241</v>
      </c>
      <c r="B1006" s="2">
        <f t="shared" si="30"/>
        <v>2019</v>
      </c>
      <c r="C1006" s="2" t="str">
        <f t="shared" si="31"/>
        <v>EC101</v>
      </c>
      <c r="D1006" s="2">
        <v>388</v>
      </c>
      <c r="F1006" s="1764"/>
      <c r="G1006" s="1764"/>
      <c r="H1006" s="1764"/>
      <c r="I1006" s="1764"/>
      <c r="J1006" s="1764"/>
      <c r="K1006" s="1764"/>
      <c r="L1006" s="1764"/>
      <c r="M1006" s="1765"/>
      <c r="N1006" s="1765"/>
      <c r="O1006" s="1765"/>
      <c r="P1006" s="1765"/>
      <c r="Q1006" s="1765"/>
      <c r="W1006" t="s">
        <v>2089</v>
      </c>
    </row>
    <row r="1007" spans="1:23" ht="13.15" customHeight="1" x14ac:dyDescent="0.2">
      <c r="A1007" s="2" t="s">
        <v>2241</v>
      </c>
      <c r="B1007" s="2">
        <f t="shared" si="30"/>
        <v>2019</v>
      </c>
      <c r="C1007" s="2" t="str">
        <f t="shared" si="31"/>
        <v>EC101</v>
      </c>
      <c r="D1007" s="2">
        <v>389</v>
      </c>
      <c r="F1007" s="1764"/>
      <c r="G1007" s="1764"/>
      <c r="H1007" s="1764"/>
      <c r="I1007" s="1764"/>
      <c r="J1007" s="1764"/>
      <c r="K1007" s="1764"/>
      <c r="L1007" s="1764"/>
      <c r="M1007" s="1765"/>
      <c r="N1007" s="1765"/>
      <c r="O1007" s="1765"/>
      <c r="P1007" s="1765"/>
      <c r="Q1007" s="1765"/>
      <c r="W1007" t="s">
        <v>2089</v>
      </c>
    </row>
    <row r="1008" spans="1:23" ht="13.15" customHeight="1" x14ac:dyDescent="0.2">
      <c r="A1008" s="2" t="s">
        <v>2241</v>
      </c>
      <c r="B1008" s="2">
        <f t="shared" si="30"/>
        <v>2019</v>
      </c>
      <c r="C1008" s="2" t="str">
        <f t="shared" si="31"/>
        <v>EC101</v>
      </c>
      <c r="D1008" s="2">
        <v>390</v>
      </c>
      <c r="F1008" s="1764"/>
      <c r="G1008" s="1764"/>
      <c r="H1008" s="1764"/>
      <c r="I1008" s="1764"/>
      <c r="J1008" s="1764"/>
      <c r="K1008" s="1764"/>
      <c r="L1008" s="1764"/>
      <c r="M1008" s="1765"/>
      <c r="N1008" s="1765"/>
      <c r="O1008" s="1765"/>
      <c r="P1008" s="1765"/>
      <c r="Q1008" s="1765"/>
      <c r="W1008" t="s">
        <v>2089</v>
      </c>
    </row>
    <row r="1009" spans="1:23" ht="13.15" customHeight="1" x14ac:dyDescent="0.2">
      <c r="A1009" s="2" t="s">
        <v>2241</v>
      </c>
      <c r="B1009" s="2">
        <f t="shared" si="30"/>
        <v>2019</v>
      </c>
      <c r="C1009" s="2" t="str">
        <f t="shared" si="31"/>
        <v>EC101</v>
      </c>
      <c r="D1009" s="2">
        <v>391</v>
      </c>
      <c r="F1009" s="1764"/>
      <c r="G1009" s="1764"/>
      <c r="H1009" s="1764"/>
      <c r="I1009" s="1764"/>
      <c r="J1009" s="1764"/>
      <c r="K1009" s="1764"/>
      <c r="L1009" s="1764"/>
      <c r="M1009" s="1765"/>
      <c r="N1009" s="1765"/>
      <c r="O1009" s="1765"/>
      <c r="P1009" s="1765"/>
      <c r="Q1009" s="1765"/>
      <c r="W1009" t="s">
        <v>2089</v>
      </c>
    </row>
    <row r="1010" spans="1:23" ht="13.15" customHeight="1" x14ac:dyDescent="0.2">
      <c r="A1010" s="2" t="s">
        <v>2241</v>
      </c>
      <c r="B1010" s="2">
        <f t="shared" si="30"/>
        <v>2019</v>
      </c>
      <c r="C1010" s="2" t="str">
        <f t="shared" si="31"/>
        <v>EC101</v>
      </c>
      <c r="D1010" s="2">
        <v>392</v>
      </c>
      <c r="F1010" s="1764"/>
      <c r="G1010" s="1764"/>
      <c r="H1010" s="1764"/>
      <c r="I1010" s="1764"/>
      <c r="J1010" s="1764"/>
      <c r="K1010" s="1764"/>
      <c r="L1010" s="1764"/>
      <c r="M1010" s="1765"/>
      <c r="N1010" s="1765"/>
      <c r="O1010" s="1765"/>
      <c r="P1010" s="1765"/>
      <c r="Q1010" s="1765"/>
      <c r="W1010" t="s">
        <v>2089</v>
      </c>
    </row>
    <row r="1011" spans="1:23" ht="13.15" customHeight="1" x14ac:dyDescent="0.2">
      <c r="A1011" s="2" t="s">
        <v>2241</v>
      </c>
      <c r="B1011" s="2">
        <f t="shared" si="30"/>
        <v>2019</v>
      </c>
      <c r="C1011" s="2" t="str">
        <f t="shared" si="31"/>
        <v>EC101</v>
      </c>
      <c r="D1011" s="2">
        <v>393</v>
      </c>
      <c r="F1011" s="1764"/>
      <c r="G1011" s="1764"/>
      <c r="H1011" s="1764"/>
      <c r="I1011" s="1764"/>
      <c r="J1011" s="1764"/>
      <c r="K1011" s="1764"/>
      <c r="L1011" s="1764"/>
      <c r="M1011" s="1765"/>
      <c r="N1011" s="1765"/>
      <c r="O1011" s="1765"/>
      <c r="P1011" s="1765"/>
      <c r="Q1011" s="1765"/>
      <c r="W1011" t="s">
        <v>2089</v>
      </c>
    </row>
    <row r="1012" spans="1:23" ht="13.15" customHeight="1" x14ac:dyDescent="0.2">
      <c r="A1012" s="2" t="s">
        <v>2241</v>
      </c>
      <c r="B1012" s="2">
        <f t="shared" si="30"/>
        <v>2019</v>
      </c>
      <c r="C1012" s="2" t="str">
        <f t="shared" si="31"/>
        <v>EC101</v>
      </c>
      <c r="D1012" s="2">
        <v>394</v>
      </c>
      <c r="F1012" s="1764"/>
      <c r="G1012" s="1764"/>
      <c r="H1012" s="1764"/>
      <c r="I1012" s="1764"/>
      <c r="J1012" s="1764"/>
      <c r="K1012" s="1764"/>
      <c r="L1012" s="1764"/>
      <c r="M1012" s="1765"/>
      <c r="N1012" s="1765"/>
      <c r="O1012" s="1765"/>
      <c r="P1012" s="1765"/>
      <c r="Q1012" s="1765"/>
      <c r="W1012" t="s">
        <v>2089</v>
      </c>
    </row>
    <row r="1013" spans="1:23" ht="13.15" customHeight="1" x14ac:dyDescent="0.2">
      <c r="A1013" s="2" t="s">
        <v>2241</v>
      </c>
      <c r="B1013" s="2">
        <f t="shared" si="30"/>
        <v>2019</v>
      </c>
      <c r="C1013" s="2" t="str">
        <f t="shared" si="31"/>
        <v>EC101</v>
      </c>
      <c r="D1013" s="2">
        <v>395</v>
      </c>
      <c r="F1013" s="1764"/>
      <c r="G1013" s="1764"/>
      <c r="H1013" s="1764"/>
      <c r="I1013" s="1764"/>
      <c r="J1013" s="1764"/>
      <c r="K1013" s="1764"/>
      <c r="L1013" s="1764"/>
      <c r="M1013" s="1765"/>
      <c r="N1013" s="1765"/>
      <c r="O1013" s="1765"/>
      <c r="P1013" s="1765"/>
      <c r="Q1013" s="1765"/>
      <c r="W1013" t="s">
        <v>2089</v>
      </c>
    </row>
    <row r="1014" spans="1:23" ht="13.15" customHeight="1" x14ac:dyDescent="0.2">
      <c r="A1014" s="2" t="s">
        <v>2241</v>
      </c>
      <c r="B1014" s="2">
        <f t="shared" si="30"/>
        <v>2019</v>
      </c>
      <c r="C1014" s="2" t="str">
        <f t="shared" si="31"/>
        <v>EC101</v>
      </c>
      <c r="D1014" s="2">
        <v>396</v>
      </c>
      <c r="F1014" s="1764"/>
      <c r="G1014" s="1764"/>
      <c r="H1014" s="1764"/>
      <c r="I1014" s="1764"/>
      <c r="J1014" s="1764"/>
      <c r="K1014" s="1764"/>
      <c r="L1014" s="1764"/>
      <c r="M1014" s="1765"/>
      <c r="N1014" s="1765"/>
      <c r="O1014" s="1765"/>
      <c r="P1014" s="1765"/>
      <c r="Q1014" s="1765"/>
      <c r="W1014" t="s">
        <v>2089</v>
      </c>
    </row>
    <row r="1015" spans="1:23" ht="13.15" customHeight="1" x14ac:dyDescent="0.2">
      <c r="A1015" s="2" t="s">
        <v>2241</v>
      </c>
      <c r="B1015" s="2">
        <f t="shared" si="30"/>
        <v>2019</v>
      </c>
      <c r="C1015" s="2" t="str">
        <f t="shared" si="31"/>
        <v>EC101</v>
      </c>
      <c r="D1015" s="2">
        <v>397</v>
      </c>
      <c r="F1015" s="1764"/>
      <c r="G1015" s="1764"/>
      <c r="H1015" s="1764"/>
      <c r="I1015" s="1764"/>
      <c r="J1015" s="1764"/>
      <c r="K1015" s="1764"/>
      <c r="L1015" s="1764"/>
      <c r="M1015" s="1765"/>
      <c r="N1015" s="1765"/>
      <c r="O1015" s="1765"/>
      <c r="P1015" s="1765"/>
      <c r="Q1015" s="1765"/>
      <c r="W1015" t="s">
        <v>2089</v>
      </c>
    </row>
    <row r="1016" spans="1:23" ht="13.15" customHeight="1" x14ac:dyDescent="0.2">
      <c r="A1016" s="2" t="s">
        <v>2241</v>
      </c>
      <c r="B1016" s="2">
        <f t="shared" si="30"/>
        <v>2019</v>
      </c>
      <c r="C1016" s="2" t="str">
        <f t="shared" si="31"/>
        <v>EC101</v>
      </c>
      <c r="D1016" s="2">
        <v>398</v>
      </c>
      <c r="F1016" s="1764"/>
      <c r="G1016" s="1764"/>
      <c r="H1016" s="1764"/>
      <c r="I1016" s="1764"/>
      <c r="J1016" s="1764"/>
      <c r="K1016" s="1764"/>
      <c r="L1016" s="1764"/>
      <c r="M1016" s="1765"/>
      <c r="N1016" s="1765"/>
      <c r="O1016" s="1765"/>
      <c r="P1016" s="1765"/>
      <c r="Q1016" s="1765"/>
      <c r="W1016" t="s">
        <v>2089</v>
      </c>
    </row>
    <row r="1017" spans="1:23" ht="13.15" customHeight="1" x14ac:dyDescent="0.2">
      <c r="A1017" s="2" t="s">
        <v>2241</v>
      </c>
      <c r="B1017" s="2">
        <f t="shared" si="30"/>
        <v>2019</v>
      </c>
      <c r="C1017" s="2" t="str">
        <f t="shared" si="31"/>
        <v>EC101</v>
      </c>
      <c r="D1017" s="2">
        <v>399</v>
      </c>
      <c r="F1017" s="1764"/>
      <c r="G1017" s="1764"/>
      <c r="H1017" s="1764"/>
      <c r="I1017" s="1764"/>
      <c r="J1017" s="1764"/>
      <c r="K1017" s="1764"/>
      <c r="L1017" s="1764"/>
      <c r="M1017" s="1765"/>
      <c r="N1017" s="1765"/>
      <c r="O1017" s="1765"/>
      <c r="P1017" s="1765"/>
      <c r="Q1017" s="1765"/>
      <c r="W1017" t="s">
        <v>2089</v>
      </c>
    </row>
    <row r="1018" spans="1:23" ht="13.15" customHeight="1" x14ac:dyDescent="0.2">
      <c r="A1018" s="2" t="s">
        <v>2241</v>
      </c>
      <c r="B1018" s="2">
        <f t="shared" si="30"/>
        <v>2019</v>
      </c>
      <c r="C1018" s="2" t="str">
        <f t="shared" si="31"/>
        <v>EC101</v>
      </c>
      <c r="D1018" s="2">
        <v>400</v>
      </c>
      <c r="F1018" s="1764"/>
      <c r="G1018" s="1764"/>
      <c r="H1018" s="1764"/>
      <c r="I1018" s="1764"/>
      <c r="J1018" s="1764"/>
      <c r="K1018" s="1764"/>
      <c r="L1018" s="1764"/>
      <c r="M1018" s="1765"/>
      <c r="N1018" s="1765"/>
      <c r="O1018" s="1765"/>
      <c r="P1018" s="1765"/>
      <c r="Q1018" s="1765"/>
      <c r="W1018" t="s">
        <v>2089</v>
      </c>
    </row>
    <row r="1019" spans="1:23" ht="13.15" customHeight="1" x14ac:dyDescent="0.2">
      <c r="A1019" s="2" t="s">
        <v>2241</v>
      </c>
      <c r="B1019" s="2">
        <f t="shared" si="30"/>
        <v>2019</v>
      </c>
      <c r="C1019" s="2" t="str">
        <f t="shared" si="31"/>
        <v>EC101</v>
      </c>
      <c r="D1019" s="2">
        <v>401</v>
      </c>
      <c r="F1019" s="1764"/>
      <c r="G1019" s="1764"/>
      <c r="H1019" s="1764"/>
      <c r="I1019" s="1764"/>
      <c r="J1019" s="1764"/>
      <c r="K1019" s="1764"/>
      <c r="L1019" s="1764"/>
      <c r="M1019" s="1765"/>
      <c r="N1019" s="1765"/>
      <c r="O1019" s="1765"/>
      <c r="P1019" s="1765"/>
      <c r="Q1019" s="1765"/>
      <c r="W1019" t="s">
        <v>2089</v>
      </c>
    </row>
    <row r="1020" spans="1:23" ht="13.15" customHeight="1" x14ac:dyDescent="0.2">
      <c r="A1020" s="2" t="s">
        <v>2241</v>
      </c>
      <c r="B1020" s="2">
        <f t="shared" si="30"/>
        <v>2019</v>
      </c>
      <c r="C1020" s="2" t="str">
        <f t="shared" si="31"/>
        <v>EC101</v>
      </c>
      <c r="D1020" s="2">
        <v>402</v>
      </c>
      <c r="F1020" s="1764"/>
      <c r="G1020" s="1764"/>
      <c r="H1020" s="1764"/>
      <c r="I1020" s="1764"/>
      <c r="J1020" s="1764"/>
      <c r="K1020" s="1764"/>
      <c r="L1020" s="1764"/>
      <c r="M1020" s="1765"/>
      <c r="N1020" s="1765"/>
      <c r="O1020" s="1765"/>
      <c r="P1020" s="1765"/>
      <c r="Q1020" s="1765"/>
      <c r="W1020" t="s">
        <v>2089</v>
      </c>
    </row>
    <row r="1021" spans="1:23" ht="13.15" customHeight="1" x14ac:dyDescent="0.2">
      <c r="A1021" s="2" t="s">
        <v>2241</v>
      </c>
      <c r="B1021" s="2">
        <f t="shared" si="30"/>
        <v>2019</v>
      </c>
      <c r="C1021" s="2" t="str">
        <f t="shared" si="31"/>
        <v>EC101</v>
      </c>
      <c r="D1021" s="2">
        <v>403</v>
      </c>
      <c r="F1021" s="1764"/>
      <c r="G1021" s="1764"/>
      <c r="H1021" s="1764"/>
      <c r="I1021" s="1764"/>
      <c r="J1021" s="1764"/>
      <c r="K1021" s="1764"/>
      <c r="L1021" s="1764"/>
      <c r="M1021" s="1765"/>
      <c r="N1021" s="1765"/>
      <c r="O1021" s="1765"/>
      <c r="P1021" s="1765"/>
      <c r="Q1021" s="1765"/>
      <c r="W1021" t="s">
        <v>2089</v>
      </c>
    </row>
    <row r="1022" spans="1:23" ht="13.15" customHeight="1" x14ac:dyDescent="0.2">
      <c r="A1022" s="2" t="s">
        <v>2241</v>
      </c>
      <c r="B1022" s="2">
        <f t="shared" si="30"/>
        <v>2019</v>
      </c>
      <c r="C1022" s="2" t="str">
        <f t="shared" si="31"/>
        <v>EC101</v>
      </c>
      <c r="D1022" s="2">
        <v>404</v>
      </c>
      <c r="F1022" s="1764"/>
      <c r="G1022" s="1764"/>
      <c r="H1022" s="1764"/>
      <c r="I1022" s="1764"/>
      <c r="J1022" s="1764"/>
      <c r="K1022" s="1764"/>
      <c r="L1022" s="1764"/>
      <c r="M1022" s="1765"/>
      <c r="N1022" s="1765"/>
      <c r="O1022" s="1765"/>
      <c r="P1022" s="1765"/>
      <c r="Q1022" s="1765"/>
      <c r="W1022" t="s">
        <v>2089</v>
      </c>
    </row>
    <row r="1023" spans="1:23" ht="13.15" customHeight="1" x14ac:dyDescent="0.2">
      <c r="A1023" s="2" t="s">
        <v>2241</v>
      </c>
      <c r="B1023" s="2">
        <f t="shared" si="30"/>
        <v>2019</v>
      </c>
      <c r="C1023" s="2" t="str">
        <f t="shared" si="31"/>
        <v>EC101</v>
      </c>
      <c r="D1023" s="2">
        <v>405</v>
      </c>
      <c r="F1023" s="1764"/>
      <c r="G1023" s="1764"/>
      <c r="H1023" s="1764"/>
      <c r="I1023" s="1764"/>
      <c r="J1023" s="1764"/>
      <c r="K1023" s="1764"/>
      <c r="L1023" s="1764"/>
      <c r="M1023" s="1765"/>
      <c r="N1023" s="1765"/>
      <c r="O1023" s="1765"/>
      <c r="P1023" s="1765"/>
      <c r="Q1023" s="1765"/>
      <c r="W1023" t="s">
        <v>2089</v>
      </c>
    </row>
    <row r="1024" spans="1:23" ht="13.15" customHeight="1" x14ac:dyDescent="0.2">
      <c r="A1024" s="2" t="s">
        <v>2241</v>
      </c>
      <c r="B1024" s="2">
        <f t="shared" si="30"/>
        <v>2019</v>
      </c>
      <c r="C1024" s="2" t="str">
        <f t="shared" si="31"/>
        <v>EC101</v>
      </c>
      <c r="D1024" s="2">
        <v>406</v>
      </c>
      <c r="F1024" s="1764"/>
      <c r="G1024" s="1764"/>
      <c r="H1024" s="1764"/>
      <c r="I1024" s="1764"/>
      <c r="J1024" s="1764"/>
      <c r="K1024" s="1764"/>
      <c r="L1024" s="1764"/>
      <c r="M1024" s="1765"/>
      <c r="N1024" s="1765"/>
      <c r="O1024" s="1765"/>
      <c r="P1024" s="1765"/>
      <c r="Q1024" s="1765"/>
      <c r="W1024" t="s">
        <v>2089</v>
      </c>
    </row>
    <row r="1025" spans="1:23" ht="13.15" customHeight="1" x14ac:dyDescent="0.2">
      <c r="A1025" s="2" t="s">
        <v>2241</v>
      </c>
      <c r="B1025" s="2">
        <f t="shared" si="30"/>
        <v>2019</v>
      </c>
      <c r="C1025" s="2" t="str">
        <f t="shared" si="31"/>
        <v>EC101</v>
      </c>
      <c r="D1025" s="2">
        <v>407</v>
      </c>
      <c r="F1025" s="1764"/>
      <c r="G1025" s="1764"/>
      <c r="H1025" s="1764"/>
      <c r="I1025" s="1764"/>
      <c r="J1025" s="1764"/>
      <c r="K1025" s="1764"/>
      <c r="L1025" s="1764"/>
      <c r="M1025" s="1765"/>
      <c r="N1025" s="1765"/>
      <c r="O1025" s="1765"/>
      <c r="P1025" s="1765"/>
      <c r="Q1025" s="1765"/>
      <c r="W1025" t="s">
        <v>2089</v>
      </c>
    </row>
    <row r="1026" spans="1:23" ht="13.15" customHeight="1" x14ac:dyDescent="0.2">
      <c r="A1026" s="2" t="s">
        <v>2241</v>
      </c>
      <c r="B1026" s="2">
        <f t="shared" ref="B1026:B1089" si="32">+MTREF</f>
        <v>2019</v>
      </c>
      <c r="C1026" s="2" t="str">
        <f t="shared" ref="C1026:C1089" si="33">LEFT(muni,(FIND(" ",muni,1)-1))</f>
        <v>EC101</v>
      </c>
      <c r="D1026" s="2">
        <v>408</v>
      </c>
      <c r="F1026" s="1764"/>
      <c r="G1026" s="1764"/>
      <c r="H1026" s="1764"/>
      <c r="I1026" s="1764"/>
      <c r="J1026" s="1764"/>
      <c r="K1026" s="1764"/>
      <c r="L1026" s="1764"/>
      <c r="M1026" s="1765"/>
      <c r="N1026" s="1765"/>
      <c r="O1026" s="1765"/>
      <c r="P1026" s="1765"/>
      <c r="Q1026" s="1765"/>
      <c r="W1026" t="s">
        <v>2089</v>
      </c>
    </row>
    <row r="1027" spans="1:23" ht="13.15" customHeight="1" x14ac:dyDescent="0.2">
      <c r="A1027" s="2" t="s">
        <v>2241</v>
      </c>
      <c r="B1027" s="2">
        <f t="shared" si="32"/>
        <v>2019</v>
      </c>
      <c r="C1027" s="2" t="str">
        <f t="shared" si="33"/>
        <v>EC101</v>
      </c>
      <c r="D1027" s="2">
        <v>409</v>
      </c>
      <c r="F1027" s="1764"/>
      <c r="G1027" s="1764"/>
      <c r="H1027" s="1764"/>
      <c r="I1027" s="1764"/>
      <c r="J1027" s="1764"/>
      <c r="K1027" s="1764"/>
      <c r="L1027" s="1764"/>
      <c r="M1027" s="1765"/>
      <c r="N1027" s="1765"/>
      <c r="O1027" s="1765"/>
      <c r="P1027" s="1765"/>
      <c r="Q1027" s="1765"/>
      <c r="W1027" t="s">
        <v>2089</v>
      </c>
    </row>
    <row r="1028" spans="1:23" ht="13.15" customHeight="1" x14ac:dyDescent="0.2">
      <c r="A1028" s="2" t="s">
        <v>2241</v>
      </c>
      <c r="B1028" s="2">
        <f t="shared" si="32"/>
        <v>2019</v>
      </c>
      <c r="C1028" s="2" t="str">
        <f t="shared" si="33"/>
        <v>EC101</v>
      </c>
      <c r="D1028" s="2">
        <v>410</v>
      </c>
      <c r="F1028" s="1764"/>
      <c r="G1028" s="1764"/>
      <c r="H1028" s="1764"/>
      <c r="I1028" s="1764"/>
      <c r="J1028" s="1764"/>
      <c r="K1028" s="1764"/>
      <c r="L1028" s="1764"/>
      <c r="M1028" s="1765"/>
      <c r="N1028" s="1765"/>
      <c r="O1028" s="1765"/>
      <c r="P1028" s="1765"/>
      <c r="Q1028" s="1765"/>
      <c r="W1028" t="s">
        <v>2089</v>
      </c>
    </row>
    <row r="1029" spans="1:23" ht="13.15" customHeight="1" x14ac:dyDescent="0.2">
      <c r="A1029" s="2" t="s">
        <v>2241</v>
      </c>
      <c r="B1029" s="2">
        <f t="shared" si="32"/>
        <v>2019</v>
      </c>
      <c r="C1029" s="2" t="str">
        <f t="shared" si="33"/>
        <v>EC101</v>
      </c>
      <c r="D1029" s="2">
        <v>411</v>
      </c>
      <c r="F1029" s="1764"/>
      <c r="G1029" s="1764"/>
      <c r="H1029" s="1764"/>
      <c r="I1029" s="1764"/>
      <c r="J1029" s="1764"/>
      <c r="K1029" s="1764"/>
      <c r="L1029" s="1764"/>
      <c r="M1029" s="1765"/>
      <c r="N1029" s="1765"/>
      <c r="O1029" s="1765"/>
      <c r="P1029" s="1765"/>
      <c r="Q1029" s="1765"/>
      <c r="W1029" t="s">
        <v>2089</v>
      </c>
    </row>
    <row r="1030" spans="1:23" ht="13.15" customHeight="1" x14ac:dyDescent="0.2">
      <c r="A1030" s="2" t="s">
        <v>2241</v>
      </c>
      <c r="B1030" s="2">
        <f t="shared" si="32"/>
        <v>2019</v>
      </c>
      <c r="C1030" s="2" t="str">
        <f t="shared" si="33"/>
        <v>EC101</v>
      </c>
      <c r="D1030" s="2">
        <v>412</v>
      </c>
      <c r="F1030" s="1764"/>
      <c r="G1030" s="1764"/>
      <c r="H1030" s="1764"/>
      <c r="I1030" s="1764"/>
      <c r="J1030" s="1764"/>
      <c r="K1030" s="1764"/>
      <c r="L1030" s="1764"/>
      <c r="M1030" s="1765"/>
      <c r="N1030" s="1765"/>
      <c r="O1030" s="1765"/>
      <c r="P1030" s="1765"/>
      <c r="Q1030" s="1765"/>
      <c r="W1030" t="s">
        <v>2089</v>
      </c>
    </row>
    <row r="1031" spans="1:23" ht="13.15" customHeight="1" x14ac:dyDescent="0.2">
      <c r="A1031" s="2" t="s">
        <v>2241</v>
      </c>
      <c r="B1031" s="2">
        <f t="shared" si="32"/>
        <v>2019</v>
      </c>
      <c r="C1031" s="2" t="str">
        <f t="shared" si="33"/>
        <v>EC101</v>
      </c>
      <c r="D1031" s="2">
        <v>413</v>
      </c>
      <c r="F1031" s="1764"/>
      <c r="G1031" s="1764"/>
      <c r="H1031" s="1764"/>
      <c r="I1031" s="1764"/>
      <c r="J1031" s="1764"/>
      <c r="K1031" s="1764"/>
      <c r="L1031" s="1764"/>
      <c r="M1031" s="1765"/>
      <c r="N1031" s="1765"/>
      <c r="O1031" s="1765"/>
      <c r="P1031" s="1765"/>
      <c r="Q1031" s="1765"/>
      <c r="W1031" t="s">
        <v>2089</v>
      </c>
    </row>
    <row r="1032" spans="1:23" ht="13.15" customHeight="1" x14ac:dyDescent="0.2">
      <c r="A1032" s="2" t="s">
        <v>2241</v>
      </c>
      <c r="B1032" s="2">
        <f t="shared" si="32"/>
        <v>2019</v>
      </c>
      <c r="C1032" s="2" t="str">
        <f t="shared" si="33"/>
        <v>EC101</v>
      </c>
      <c r="D1032" s="2">
        <v>414</v>
      </c>
      <c r="F1032" s="1764"/>
      <c r="G1032" s="1764"/>
      <c r="H1032" s="1764"/>
      <c r="I1032" s="1764"/>
      <c r="J1032" s="1764"/>
      <c r="K1032" s="1764"/>
      <c r="L1032" s="1764"/>
      <c r="M1032" s="1765"/>
      <c r="N1032" s="1765"/>
      <c r="O1032" s="1765"/>
      <c r="P1032" s="1765"/>
      <c r="Q1032" s="1765"/>
      <c r="W1032" t="s">
        <v>2089</v>
      </c>
    </row>
    <row r="1033" spans="1:23" ht="13.15" customHeight="1" x14ac:dyDescent="0.2">
      <c r="A1033" s="2" t="s">
        <v>2241</v>
      </c>
      <c r="B1033" s="2">
        <f t="shared" si="32"/>
        <v>2019</v>
      </c>
      <c r="C1033" s="2" t="str">
        <f t="shared" si="33"/>
        <v>EC101</v>
      </c>
      <c r="D1033" s="2">
        <v>415</v>
      </c>
      <c r="F1033" s="1764"/>
      <c r="G1033" s="1764"/>
      <c r="H1033" s="1764"/>
      <c r="I1033" s="1764"/>
      <c r="J1033" s="1764"/>
      <c r="K1033" s="1764"/>
      <c r="L1033" s="1764"/>
      <c r="M1033" s="1765"/>
      <c r="N1033" s="1765"/>
      <c r="O1033" s="1765"/>
      <c r="P1033" s="1765"/>
      <c r="Q1033" s="1765"/>
      <c r="W1033" t="s">
        <v>2089</v>
      </c>
    </row>
    <row r="1034" spans="1:23" ht="13.15" customHeight="1" x14ac:dyDescent="0.2">
      <c r="A1034" s="2" t="s">
        <v>2241</v>
      </c>
      <c r="B1034" s="2">
        <f t="shared" si="32"/>
        <v>2019</v>
      </c>
      <c r="C1034" s="2" t="str">
        <f t="shared" si="33"/>
        <v>EC101</v>
      </c>
      <c r="D1034" s="2">
        <v>416</v>
      </c>
      <c r="F1034" s="1764"/>
      <c r="G1034" s="1764"/>
      <c r="H1034" s="1764"/>
      <c r="I1034" s="1764"/>
      <c r="J1034" s="1764"/>
      <c r="K1034" s="1764"/>
      <c r="L1034" s="1764"/>
      <c r="M1034" s="1765"/>
      <c r="N1034" s="1765"/>
      <c r="O1034" s="1765"/>
      <c r="P1034" s="1765"/>
      <c r="Q1034" s="1765"/>
      <c r="W1034" t="s">
        <v>2089</v>
      </c>
    </row>
    <row r="1035" spans="1:23" ht="13.15" customHeight="1" x14ac:dyDescent="0.2">
      <c r="A1035" s="2" t="s">
        <v>2241</v>
      </c>
      <c r="B1035" s="2">
        <f t="shared" si="32"/>
        <v>2019</v>
      </c>
      <c r="C1035" s="2" t="str">
        <f t="shared" si="33"/>
        <v>EC101</v>
      </c>
      <c r="D1035" s="2">
        <v>417</v>
      </c>
      <c r="F1035" s="1764"/>
      <c r="G1035" s="1764"/>
      <c r="H1035" s="1764"/>
      <c r="I1035" s="1764"/>
      <c r="J1035" s="1764"/>
      <c r="K1035" s="1764"/>
      <c r="L1035" s="1764"/>
      <c r="M1035" s="1765"/>
      <c r="N1035" s="1765"/>
      <c r="O1035" s="1765"/>
      <c r="P1035" s="1765"/>
      <c r="Q1035" s="1765"/>
      <c r="W1035" t="s">
        <v>2089</v>
      </c>
    </row>
    <row r="1036" spans="1:23" ht="13.15" customHeight="1" x14ac:dyDescent="0.2">
      <c r="A1036" s="2" t="s">
        <v>2241</v>
      </c>
      <c r="B1036" s="2">
        <f t="shared" si="32"/>
        <v>2019</v>
      </c>
      <c r="C1036" s="2" t="str">
        <f t="shared" si="33"/>
        <v>EC101</v>
      </c>
      <c r="D1036" s="2">
        <v>418</v>
      </c>
      <c r="F1036" s="1764"/>
      <c r="G1036" s="1764"/>
      <c r="H1036" s="1764"/>
      <c r="I1036" s="1764"/>
      <c r="J1036" s="1764"/>
      <c r="K1036" s="1764"/>
      <c r="L1036" s="1764"/>
      <c r="M1036" s="1765"/>
      <c r="N1036" s="1765"/>
      <c r="O1036" s="1765"/>
      <c r="P1036" s="1765"/>
      <c r="Q1036" s="1765"/>
      <c r="W1036" t="s">
        <v>2089</v>
      </c>
    </row>
    <row r="1037" spans="1:23" ht="13.15" customHeight="1" x14ac:dyDescent="0.2">
      <c r="A1037" s="2" t="s">
        <v>2241</v>
      </c>
      <c r="B1037" s="2">
        <f t="shared" si="32"/>
        <v>2019</v>
      </c>
      <c r="C1037" s="2" t="str">
        <f t="shared" si="33"/>
        <v>EC101</v>
      </c>
      <c r="D1037" s="2">
        <v>419</v>
      </c>
      <c r="F1037" s="1764"/>
      <c r="G1037" s="1764"/>
      <c r="H1037" s="1764"/>
      <c r="I1037" s="1764"/>
      <c r="J1037" s="1764"/>
      <c r="K1037" s="1764"/>
      <c r="L1037" s="1764"/>
      <c r="M1037" s="1765"/>
      <c r="N1037" s="1765"/>
      <c r="O1037" s="1765"/>
      <c r="P1037" s="1765"/>
      <c r="Q1037" s="1765"/>
      <c r="W1037" t="s">
        <v>2089</v>
      </c>
    </row>
    <row r="1038" spans="1:23" ht="13.15" customHeight="1" x14ac:dyDescent="0.2">
      <c r="A1038" s="2" t="s">
        <v>2241</v>
      </c>
      <c r="B1038" s="2">
        <f t="shared" si="32"/>
        <v>2019</v>
      </c>
      <c r="C1038" s="2" t="str">
        <f t="shared" si="33"/>
        <v>EC101</v>
      </c>
      <c r="D1038" s="2">
        <v>420</v>
      </c>
      <c r="F1038" s="1764"/>
      <c r="G1038" s="1764"/>
      <c r="H1038" s="1764"/>
      <c r="I1038" s="1764"/>
      <c r="J1038" s="1764"/>
      <c r="K1038" s="1764"/>
      <c r="L1038" s="1764"/>
      <c r="M1038" s="1765"/>
      <c r="N1038" s="1765"/>
      <c r="O1038" s="1765"/>
      <c r="P1038" s="1765"/>
      <c r="Q1038" s="1765"/>
      <c r="W1038" t="s">
        <v>2089</v>
      </c>
    </row>
    <row r="1039" spans="1:23" ht="13.15" customHeight="1" x14ac:dyDescent="0.2">
      <c r="A1039" s="2" t="s">
        <v>2241</v>
      </c>
      <c r="B1039" s="2">
        <f t="shared" si="32"/>
        <v>2019</v>
      </c>
      <c r="C1039" s="2" t="str">
        <f t="shared" si="33"/>
        <v>EC101</v>
      </c>
      <c r="D1039" s="2">
        <v>421</v>
      </c>
      <c r="F1039" s="1764"/>
      <c r="G1039" s="1764"/>
      <c r="H1039" s="1764"/>
      <c r="I1039" s="1764"/>
      <c r="J1039" s="1764"/>
      <c r="K1039" s="1764"/>
      <c r="L1039" s="1764"/>
      <c r="M1039" s="1765"/>
      <c r="N1039" s="1765"/>
      <c r="O1039" s="1765"/>
      <c r="P1039" s="1765"/>
      <c r="Q1039" s="1765"/>
      <c r="W1039" t="s">
        <v>2089</v>
      </c>
    </row>
    <row r="1040" spans="1:23" ht="13.15" customHeight="1" x14ac:dyDescent="0.2">
      <c r="A1040" s="2" t="s">
        <v>2241</v>
      </c>
      <c r="B1040" s="2">
        <f t="shared" si="32"/>
        <v>2019</v>
      </c>
      <c r="C1040" s="2" t="str">
        <f t="shared" si="33"/>
        <v>EC101</v>
      </c>
      <c r="D1040" s="2">
        <v>422</v>
      </c>
      <c r="F1040" s="1764"/>
      <c r="G1040" s="1764"/>
      <c r="H1040" s="1764"/>
      <c r="I1040" s="1764"/>
      <c r="J1040" s="1764"/>
      <c r="K1040" s="1764"/>
      <c r="L1040" s="1764"/>
      <c r="M1040" s="1765"/>
      <c r="N1040" s="1765"/>
      <c r="O1040" s="1765"/>
      <c r="P1040" s="1765"/>
      <c r="Q1040" s="1765"/>
      <c r="W1040" t="s">
        <v>2089</v>
      </c>
    </row>
    <row r="1041" spans="1:23" ht="13.15" customHeight="1" x14ac:dyDescent="0.2">
      <c r="A1041" s="2" t="s">
        <v>2241</v>
      </c>
      <c r="B1041" s="2">
        <f t="shared" si="32"/>
        <v>2019</v>
      </c>
      <c r="C1041" s="2" t="str">
        <f t="shared" si="33"/>
        <v>EC101</v>
      </c>
      <c r="D1041" s="2">
        <v>423</v>
      </c>
      <c r="F1041" s="1764"/>
      <c r="G1041" s="1764"/>
      <c r="H1041" s="1764"/>
      <c r="I1041" s="1764"/>
      <c r="J1041" s="1764"/>
      <c r="K1041" s="1764"/>
      <c r="L1041" s="1764"/>
      <c r="M1041" s="1765"/>
      <c r="N1041" s="1765"/>
      <c r="O1041" s="1765"/>
      <c r="P1041" s="1765"/>
      <c r="Q1041" s="1765"/>
      <c r="W1041" t="s">
        <v>2089</v>
      </c>
    </row>
    <row r="1042" spans="1:23" ht="13.15" customHeight="1" x14ac:dyDescent="0.2">
      <c r="A1042" s="2" t="s">
        <v>2241</v>
      </c>
      <c r="B1042" s="2">
        <f t="shared" si="32"/>
        <v>2019</v>
      </c>
      <c r="C1042" s="2" t="str">
        <f t="shared" si="33"/>
        <v>EC101</v>
      </c>
      <c r="D1042" s="2">
        <v>424</v>
      </c>
      <c r="F1042" s="1764"/>
      <c r="G1042" s="1764"/>
      <c r="H1042" s="1764"/>
      <c r="I1042" s="1764"/>
      <c r="J1042" s="1764"/>
      <c r="K1042" s="1764"/>
      <c r="L1042" s="1764"/>
      <c r="M1042" s="1765"/>
      <c r="N1042" s="1765"/>
      <c r="O1042" s="1765"/>
      <c r="P1042" s="1765"/>
      <c r="Q1042" s="1765"/>
      <c r="W1042" t="s">
        <v>2089</v>
      </c>
    </row>
    <row r="1043" spans="1:23" ht="13.15" customHeight="1" x14ac:dyDescent="0.2">
      <c r="A1043" s="2" t="s">
        <v>2241</v>
      </c>
      <c r="B1043" s="2">
        <f t="shared" si="32"/>
        <v>2019</v>
      </c>
      <c r="C1043" s="2" t="str">
        <f t="shared" si="33"/>
        <v>EC101</v>
      </c>
      <c r="D1043" s="2">
        <v>425</v>
      </c>
      <c r="F1043" s="1764"/>
      <c r="G1043" s="1764"/>
      <c r="H1043" s="1764"/>
      <c r="I1043" s="1764"/>
      <c r="J1043" s="1764"/>
      <c r="K1043" s="1764"/>
      <c r="L1043" s="1764"/>
      <c r="M1043" s="1765"/>
      <c r="N1043" s="1765"/>
      <c r="O1043" s="1765"/>
      <c r="P1043" s="1765"/>
      <c r="Q1043" s="1765"/>
      <c r="W1043" t="s">
        <v>2089</v>
      </c>
    </row>
    <row r="1044" spans="1:23" ht="13.15" customHeight="1" x14ac:dyDescent="0.2">
      <c r="A1044" s="2" t="s">
        <v>2241</v>
      </c>
      <c r="B1044" s="2">
        <f t="shared" si="32"/>
        <v>2019</v>
      </c>
      <c r="C1044" s="2" t="str">
        <f t="shared" si="33"/>
        <v>EC101</v>
      </c>
      <c r="D1044" s="2">
        <v>426</v>
      </c>
      <c r="F1044" s="1764"/>
      <c r="G1044" s="1764"/>
      <c r="H1044" s="1764"/>
      <c r="I1044" s="1764"/>
      <c r="J1044" s="1764"/>
      <c r="K1044" s="1764"/>
      <c r="L1044" s="1764"/>
      <c r="M1044" s="1765"/>
      <c r="N1044" s="1765"/>
      <c r="O1044" s="1765"/>
      <c r="P1044" s="1765"/>
      <c r="Q1044" s="1765"/>
      <c r="W1044" t="s">
        <v>2089</v>
      </c>
    </row>
    <row r="1045" spans="1:23" ht="13.15" customHeight="1" x14ac:dyDescent="0.2">
      <c r="A1045" s="2" t="s">
        <v>2241</v>
      </c>
      <c r="B1045" s="2">
        <f t="shared" si="32"/>
        <v>2019</v>
      </c>
      <c r="C1045" s="2" t="str">
        <f t="shared" si="33"/>
        <v>EC101</v>
      </c>
      <c r="D1045" s="2">
        <v>427</v>
      </c>
      <c r="F1045" s="1764"/>
      <c r="G1045" s="1764"/>
      <c r="H1045" s="1764"/>
      <c r="I1045" s="1764"/>
      <c r="J1045" s="1764"/>
      <c r="K1045" s="1764"/>
      <c r="L1045" s="1764"/>
      <c r="M1045" s="1765"/>
      <c r="N1045" s="1765"/>
      <c r="O1045" s="1765"/>
      <c r="P1045" s="1765"/>
      <c r="Q1045" s="1765"/>
      <c r="W1045" t="s">
        <v>2089</v>
      </c>
    </row>
    <row r="1046" spans="1:23" ht="13.15" customHeight="1" x14ac:dyDescent="0.2">
      <c r="A1046" s="2" t="s">
        <v>2241</v>
      </c>
      <c r="B1046" s="2">
        <f t="shared" si="32"/>
        <v>2019</v>
      </c>
      <c r="C1046" s="2" t="str">
        <f t="shared" si="33"/>
        <v>EC101</v>
      </c>
      <c r="D1046" s="2">
        <v>428</v>
      </c>
      <c r="F1046" s="1764"/>
      <c r="G1046" s="1764"/>
      <c r="H1046" s="1764"/>
      <c r="I1046" s="1764"/>
      <c r="J1046" s="1764"/>
      <c r="K1046" s="1764"/>
      <c r="L1046" s="1764"/>
      <c r="M1046" s="1765"/>
      <c r="N1046" s="1765"/>
      <c r="O1046" s="1765"/>
      <c r="P1046" s="1765"/>
      <c r="Q1046" s="1765"/>
      <c r="W1046" t="s">
        <v>2089</v>
      </c>
    </row>
    <row r="1047" spans="1:23" ht="13.15" customHeight="1" x14ac:dyDescent="0.2">
      <c r="A1047" s="2" t="s">
        <v>2241</v>
      </c>
      <c r="B1047" s="2">
        <f t="shared" si="32"/>
        <v>2019</v>
      </c>
      <c r="C1047" s="2" t="str">
        <f t="shared" si="33"/>
        <v>EC101</v>
      </c>
      <c r="D1047" s="2">
        <v>429</v>
      </c>
      <c r="F1047" s="1764"/>
      <c r="G1047" s="1764"/>
      <c r="H1047" s="1764"/>
      <c r="I1047" s="1764"/>
      <c r="J1047" s="1764"/>
      <c r="K1047" s="1764"/>
      <c r="L1047" s="1764"/>
      <c r="M1047" s="1765"/>
      <c r="N1047" s="1765"/>
      <c r="O1047" s="1765"/>
      <c r="P1047" s="1765"/>
      <c r="Q1047" s="1765"/>
      <c r="W1047" t="s">
        <v>2089</v>
      </c>
    </row>
    <row r="1048" spans="1:23" ht="13.15" customHeight="1" x14ac:dyDescent="0.2">
      <c r="A1048" s="2" t="s">
        <v>2241</v>
      </c>
      <c r="B1048" s="2">
        <f t="shared" si="32"/>
        <v>2019</v>
      </c>
      <c r="C1048" s="2" t="str">
        <f t="shared" si="33"/>
        <v>EC101</v>
      </c>
      <c r="D1048" s="2">
        <v>430</v>
      </c>
      <c r="F1048" s="1764"/>
      <c r="G1048" s="1764"/>
      <c r="H1048" s="1764"/>
      <c r="I1048" s="1764"/>
      <c r="J1048" s="1764"/>
      <c r="K1048" s="1764"/>
      <c r="L1048" s="1764"/>
      <c r="M1048" s="1765"/>
      <c r="N1048" s="1765"/>
      <c r="O1048" s="1765"/>
      <c r="P1048" s="1765"/>
      <c r="Q1048" s="1765"/>
      <c r="W1048" t="s">
        <v>2089</v>
      </c>
    </row>
    <row r="1049" spans="1:23" ht="13.15" customHeight="1" x14ac:dyDescent="0.2">
      <c r="A1049" s="2" t="s">
        <v>2241</v>
      </c>
      <c r="B1049" s="2">
        <f t="shared" si="32"/>
        <v>2019</v>
      </c>
      <c r="C1049" s="2" t="str">
        <f t="shared" si="33"/>
        <v>EC101</v>
      </c>
      <c r="D1049" s="2">
        <v>431</v>
      </c>
      <c r="F1049" s="1764"/>
      <c r="G1049" s="1764"/>
      <c r="H1049" s="1764"/>
      <c r="I1049" s="1764"/>
      <c r="J1049" s="1764"/>
      <c r="K1049" s="1764"/>
      <c r="L1049" s="1764"/>
      <c r="M1049" s="1765"/>
      <c r="N1049" s="1765"/>
      <c r="O1049" s="1765"/>
      <c r="P1049" s="1765"/>
      <c r="Q1049" s="1765"/>
      <c r="W1049" t="s">
        <v>2089</v>
      </c>
    </row>
    <row r="1050" spans="1:23" ht="13.15" customHeight="1" x14ac:dyDescent="0.2">
      <c r="A1050" s="2" t="s">
        <v>2241</v>
      </c>
      <c r="B1050" s="2">
        <f t="shared" si="32"/>
        <v>2019</v>
      </c>
      <c r="C1050" s="2" t="str">
        <f t="shared" si="33"/>
        <v>EC101</v>
      </c>
      <c r="D1050" s="2">
        <v>432</v>
      </c>
      <c r="F1050" s="1764"/>
      <c r="G1050" s="1764"/>
      <c r="H1050" s="1764"/>
      <c r="I1050" s="1764"/>
      <c r="J1050" s="1764"/>
      <c r="K1050" s="1764"/>
      <c r="L1050" s="1764"/>
      <c r="M1050" s="1765"/>
      <c r="N1050" s="1765"/>
      <c r="O1050" s="1765"/>
      <c r="P1050" s="1765"/>
      <c r="Q1050" s="1765"/>
      <c r="W1050" t="s">
        <v>2089</v>
      </c>
    </row>
    <row r="1051" spans="1:23" ht="13.15" customHeight="1" x14ac:dyDescent="0.2">
      <c r="A1051" s="2" t="s">
        <v>2241</v>
      </c>
      <c r="B1051" s="2">
        <f t="shared" si="32"/>
        <v>2019</v>
      </c>
      <c r="C1051" s="2" t="str">
        <f t="shared" si="33"/>
        <v>EC101</v>
      </c>
      <c r="D1051" s="2">
        <v>433</v>
      </c>
      <c r="F1051" s="1764"/>
      <c r="G1051" s="1764"/>
      <c r="H1051" s="1764"/>
      <c r="I1051" s="1764"/>
      <c r="J1051" s="1764"/>
      <c r="K1051" s="1764"/>
      <c r="L1051" s="1764"/>
      <c r="M1051" s="1765"/>
      <c r="N1051" s="1765"/>
      <c r="O1051" s="1765"/>
      <c r="P1051" s="1765"/>
      <c r="Q1051" s="1765"/>
      <c r="W1051" t="s">
        <v>2089</v>
      </c>
    </row>
    <row r="1052" spans="1:23" ht="13.15" customHeight="1" x14ac:dyDescent="0.2">
      <c r="A1052" s="2" t="s">
        <v>2241</v>
      </c>
      <c r="B1052" s="2">
        <f t="shared" si="32"/>
        <v>2019</v>
      </c>
      <c r="C1052" s="2" t="str">
        <f t="shared" si="33"/>
        <v>EC101</v>
      </c>
      <c r="D1052" s="2">
        <v>434</v>
      </c>
      <c r="F1052" s="1764"/>
      <c r="G1052" s="1764"/>
      <c r="H1052" s="1764"/>
      <c r="I1052" s="1764"/>
      <c r="J1052" s="1764"/>
      <c r="K1052" s="1764"/>
      <c r="L1052" s="1764"/>
      <c r="M1052" s="1765"/>
      <c r="N1052" s="1765"/>
      <c r="O1052" s="1765"/>
      <c r="P1052" s="1765"/>
      <c r="Q1052" s="1765"/>
      <c r="W1052" t="s">
        <v>2089</v>
      </c>
    </row>
    <row r="1053" spans="1:23" ht="13.15" customHeight="1" x14ac:dyDescent="0.2">
      <c r="A1053" s="2" t="s">
        <v>2241</v>
      </c>
      <c r="B1053" s="2">
        <f t="shared" si="32"/>
        <v>2019</v>
      </c>
      <c r="C1053" s="2" t="str">
        <f t="shared" si="33"/>
        <v>EC101</v>
      </c>
      <c r="D1053" s="2">
        <v>435</v>
      </c>
      <c r="F1053" s="1764"/>
      <c r="G1053" s="1764"/>
      <c r="H1053" s="1764"/>
      <c r="I1053" s="1764"/>
      <c r="J1053" s="1764"/>
      <c r="K1053" s="1764"/>
      <c r="L1053" s="1764"/>
      <c r="M1053" s="1765"/>
      <c r="N1053" s="1765"/>
      <c r="O1053" s="1765"/>
      <c r="P1053" s="1765"/>
      <c r="Q1053" s="1765"/>
      <c r="W1053" t="s">
        <v>2089</v>
      </c>
    </row>
    <row r="1054" spans="1:23" ht="13.15" customHeight="1" x14ac:dyDescent="0.2">
      <c r="A1054" s="2" t="s">
        <v>2241</v>
      </c>
      <c r="B1054" s="2">
        <f t="shared" si="32"/>
        <v>2019</v>
      </c>
      <c r="C1054" s="2" t="str">
        <f t="shared" si="33"/>
        <v>EC101</v>
      </c>
      <c r="D1054" s="2">
        <v>436</v>
      </c>
      <c r="F1054" s="1764"/>
      <c r="G1054" s="1764"/>
      <c r="H1054" s="1764"/>
      <c r="I1054" s="1764"/>
      <c r="J1054" s="1764"/>
      <c r="K1054" s="1764"/>
      <c r="L1054" s="1764"/>
      <c r="M1054" s="1765"/>
      <c r="N1054" s="1765"/>
      <c r="O1054" s="1765"/>
      <c r="P1054" s="1765"/>
      <c r="Q1054" s="1765"/>
      <c r="W1054" t="s">
        <v>2089</v>
      </c>
    </row>
    <row r="1055" spans="1:23" ht="13.15" customHeight="1" x14ac:dyDescent="0.2">
      <c r="A1055" s="2" t="s">
        <v>2241</v>
      </c>
      <c r="B1055" s="2">
        <f t="shared" si="32"/>
        <v>2019</v>
      </c>
      <c r="C1055" s="2" t="str">
        <f t="shared" si="33"/>
        <v>EC101</v>
      </c>
      <c r="D1055" s="2">
        <v>437</v>
      </c>
      <c r="F1055" s="1764"/>
      <c r="G1055" s="1764"/>
      <c r="H1055" s="1764"/>
      <c r="I1055" s="1764"/>
      <c r="J1055" s="1764"/>
      <c r="K1055" s="1764"/>
      <c r="L1055" s="1764"/>
      <c r="M1055" s="1765"/>
      <c r="N1055" s="1765"/>
      <c r="O1055" s="1765"/>
      <c r="P1055" s="1765"/>
      <c r="Q1055" s="1765"/>
      <c r="W1055" t="s">
        <v>2089</v>
      </c>
    </row>
    <row r="1056" spans="1:23" ht="13.15" customHeight="1" x14ac:dyDescent="0.2">
      <c r="A1056" s="2" t="s">
        <v>2241</v>
      </c>
      <c r="B1056" s="2">
        <f t="shared" si="32"/>
        <v>2019</v>
      </c>
      <c r="C1056" s="2" t="str">
        <f t="shared" si="33"/>
        <v>EC101</v>
      </c>
      <c r="D1056" s="2">
        <v>438</v>
      </c>
      <c r="F1056" s="1764"/>
      <c r="G1056" s="1764"/>
      <c r="H1056" s="1764"/>
      <c r="I1056" s="1764"/>
      <c r="J1056" s="1764"/>
      <c r="K1056" s="1764"/>
      <c r="L1056" s="1764"/>
      <c r="M1056" s="1765"/>
      <c r="N1056" s="1765"/>
      <c r="O1056" s="1765"/>
      <c r="P1056" s="1765"/>
      <c r="Q1056" s="1765"/>
      <c r="W1056" t="s">
        <v>2089</v>
      </c>
    </row>
    <row r="1057" spans="1:23" ht="13.15" customHeight="1" x14ac:dyDescent="0.2">
      <c r="A1057" s="2" t="s">
        <v>2241</v>
      </c>
      <c r="B1057" s="2">
        <f t="shared" si="32"/>
        <v>2019</v>
      </c>
      <c r="C1057" s="2" t="str">
        <f t="shared" si="33"/>
        <v>EC101</v>
      </c>
      <c r="D1057" s="2">
        <v>439</v>
      </c>
      <c r="F1057" s="1764"/>
      <c r="G1057" s="1764"/>
      <c r="H1057" s="1764"/>
      <c r="I1057" s="1764"/>
      <c r="J1057" s="1764"/>
      <c r="K1057" s="1764"/>
      <c r="L1057" s="1764"/>
      <c r="M1057" s="1765"/>
      <c r="N1057" s="1765"/>
      <c r="O1057" s="1765"/>
      <c r="P1057" s="1765"/>
      <c r="Q1057" s="1765"/>
      <c r="W1057" t="s">
        <v>2089</v>
      </c>
    </row>
    <row r="1058" spans="1:23" ht="13.15" customHeight="1" x14ac:dyDescent="0.2">
      <c r="A1058" s="2" t="s">
        <v>2241</v>
      </c>
      <c r="B1058" s="2">
        <f t="shared" si="32"/>
        <v>2019</v>
      </c>
      <c r="C1058" s="2" t="str">
        <f t="shared" si="33"/>
        <v>EC101</v>
      </c>
      <c r="D1058" s="2">
        <v>440</v>
      </c>
      <c r="F1058" s="1764"/>
      <c r="G1058" s="1764"/>
      <c r="H1058" s="1764"/>
      <c r="I1058" s="1764"/>
      <c r="J1058" s="1764"/>
      <c r="K1058" s="1764"/>
      <c r="L1058" s="1764"/>
      <c r="M1058" s="1765"/>
      <c r="N1058" s="1765"/>
      <c r="O1058" s="1765"/>
      <c r="P1058" s="1765"/>
      <c r="Q1058" s="1765"/>
      <c r="W1058" t="s">
        <v>2089</v>
      </c>
    </row>
    <row r="1059" spans="1:23" ht="13.15" customHeight="1" x14ac:dyDescent="0.2">
      <c r="A1059" s="2" t="s">
        <v>2241</v>
      </c>
      <c r="B1059" s="2">
        <f t="shared" si="32"/>
        <v>2019</v>
      </c>
      <c r="C1059" s="2" t="str">
        <f t="shared" si="33"/>
        <v>EC101</v>
      </c>
      <c r="D1059" s="2">
        <v>441</v>
      </c>
      <c r="F1059" s="1764"/>
      <c r="G1059" s="1764"/>
      <c r="H1059" s="1764"/>
      <c r="I1059" s="1764"/>
      <c r="J1059" s="1764"/>
      <c r="K1059" s="1764"/>
      <c r="L1059" s="1764"/>
      <c r="M1059" s="1765"/>
      <c r="N1059" s="1765"/>
      <c r="O1059" s="1765"/>
      <c r="P1059" s="1765"/>
      <c r="Q1059" s="1765"/>
      <c r="W1059" t="s">
        <v>2089</v>
      </c>
    </row>
    <row r="1060" spans="1:23" ht="13.15" customHeight="1" x14ac:dyDescent="0.2">
      <c r="A1060" s="2" t="s">
        <v>2241</v>
      </c>
      <c r="B1060" s="2">
        <f t="shared" si="32"/>
        <v>2019</v>
      </c>
      <c r="C1060" s="2" t="str">
        <f t="shared" si="33"/>
        <v>EC101</v>
      </c>
      <c r="D1060" s="2">
        <v>442</v>
      </c>
      <c r="F1060" s="1764"/>
      <c r="G1060" s="1764"/>
      <c r="H1060" s="1764"/>
      <c r="I1060" s="1764"/>
      <c r="J1060" s="1764"/>
      <c r="K1060" s="1764"/>
      <c r="L1060" s="1764"/>
      <c r="M1060" s="1765"/>
      <c r="N1060" s="1765"/>
      <c r="O1060" s="1765"/>
      <c r="P1060" s="1765"/>
      <c r="Q1060" s="1765"/>
      <c r="W1060" t="s">
        <v>2089</v>
      </c>
    </row>
    <row r="1061" spans="1:23" ht="13.15" customHeight="1" x14ac:dyDescent="0.2">
      <c r="A1061" s="2" t="s">
        <v>2241</v>
      </c>
      <c r="B1061" s="2">
        <f t="shared" si="32"/>
        <v>2019</v>
      </c>
      <c r="C1061" s="2" t="str">
        <f t="shared" si="33"/>
        <v>EC101</v>
      </c>
      <c r="D1061" s="2">
        <v>443</v>
      </c>
      <c r="F1061" s="1764"/>
      <c r="G1061" s="1764"/>
      <c r="H1061" s="1764"/>
      <c r="I1061" s="1764"/>
      <c r="J1061" s="1764"/>
      <c r="K1061" s="1764"/>
      <c r="L1061" s="1764"/>
      <c r="M1061" s="1765"/>
      <c r="N1061" s="1765"/>
      <c r="O1061" s="1765"/>
      <c r="P1061" s="1765"/>
      <c r="Q1061" s="1765"/>
      <c r="W1061" t="s">
        <v>2089</v>
      </c>
    </row>
    <row r="1062" spans="1:23" ht="13.15" customHeight="1" x14ac:dyDescent="0.2">
      <c r="A1062" s="2" t="s">
        <v>2241</v>
      </c>
      <c r="B1062" s="2">
        <f t="shared" si="32"/>
        <v>2019</v>
      </c>
      <c r="C1062" s="2" t="str">
        <f t="shared" si="33"/>
        <v>EC101</v>
      </c>
      <c r="D1062" s="2">
        <v>444</v>
      </c>
      <c r="F1062" s="1764"/>
      <c r="G1062" s="1764"/>
      <c r="H1062" s="1764"/>
      <c r="I1062" s="1764"/>
      <c r="J1062" s="1764"/>
      <c r="K1062" s="1764"/>
      <c r="L1062" s="1764"/>
      <c r="M1062" s="1765"/>
      <c r="N1062" s="1765"/>
      <c r="O1062" s="1765"/>
      <c r="P1062" s="1765"/>
      <c r="Q1062" s="1765"/>
      <c r="W1062" t="s">
        <v>2089</v>
      </c>
    </row>
    <row r="1063" spans="1:23" ht="13.15" customHeight="1" x14ac:dyDescent="0.2">
      <c r="A1063" s="2" t="s">
        <v>2241</v>
      </c>
      <c r="B1063" s="2">
        <f t="shared" si="32"/>
        <v>2019</v>
      </c>
      <c r="C1063" s="2" t="str">
        <f t="shared" si="33"/>
        <v>EC101</v>
      </c>
      <c r="D1063" s="2">
        <v>445</v>
      </c>
      <c r="F1063" s="1764"/>
      <c r="G1063" s="1764"/>
      <c r="H1063" s="1764"/>
      <c r="I1063" s="1764"/>
      <c r="J1063" s="1764"/>
      <c r="K1063" s="1764"/>
      <c r="L1063" s="1764"/>
      <c r="M1063" s="1765"/>
      <c r="N1063" s="1765"/>
      <c r="O1063" s="1765"/>
      <c r="P1063" s="1765"/>
      <c r="Q1063" s="1765"/>
      <c r="W1063" t="s">
        <v>2089</v>
      </c>
    </row>
    <row r="1064" spans="1:23" ht="13.15" customHeight="1" x14ac:dyDescent="0.2">
      <c r="A1064" s="2" t="s">
        <v>2241</v>
      </c>
      <c r="B1064" s="2">
        <f t="shared" si="32"/>
        <v>2019</v>
      </c>
      <c r="C1064" s="2" t="str">
        <f t="shared" si="33"/>
        <v>EC101</v>
      </c>
      <c r="D1064" s="2">
        <v>446</v>
      </c>
      <c r="F1064" s="1764"/>
      <c r="G1064" s="1764"/>
      <c r="H1064" s="1764"/>
      <c r="I1064" s="1764"/>
      <c r="J1064" s="1764"/>
      <c r="K1064" s="1764"/>
      <c r="L1064" s="1764"/>
      <c r="M1064" s="1765"/>
      <c r="N1064" s="1765"/>
      <c r="O1064" s="1765"/>
      <c r="P1064" s="1765"/>
      <c r="Q1064" s="1765"/>
      <c r="W1064" t="s">
        <v>2089</v>
      </c>
    </row>
    <row r="1065" spans="1:23" ht="13.15" customHeight="1" x14ac:dyDescent="0.2">
      <c r="A1065" s="2" t="s">
        <v>2241</v>
      </c>
      <c r="B1065" s="2">
        <f t="shared" si="32"/>
        <v>2019</v>
      </c>
      <c r="C1065" s="2" t="str">
        <f t="shared" si="33"/>
        <v>EC101</v>
      </c>
      <c r="D1065" s="2">
        <v>447</v>
      </c>
      <c r="F1065" s="1764"/>
      <c r="G1065" s="1764"/>
      <c r="H1065" s="1764"/>
      <c r="I1065" s="1764"/>
      <c r="J1065" s="1764"/>
      <c r="K1065" s="1764"/>
      <c r="L1065" s="1764"/>
      <c r="M1065" s="1765"/>
      <c r="N1065" s="1765"/>
      <c r="O1065" s="1765"/>
      <c r="P1065" s="1765"/>
      <c r="Q1065" s="1765"/>
      <c r="W1065" t="s">
        <v>2089</v>
      </c>
    </row>
    <row r="1066" spans="1:23" ht="13.15" customHeight="1" x14ac:dyDescent="0.2">
      <c r="A1066" s="2" t="s">
        <v>2241</v>
      </c>
      <c r="B1066" s="2">
        <f t="shared" si="32"/>
        <v>2019</v>
      </c>
      <c r="C1066" s="2" t="str">
        <f t="shared" si="33"/>
        <v>EC101</v>
      </c>
      <c r="D1066" s="2">
        <v>448</v>
      </c>
      <c r="F1066" s="1764"/>
      <c r="G1066" s="1764"/>
      <c r="H1066" s="1764"/>
      <c r="I1066" s="1764"/>
      <c r="J1066" s="1764"/>
      <c r="K1066" s="1764"/>
      <c r="L1066" s="1764"/>
      <c r="M1066" s="1765"/>
      <c r="N1066" s="1765"/>
      <c r="O1066" s="1765"/>
      <c r="P1066" s="1765"/>
      <c r="Q1066" s="1765"/>
      <c r="W1066" t="s">
        <v>2089</v>
      </c>
    </row>
    <row r="1067" spans="1:23" ht="13.15" customHeight="1" x14ac:dyDescent="0.2">
      <c r="A1067" s="2" t="s">
        <v>2241</v>
      </c>
      <c r="B1067" s="2">
        <f t="shared" si="32"/>
        <v>2019</v>
      </c>
      <c r="C1067" s="2" t="str">
        <f t="shared" si="33"/>
        <v>EC101</v>
      </c>
      <c r="D1067" s="2">
        <v>449</v>
      </c>
      <c r="F1067" s="1764"/>
      <c r="G1067" s="1764"/>
      <c r="H1067" s="1764"/>
      <c r="I1067" s="1764"/>
      <c r="J1067" s="1764"/>
      <c r="K1067" s="1764"/>
      <c r="L1067" s="1764"/>
      <c r="M1067" s="1765"/>
      <c r="N1067" s="1765"/>
      <c r="O1067" s="1765"/>
      <c r="P1067" s="1765"/>
      <c r="Q1067" s="1765"/>
      <c r="W1067" t="s">
        <v>2089</v>
      </c>
    </row>
    <row r="1068" spans="1:23" ht="13.15" customHeight="1" x14ac:dyDescent="0.2">
      <c r="A1068" s="2" t="s">
        <v>2241</v>
      </c>
      <c r="B1068" s="2">
        <f t="shared" si="32"/>
        <v>2019</v>
      </c>
      <c r="C1068" s="2" t="str">
        <f t="shared" si="33"/>
        <v>EC101</v>
      </c>
      <c r="D1068" s="2">
        <v>450</v>
      </c>
      <c r="F1068" s="1764"/>
      <c r="G1068" s="1764"/>
      <c r="H1068" s="1764"/>
      <c r="I1068" s="1764"/>
      <c r="J1068" s="1764"/>
      <c r="K1068" s="1764"/>
      <c r="L1068" s="1764"/>
      <c r="M1068" s="1765"/>
      <c r="N1068" s="1765"/>
      <c r="O1068" s="1765"/>
      <c r="P1068" s="1765"/>
      <c r="Q1068" s="1765"/>
      <c r="W1068" t="s">
        <v>2089</v>
      </c>
    </row>
    <row r="1069" spans="1:23" ht="13.15" customHeight="1" x14ac:dyDescent="0.2">
      <c r="A1069" s="2" t="s">
        <v>2241</v>
      </c>
      <c r="B1069" s="2">
        <f t="shared" si="32"/>
        <v>2019</v>
      </c>
      <c r="C1069" s="2" t="str">
        <f t="shared" si="33"/>
        <v>EC101</v>
      </c>
      <c r="D1069" s="2">
        <v>451</v>
      </c>
      <c r="F1069" s="1764"/>
      <c r="G1069" s="1764"/>
      <c r="H1069" s="1764"/>
      <c r="I1069" s="1764"/>
      <c r="J1069" s="1764"/>
      <c r="K1069" s="1764"/>
      <c r="L1069" s="1764"/>
      <c r="M1069" s="1765"/>
      <c r="N1069" s="1765"/>
      <c r="O1069" s="1765"/>
      <c r="P1069" s="1765"/>
      <c r="Q1069" s="1765"/>
      <c r="W1069" t="s">
        <v>2089</v>
      </c>
    </row>
    <row r="1070" spans="1:23" ht="13.15" customHeight="1" x14ac:dyDescent="0.2">
      <c r="A1070" s="2" t="s">
        <v>2241</v>
      </c>
      <c r="B1070" s="2">
        <f t="shared" si="32"/>
        <v>2019</v>
      </c>
      <c r="C1070" s="2" t="str">
        <f t="shared" si="33"/>
        <v>EC101</v>
      </c>
      <c r="D1070" s="2">
        <v>452</v>
      </c>
      <c r="F1070" s="1764"/>
      <c r="G1070" s="1764"/>
      <c r="H1070" s="1764"/>
      <c r="I1070" s="1764"/>
      <c r="J1070" s="1764"/>
      <c r="K1070" s="1764"/>
      <c r="L1070" s="1764"/>
      <c r="M1070" s="1765"/>
      <c r="N1070" s="1765"/>
      <c r="O1070" s="1765"/>
      <c r="P1070" s="1765"/>
      <c r="Q1070" s="1765"/>
      <c r="W1070" t="s">
        <v>2089</v>
      </c>
    </row>
    <row r="1071" spans="1:23" ht="13.15" customHeight="1" x14ac:dyDescent="0.2">
      <c r="A1071" s="2" t="s">
        <v>2241</v>
      </c>
      <c r="B1071" s="2">
        <f t="shared" si="32"/>
        <v>2019</v>
      </c>
      <c r="C1071" s="2" t="str">
        <f t="shared" si="33"/>
        <v>EC101</v>
      </c>
      <c r="D1071" s="2">
        <v>453</v>
      </c>
      <c r="F1071" s="1764"/>
      <c r="G1071" s="1764"/>
      <c r="H1071" s="1764"/>
      <c r="I1071" s="1764"/>
      <c r="J1071" s="1764"/>
      <c r="K1071" s="1764"/>
      <c r="L1071" s="1764"/>
      <c r="M1071" s="1765"/>
      <c r="N1071" s="1765"/>
      <c r="O1071" s="1765"/>
      <c r="P1071" s="1765"/>
      <c r="Q1071" s="1765"/>
      <c r="W1071" t="s">
        <v>2089</v>
      </c>
    </row>
    <row r="1072" spans="1:23" ht="13.15" customHeight="1" x14ac:dyDescent="0.2">
      <c r="A1072" s="2" t="s">
        <v>2241</v>
      </c>
      <c r="B1072" s="2">
        <f t="shared" si="32"/>
        <v>2019</v>
      </c>
      <c r="C1072" s="2" t="str">
        <f t="shared" si="33"/>
        <v>EC101</v>
      </c>
      <c r="D1072" s="2">
        <v>454</v>
      </c>
      <c r="F1072" s="1764"/>
      <c r="G1072" s="1764"/>
      <c r="H1072" s="1764"/>
      <c r="I1072" s="1764"/>
      <c r="J1072" s="1764"/>
      <c r="K1072" s="1764"/>
      <c r="L1072" s="1764"/>
      <c r="M1072" s="1765"/>
      <c r="N1072" s="1765"/>
      <c r="O1072" s="1765"/>
      <c r="P1072" s="1765"/>
      <c r="Q1072" s="1765"/>
      <c r="W1072" t="s">
        <v>2089</v>
      </c>
    </row>
    <row r="1073" spans="1:23" ht="13.15" customHeight="1" x14ac:dyDescent="0.2">
      <c r="A1073" s="2" t="s">
        <v>2241</v>
      </c>
      <c r="B1073" s="2">
        <f t="shared" si="32"/>
        <v>2019</v>
      </c>
      <c r="C1073" s="2" t="str">
        <f t="shared" si="33"/>
        <v>EC101</v>
      </c>
      <c r="D1073" s="2">
        <v>455</v>
      </c>
      <c r="F1073" s="1764"/>
      <c r="G1073" s="1764"/>
      <c r="H1073" s="1764"/>
      <c r="I1073" s="1764"/>
      <c r="J1073" s="1764"/>
      <c r="K1073" s="1764"/>
      <c r="L1073" s="1764"/>
      <c r="M1073" s="1765"/>
      <c r="N1073" s="1765"/>
      <c r="O1073" s="1765"/>
      <c r="P1073" s="1765"/>
      <c r="Q1073" s="1765"/>
      <c r="W1073" t="s">
        <v>2089</v>
      </c>
    </row>
    <row r="1074" spans="1:23" ht="13.15" customHeight="1" x14ac:dyDescent="0.2">
      <c r="A1074" s="2" t="s">
        <v>2241</v>
      </c>
      <c r="B1074" s="2">
        <f t="shared" si="32"/>
        <v>2019</v>
      </c>
      <c r="C1074" s="2" t="str">
        <f t="shared" si="33"/>
        <v>EC101</v>
      </c>
      <c r="D1074" s="2">
        <v>456</v>
      </c>
      <c r="F1074" s="1764"/>
      <c r="G1074" s="1764"/>
      <c r="H1074" s="1764"/>
      <c r="I1074" s="1764"/>
      <c r="J1074" s="1764"/>
      <c r="K1074" s="1764"/>
      <c r="L1074" s="1764"/>
      <c r="M1074" s="1765"/>
      <c r="N1074" s="1765"/>
      <c r="O1074" s="1765"/>
      <c r="P1074" s="1765"/>
      <c r="Q1074" s="1765"/>
      <c r="W1074" t="s">
        <v>2089</v>
      </c>
    </row>
    <row r="1075" spans="1:23" ht="13.15" customHeight="1" x14ac:dyDescent="0.2">
      <c r="A1075" s="2" t="s">
        <v>2241</v>
      </c>
      <c r="B1075" s="2">
        <f t="shared" si="32"/>
        <v>2019</v>
      </c>
      <c r="C1075" s="2" t="str">
        <f t="shared" si="33"/>
        <v>EC101</v>
      </c>
      <c r="D1075" s="2">
        <v>457</v>
      </c>
      <c r="F1075" s="1764"/>
      <c r="G1075" s="1764"/>
      <c r="H1075" s="1764"/>
      <c r="I1075" s="1764"/>
      <c r="J1075" s="1764"/>
      <c r="K1075" s="1764"/>
      <c r="L1075" s="1764"/>
      <c r="M1075" s="1765"/>
      <c r="N1075" s="1765"/>
      <c r="O1075" s="1765"/>
      <c r="P1075" s="1765"/>
      <c r="Q1075" s="1765"/>
      <c r="W1075" t="s">
        <v>2089</v>
      </c>
    </row>
    <row r="1076" spans="1:23" ht="13.15" customHeight="1" x14ac:dyDescent="0.2">
      <c r="A1076" s="2" t="s">
        <v>2241</v>
      </c>
      <c r="B1076" s="2">
        <f t="shared" si="32"/>
        <v>2019</v>
      </c>
      <c r="C1076" s="2" t="str">
        <f t="shared" si="33"/>
        <v>EC101</v>
      </c>
      <c r="D1076" s="2">
        <v>458</v>
      </c>
      <c r="F1076" s="1764"/>
      <c r="G1076" s="1764"/>
      <c r="H1076" s="1764"/>
      <c r="I1076" s="1764"/>
      <c r="J1076" s="1764"/>
      <c r="K1076" s="1764"/>
      <c r="L1076" s="1764"/>
      <c r="M1076" s="1765"/>
      <c r="N1076" s="1765"/>
      <c r="O1076" s="1765"/>
      <c r="P1076" s="1765"/>
      <c r="Q1076" s="1765"/>
      <c r="W1076" t="s">
        <v>2089</v>
      </c>
    </row>
    <row r="1077" spans="1:23" ht="13.15" customHeight="1" x14ac:dyDescent="0.2">
      <c r="A1077" s="2" t="s">
        <v>2241</v>
      </c>
      <c r="B1077" s="2">
        <f t="shared" si="32"/>
        <v>2019</v>
      </c>
      <c r="C1077" s="2" t="str">
        <f t="shared" si="33"/>
        <v>EC101</v>
      </c>
      <c r="D1077" s="2">
        <v>459</v>
      </c>
      <c r="F1077" s="1764"/>
      <c r="G1077" s="1764"/>
      <c r="H1077" s="1764"/>
      <c r="I1077" s="1764"/>
      <c r="J1077" s="1764"/>
      <c r="K1077" s="1764"/>
      <c r="L1077" s="1764"/>
      <c r="M1077" s="1765"/>
      <c r="N1077" s="1765"/>
      <c r="O1077" s="1765"/>
      <c r="P1077" s="1765"/>
      <c r="Q1077" s="1765"/>
      <c r="W1077" t="s">
        <v>2089</v>
      </c>
    </row>
    <row r="1078" spans="1:23" ht="13.15" customHeight="1" x14ac:dyDescent="0.2">
      <c r="A1078" s="2" t="s">
        <v>2241</v>
      </c>
      <c r="B1078" s="2">
        <f t="shared" si="32"/>
        <v>2019</v>
      </c>
      <c r="C1078" s="2" t="str">
        <f t="shared" si="33"/>
        <v>EC101</v>
      </c>
      <c r="D1078" s="2">
        <v>460</v>
      </c>
      <c r="F1078" s="1764"/>
      <c r="G1078" s="1764"/>
      <c r="H1078" s="1764"/>
      <c r="I1078" s="1764"/>
      <c r="J1078" s="1764"/>
      <c r="K1078" s="1764"/>
      <c r="L1078" s="1764"/>
      <c r="M1078" s="1765"/>
      <c r="N1078" s="1765"/>
      <c r="O1078" s="1765"/>
      <c r="P1078" s="1765"/>
      <c r="Q1078" s="1765"/>
      <c r="W1078" t="s">
        <v>2089</v>
      </c>
    </row>
    <row r="1079" spans="1:23" ht="13.15" customHeight="1" x14ac:dyDescent="0.2">
      <c r="A1079" s="2" t="s">
        <v>2241</v>
      </c>
      <c r="B1079" s="2">
        <f t="shared" si="32"/>
        <v>2019</v>
      </c>
      <c r="C1079" s="2" t="str">
        <f t="shared" si="33"/>
        <v>EC101</v>
      </c>
      <c r="D1079" s="2">
        <v>461</v>
      </c>
      <c r="F1079" s="1764"/>
      <c r="G1079" s="1764"/>
      <c r="H1079" s="1764"/>
      <c r="I1079" s="1764"/>
      <c r="J1079" s="1764"/>
      <c r="K1079" s="1764"/>
      <c r="L1079" s="1764"/>
      <c r="M1079" s="1765"/>
      <c r="N1079" s="1765"/>
      <c r="O1079" s="1765"/>
      <c r="P1079" s="1765"/>
      <c r="Q1079" s="1765"/>
      <c r="W1079" t="s">
        <v>2089</v>
      </c>
    </row>
    <row r="1080" spans="1:23" ht="13.15" customHeight="1" x14ac:dyDescent="0.2">
      <c r="A1080" s="2" t="s">
        <v>2241</v>
      </c>
      <c r="B1080" s="2">
        <f t="shared" si="32"/>
        <v>2019</v>
      </c>
      <c r="C1080" s="2" t="str">
        <f t="shared" si="33"/>
        <v>EC101</v>
      </c>
      <c r="D1080" s="2">
        <v>462</v>
      </c>
      <c r="F1080" s="1764"/>
      <c r="G1080" s="1764"/>
      <c r="H1080" s="1764"/>
      <c r="I1080" s="1764"/>
      <c r="J1080" s="1764"/>
      <c r="K1080" s="1764"/>
      <c r="L1080" s="1764"/>
      <c r="M1080" s="1765"/>
      <c r="N1080" s="1765"/>
      <c r="O1080" s="1765"/>
      <c r="P1080" s="1765"/>
      <c r="Q1080" s="1765"/>
      <c r="W1080" t="s">
        <v>2089</v>
      </c>
    </row>
    <row r="1081" spans="1:23" ht="13.15" customHeight="1" x14ac:dyDescent="0.2">
      <c r="A1081" s="2" t="s">
        <v>2241</v>
      </c>
      <c r="B1081" s="2">
        <f t="shared" si="32"/>
        <v>2019</v>
      </c>
      <c r="C1081" s="2" t="str">
        <f t="shared" si="33"/>
        <v>EC101</v>
      </c>
      <c r="D1081" s="2">
        <v>463</v>
      </c>
      <c r="F1081" s="1764"/>
      <c r="G1081" s="1764"/>
      <c r="H1081" s="1764"/>
      <c r="I1081" s="1764"/>
      <c r="J1081" s="1764"/>
      <c r="K1081" s="1764"/>
      <c r="L1081" s="1764"/>
      <c r="M1081" s="1765"/>
      <c r="N1081" s="1765"/>
      <c r="O1081" s="1765"/>
      <c r="P1081" s="1765"/>
      <c r="Q1081" s="1765"/>
      <c r="W1081" t="s">
        <v>2089</v>
      </c>
    </row>
    <row r="1082" spans="1:23" ht="13.15" customHeight="1" x14ac:dyDescent="0.2">
      <c r="A1082" s="2" t="s">
        <v>2241</v>
      </c>
      <c r="B1082" s="2">
        <f t="shared" si="32"/>
        <v>2019</v>
      </c>
      <c r="C1082" s="2" t="str">
        <f t="shared" si="33"/>
        <v>EC101</v>
      </c>
      <c r="D1082" s="2">
        <v>464</v>
      </c>
      <c r="F1082" s="1764"/>
      <c r="G1082" s="1764"/>
      <c r="H1082" s="1764"/>
      <c r="I1082" s="1764"/>
      <c r="J1082" s="1764"/>
      <c r="K1082" s="1764"/>
      <c r="L1082" s="1764"/>
      <c r="M1082" s="1765"/>
      <c r="N1082" s="1765"/>
      <c r="O1082" s="1765"/>
      <c r="P1082" s="1765"/>
      <c r="Q1082" s="1765"/>
      <c r="W1082" t="s">
        <v>2089</v>
      </c>
    </row>
    <row r="1083" spans="1:23" ht="13.15" customHeight="1" x14ac:dyDescent="0.2">
      <c r="A1083" s="2" t="s">
        <v>2241</v>
      </c>
      <c r="B1083" s="2">
        <f t="shared" si="32"/>
        <v>2019</v>
      </c>
      <c r="C1083" s="2" t="str">
        <f t="shared" si="33"/>
        <v>EC101</v>
      </c>
      <c r="D1083" s="2">
        <v>465</v>
      </c>
      <c r="F1083" s="1764"/>
      <c r="G1083" s="1764"/>
      <c r="H1083" s="1764"/>
      <c r="I1083" s="1764"/>
      <c r="J1083" s="1764"/>
      <c r="K1083" s="1764"/>
      <c r="L1083" s="1764"/>
      <c r="M1083" s="1765"/>
      <c r="N1083" s="1765"/>
      <c r="O1083" s="1765"/>
      <c r="P1083" s="1765"/>
      <c r="Q1083" s="1765"/>
      <c r="W1083" t="s">
        <v>2089</v>
      </c>
    </row>
    <row r="1084" spans="1:23" ht="13.15" customHeight="1" x14ac:dyDescent="0.2">
      <c r="A1084" s="2" t="s">
        <v>2241</v>
      </c>
      <c r="B1084" s="2">
        <f t="shared" si="32"/>
        <v>2019</v>
      </c>
      <c r="C1084" s="2" t="str">
        <f t="shared" si="33"/>
        <v>EC101</v>
      </c>
      <c r="D1084" s="2">
        <v>466</v>
      </c>
      <c r="F1084" s="1764"/>
      <c r="G1084" s="1764"/>
      <c r="H1084" s="1764"/>
      <c r="I1084" s="1764"/>
      <c r="J1084" s="1764"/>
      <c r="K1084" s="1764"/>
      <c r="L1084" s="1764"/>
      <c r="M1084" s="1765"/>
      <c r="N1084" s="1765"/>
      <c r="O1084" s="1765"/>
      <c r="P1084" s="1765"/>
      <c r="Q1084" s="1765"/>
      <c r="W1084" t="s">
        <v>2089</v>
      </c>
    </row>
    <row r="1085" spans="1:23" ht="13.15" customHeight="1" x14ac:dyDescent="0.2">
      <c r="A1085" s="2" t="s">
        <v>2241</v>
      </c>
      <c r="B1085" s="2">
        <f t="shared" si="32"/>
        <v>2019</v>
      </c>
      <c r="C1085" s="2" t="str">
        <f t="shared" si="33"/>
        <v>EC101</v>
      </c>
      <c r="D1085" s="2">
        <v>467</v>
      </c>
      <c r="F1085" s="1764"/>
      <c r="G1085" s="1764"/>
      <c r="H1085" s="1764"/>
      <c r="I1085" s="1764"/>
      <c r="J1085" s="1764"/>
      <c r="K1085" s="1764"/>
      <c r="L1085" s="1764"/>
      <c r="M1085" s="1765"/>
      <c r="N1085" s="1765"/>
      <c r="O1085" s="1765"/>
      <c r="P1085" s="1765"/>
      <c r="Q1085" s="1765"/>
      <c r="W1085" t="s">
        <v>2089</v>
      </c>
    </row>
    <row r="1086" spans="1:23" ht="13.15" customHeight="1" x14ac:dyDescent="0.2">
      <c r="A1086" s="2" t="s">
        <v>2241</v>
      </c>
      <c r="B1086" s="2">
        <f t="shared" si="32"/>
        <v>2019</v>
      </c>
      <c r="C1086" s="2" t="str">
        <f t="shared" si="33"/>
        <v>EC101</v>
      </c>
      <c r="D1086" s="2">
        <v>468</v>
      </c>
      <c r="F1086" s="1764"/>
      <c r="G1086" s="1764"/>
      <c r="H1086" s="1764"/>
      <c r="I1086" s="1764"/>
      <c r="J1086" s="1764"/>
      <c r="K1086" s="1764"/>
      <c r="L1086" s="1764"/>
      <c r="M1086" s="1765"/>
      <c r="N1086" s="1765"/>
      <c r="O1086" s="1765"/>
      <c r="P1086" s="1765"/>
      <c r="Q1086" s="1765"/>
      <c r="W1086" t="s">
        <v>2089</v>
      </c>
    </row>
    <row r="1087" spans="1:23" ht="13.15" customHeight="1" x14ac:dyDescent="0.2">
      <c r="A1087" s="2" t="s">
        <v>2241</v>
      </c>
      <c r="B1087" s="2">
        <f t="shared" si="32"/>
        <v>2019</v>
      </c>
      <c r="C1087" s="2" t="str">
        <f t="shared" si="33"/>
        <v>EC101</v>
      </c>
      <c r="D1087" s="2">
        <v>469</v>
      </c>
      <c r="F1087" s="1764"/>
      <c r="G1087" s="1764"/>
      <c r="H1087" s="1764"/>
      <c r="I1087" s="1764"/>
      <c r="J1087" s="1764"/>
      <c r="K1087" s="1764"/>
      <c r="L1087" s="1764"/>
      <c r="M1087" s="1765"/>
      <c r="N1087" s="1765"/>
      <c r="O1087" s="1765"/>
      <c r="P1087" s="1765"/>
      <c r="Q1087" s="1765"/>
      <c r="W1087" t="s">
        <v>2089</v>
      </c>
    </row>
    <row r="1088" spans="1:23" ht="13.15" customHeight="1" x14ac:dyDescent="0.2">
      <c r="A1088" s="2" t="s">
        <v>2241</v>
      </c>
      <c r="B1088" s="2">
        <f t="shared" si="32"/>
        <v>2019</v>
      </c>
      <c r="C1088" s="2" t="str">
        <f t="shared" si="33"/>
        <v>EC101</v>
      </c>
      <c r="D1088" s="2">
        <v>470</v>
      </c>
      <c r="F1088" s="1764"/>
      <c r="G1088" s="1764"/>
      <c r="H1088" s="1764"/>
      <c r="I1088" s="1764"/>
      <c r="J1088" s="1764"/>
      <c r="K1088" s="1764"/>
      <c r="L1088" s="1764"/>
      <c r="M1088" s="1765"/>
      <c r="N1088" s="1765"/>
      <c r="O1088" s="1765"/>
      <c r="P1088" s="1765"/>
      <c r="Q1088" s="1765"/>
      <c r="W1088" t="s">
        <v>2089</v>
      </c>
    </row>
    <row r="1089" spans="1:23" ht="13.15" customHeight="1" x14ac:dyDescent="0.2">
      <c r="A1089" s="2" t="s">
        <v>2241</v>
      </c>
      <c r="B1089" s="2">
        <f t="shared" si="32"/>
        <v>2019</v>
      </c>
      <c r="C1089" s="2" t="str">
        <f t="shared" si="33"/>
        <v>EC101</v>
      </c>
      <c r="D1089" s="2">
        <v>471</v>
      </c>
      <c r="F1089" s="1764"/>
      <c r="G1089" s="1764"/>
      <c r="H1089" s="1764"/>
      <c r="I1089" s="1764"/>
      <c r="J1089" s="1764"/>
      <c r="K1089" s="1764"/>
      <c r="L1089" s="1764"/>
      <c r="M1089" s="1765"/>
      <c r="N1089" s="1765"/>
      <c r="O1089" s="1765"/>
      <c r="P1089" s="1765"/>
      <c r="Q1089" s="1765"/>
      <c r="W1089" t="s">
        <v>2089</v>
      </c>
    </row>
    <row r="1090" spans="1:23" ht="13.15" customHeight="1" x14ac:dyDescent="0.2">
      <c r="A1090" s="2" t="s">
        <v>2241</v>
      </c>
      <c r="B1090" s="2">
        <f t="shared" ref="B1090:B1153" si="34">+MTREF</f>
        <v>2019</v>
      </c>
      <c r="C1090" s="2" t="str">
        <f t="shared" ref="C1090:C1153" si="35">LEFT(muni,(FIND(" ",muni,1)-1))</f>
        <v>EC101</v>
      </c>
      <c r="D1090" s="2">
        <v>472</v>
      </c>
      <c r="F1090" s="1764"/>
      <c r="G1090" s="1764"/>
      <c r="H1090" s="1764"/>
      <c r="I1090" s="1764"/>
      <c r="J1090" s="1764"/>
      <c r="K1090" s="1764"/>
      <c r="L1090" s="1764"/>
      <c r="M1090" s="1765"/>
      <c r="N1090" s="1765"/>
      <c r="O1090" s="1765"/>
      <c r="P1090" s="1765"/>
      <c r="Q1090" s="1765"/>
      <c r="W1090" t="s">
        <v>2089</v>
      </c>
    </row>
    <row r="1091" spans="1:23" ht="13.15" customHeight="1" x14ac:dyDescent="0.2">
      <c r="A1091" s="2" t="s">
        <v>2241</v>
      </c>
      <c r="B1091" s="2">
        <f t="shared" si="34"/>
        <v>2019</v>
      </c>
      <c r="C1091" s="2" t="str">
        <f t="shared" si="35"/>
        <v>EC101</v>
      </c>
      <c r="D1091" s="2">
        <v>473</v>
      </c>
      <c r="F1091" s="1764"/>
      <c r="G1091" s="1764"/>
      <c r="H1091" s="1764"/>
      <c r="I1091" s="1764"/>
      <c r="J1091" s="1764"/>
      <c r="K1091" s="1764"/>
      <c r="L1091" s="1764"/>
      <c r="M1091" s="1765"/>
      <c r="N1091" s="1765"/>
      <c r="O1091" s="1765"/>
      <c r="P1091" s="1765"/>
      <c r="Q1091" s="1765"/>
      <c r="W1091" t="s">
        <v>2089</v>
      </c>
    </row>
    <row r="1092" spans="1:23" ht="13.15" customHeight="1" x14ac:dyDescent="0.2">
      <c r="A1092" s="2" t="s">
        <v>2241</v>
      </c>
      <c r="B1092" s="2">
        <f t="shared" si="34"/>
        <v>2019</v>
      </c>
      <c r="C1092" s="2" t="str">
        <f t="shared" si="35"/>
        <v>EC101</v>
      </c>
      <c r="D1092" s="2">
        <v>474</v>
      </c>
      <c r="F1092" s="1764"/>
      <c r="G1092" s="1764"/>
      <c r="H1092" s="1764"/>
      <c r="I1092" s="1764"/>
      <c r="J1092" s="1764"/>
      <c r="K1092" s="1764"/>
      <c r="L1092" s="1764"/>
      <c r="M1092" s="1765"/>
      <c r="N1092" s="1765"/>
      <c r="O1092" s="1765"/>
      <c r="P1092" s="1765"/>
      <c r="Q1092" s="1765"/>
      <c r="W1092" t="s">
        <v>2089</v>
      </c>
    </row>
    <row r="1093" spans="1:23" ht="13.15" customHeight="1" x14ac:dyDescent="0.2">
      <c r="A1093" s="2" t="s">
        <v>2241</v>
      </c>
      <c r="B1093" s="2">
        <f t="shared" si="34"/>
        <v>2019</v>
      </c>
      <c r="C1093" s="2" t="str">
        <f t="shared" si="35"/>
        <v>EC101</v>
      </c>
      <c r="D1093" s="2">
        <v>475</v>
      </c>
      <c r="F1093" s="1764"/>
      <c r="G1093" s="1764"/>
      <c r="H1093" s="1764"/>
      <c r="I1093" s="1764"/>
      <c r="J1093" s="1764"/>
      <c r="K1093" s="1764"/>
      <c r="L1093" s="1764"/>
      <c r="M1093" s="1765"/>
      <c r="N1093" s="1765"/>
      <c r="O1093" s="1765"/>
      <c r="P1093" s="1765"/>
      <c r="Q1093" s="1765"/>
      <c r="W1093" t="s">
        <v>2089</v>
      </c>
    </row>
    <row r="1094" spans="1:23" ht="13.15" customHeight="1" x14ac:dyDescent="0.2">
      <c r="A1094" s="2" t="s">
        <v>2241</v>
      </c>
      <c r="B1094" s="2">
        <f t="shared" si="34"/>
        <v>2019</v>
      </c>
      <c r="C1094" s="2" t="str">
        <f t="shared" si="35"/>
        <v>EC101</v>
      </c>
      <c r="D1094" s="2">
        <v>476</v>
      </c>
      <c r="F1094" s="1764"/>
      <c r="G1094" s="1764"/>
      <c r="H1094" s="1764"/>
      <c r="I1094" s="1764"/>
      <c r="J1094" s="1764"/>
      <c r="K1094" s="1764"/>
      <c r="L1094" s="1764"/>
      <c r="M1094" s="1765"/>
      <c r="N1094" s="1765"/>
      <c r="O1094" s="1765"/>
      <c r="P1094" s="1765"/>
      <c r="Q1094" s="1765"/>
      <c r="W1094" t="s">
        <v>2089</v>
      </c>
    </row>
    <row r="1095" spans="1:23" ht="13.15" customHeight="1" x14ac:dyDescent="0.2">
      <c r="A1095" s="2" t="s">
        <v>2241</v>
      </c>
      <c r="B1095" s="2">
        <f t="shared" si="34"/>
        <v>2019</v>
      </c>
      <c r="C1095" s="2" t="str">
        <f t="shared" si="35"/>
        <v>EC101</v>
      </c>
      <c r="D1095" s="2">
        <v>477</v>
      </c>
      <c r="F1095" s="1764"/>
      <c r="G1095" s="1764"/>
      <c r="H1095" s="1764"/>
      <c r="I1095" s="1764"/>
      <c r="J1095" s="1764"/>
      <c r="K1095" s="1764"/>
      <c r="L1095" s="1764"/>
      <c r="M1095" s="1765"/>
      <c r="N1095" s="1765"/>
      <c r="O1095" s="1765"/>
      <c r="P1095" s="1765"/>
      <c r="Q1095" s="1765"/>
      <c r="W1095" t="s">
        <v>2089</v>
      </c>
    </row>
    <row r="1096" spans="1:23" ht="13.15" customHeight="1" x14ac:dyDescent="0.2">
      <c r="A1096" s="2" t="s">
        <v>2241</v>
      </c>
      <c r="B1096" s="2">
        <f t="shared" si="34"/>
        <v>2019</v>
      </c>
      <c r="C1096" s="2" t="str">
        <f t="shared" si="35"/>
        <v>EC101</v>
      </c>
      <c r="D1096" s="2">
        <v>478</v>
      </c>
      <c r="F1096" s="1764"/>
      <c r="G1096" s="1764"/>
      <c r="H1096" s="1764"/>
      <c r="I1096" s="1764"/>
      <c r="J1096" s="1764"/>
      <c r="K1096" s="1764"/>
      <c r="L1096" s="1764"/>
      <c r="M1096" s="1765"/>
      <c r="N1096" s="1765"/>
      <c r="O1096" s="1765"/>
      <c r="P1096" s="1765"/>
      <c r="Q1096" s="1765"/>
      <c r="W1096" t="s">
        <v>2089</v>
      </c>
    </row>
    <row r="1097" spans="1:23" ht="13.15" customHeight="1" x14ac:dyDescent="0.2">
      <c r="A1097" s="2" t="s">
        <v>2241</v>
      </c>
      <c r="B1097" s="2">
        <f t="shared" si="34"/>
        <v>2019</v>
      </c>
      <c r="C1097" s="2" t="str">
        <f t="shared" si="35"/>
        <v>EC101</v>
      </c>
      <c r="D1097" s="2">
        <v>479</v>
      </c>
      <c r="F1097" s="1764"/>
      <c r="G1097" s="1764"/>
      <c r="H1097" s="1764"/>
      <c r="I1097" s="1764"/>
      <c r="J1097" s="1764"/>
      <c r="K1097" s="1764"/>
      <c r="L1097" s="1764"/>
      <c r="M1097" s="1765"/>
      <c r="N1097" s="1765"/>
      <c r="O1097" s="1765"/>
      <c r="P1097" s="1765"/>
      <c r="Q1097" s="1765"/>
      <c r="W1097" t="s">
        <v>2089</v>
      </c>
    </row>
    <row r="1098" spans="1:23" ht="13.15" customHeight="1" x14ac:dyDescent="0.2">
      <c r="A1098" s="2" t="s">
        <v>2241</v>
      </c>
      <c r="B1098" s="2">
        <f t="shared" si="34"/>
        <v>2019</v>
      </c>
      <c r="C1098" s="2" t="str">
        <f t="shared" si="35"/>
        <v>EC101</v>
      </c>
      <c r="D1098" s="2">
        <v>480</v>
      </c>
      <c r="F1098" s="1764"/>
      <c r="G1098" s="1764"/>
      <c r="H1098" s="1764"/>
      <c r="I1098" s="1764"/>
      <c r="J1098" s="1764"/>
      <c r="K1098" s="1764"/>
      <c r="L1098" s="1764"/>
      <c r="M1098" s="1765"/>
      <c r="N1098" s="1765"/>
      <c r="O1098" s="1765"/>
      <c r="P1098" s="1765"/>
      <c r="Q1098" s="1765"/>
      <c r="W1098" t="s">
        <v>2089</v>
      </c>
    </row>
    <row r="1099" spans="1:23" ht="13.15" customHeight="1" x14ac:dyDescent="0.2">
      <c r="A1099" s="2" t="s">
        <v>2241</v>
      </c>
      <c r="B1099" s="2">
        <f t="shared" si="34"/>
        <v>2019</v>
      </c>
      <c r="C1099" s="2" t="str">
        <f t="shared" si="35"/>
        <v>EC101</v>
      </c>
      <c r="D1099" s="2">
        <v>481</v>
      </c>
      <c r="F1099" s="1764"/>
      <c r="G1099" s="1764"/>
      <c r="H1099" s="1764"/>
      <c r="I1099" s="1764"/>
      <c r="J1099" s="1764"/>
      <c r="K1099" s="1764"/>
      <c r="L1099" s="1764"/>
      <c r="M1099" s="1765"/>
      <c r="N1099" s="1765"/>
      <c r="O1099" s="1765"/>
      <c r="P1099" s="1765"/>
      <c r="Q1099" s="1765"/>
      <c r="W1099" t="s">
        <v>2089</v>
      </c>
    </row>
    <row r="1100" spans="1:23" ht="13.15" customHeight="1" x14ac:dyDescent="0.2">
      <c r="A1100" s="2" t="s">
        <v>2241</v>
      </c>
      <c r="B1100" s="2">
        <f t="shared" si="34"/>
        <v>2019</v>
      </c>
      <c r="C1100" s="2" t="str">
        <f t="shared" si="35"/>
        <v>EC101</v>
      </c>
      <c r="D1100" s="2">
        <v>482</v>
      </c>
      <c r="F1100" s="1764"/>
      <c r="G1100" s="1764"/>
      <c r="H1100" s="1764"/>
      <c r="I1100" s="1764"/>
      <c r="J1100" s="1764"/>
      <c r="K1100" s="1764"/>
      <c r="L1100" s="1764"/>
      <c r="M1100" s="1765"/>
      <c r="N1100" s="1765"/>
      <c r="O1100" s="1765"/>
      <c r="P1100" s="1765"/>
      <c r="Q1100" s="1765"/>
      <c r="W1100" t="s">
        <v>2089</v>
      </c>
    </row>
    <row r="1101" spans="1:23" ht="13.15" customHeight="1" x14ac:dyDescent="0.2">
      <c r="A1101" s="2" t="s">
        <v>2241</v>
      </c>
      <c r="B1101" s="2">
        <f t="shared" si="34"/>
        <v>2019</v>
      </c>
      <c r="C1101" s="2" t="str">
        <f t="shared" si="35"/>
        <v>EC101</v>
      </c>
      <c r="D1101" s="2">
        <v>483</v>
      </c>
      <c r="F1101" s="1764"/>
      <c r="G1101" s="1764"/>
      <c r="H1101" s="1764"/>
      <c r="I1101" s="1764"/>
      <c r="J1101" s="1764"/>
      <c r="K1101" s="1764"/>
      <c r="L1101" s="1764"/>
      <c r="M1101" s="1765"/>
      <c r="N1101" s="1765"/>
      <c r="O1101" s="1765"/>
      <c r="P1101" s="1765"/>
      <c r="Q1101" s="1765"/>
      <c r="W1101" t="s">
        <v>2089</v>
      </c>
    </row>
    <row r="1102" spans="1:23" ht="13.15" customHeight="1" x14ac:dyDescent="0.2">
      <c r="A1102" s="2" t="s">
        <v>2241</v>
      </c>
      <c r="B1102" s="2">
        <f t="shared" si="34"/>
        <v>2019</v>
      </c>
      <c r="C1102" s="2" t="str">
        <f t="shared" si="35"/>
        <v>EC101</v>
      </c>
      <c r="D1102" s="2">
        <v>484</v>
      </c>
      <c r="F1102" s="1764"/>
      <c r="G1102" s="1764"/>
      <c r="H1102" s="1764"/>
      <c r="I1102" s="1764"/>
      <c r="J1102" s="1764"/>
      <c r="K1102" s="1764"/>
      <c r="L1102" s="1764"/>
      <c r="M1102" s="1765"/>
      <c r="N1102" s="1765"/>
      <c r="O1102" s="1765"/>
      <c r="P1102" s="1765"/>
      <c r="Q1102" s="1765"/>
      <c r="W1102" t="s">
        <v>2089</v>
      </c>
    </row>
    <row r="1103" spans="1:23" ht="13.15" customHeight="1" x14ac:dyDescent="0.2">
      <c r="A1103" s="2" t="s">
        <v>2241</v>
      </c>
      <c r="B1103" s="2">
        <f t="shared" si="34"/>
        <v>2019</v>
      </c>
      <c r="C1103" s="2" t="str">
        <f t="shared" si="35"/>
        <v>EC101</v>
      </c>
      <c r="D1103" s="2">
        <v>485</v>
      </c>
      <c r="F1103" s="1764"/>
      <c r="G1103" s="1764"/>
      <c r="H1103" s="1764"/>
      <c r="I1103" s="1764"/>
      <c r="J1103" s="1764"/>
      <c r="K1103" s="1764"/>
      <c r="L1103" s="1764"/>
      <c r="M1103" s="1765"/>
      <c r="N1103" s="1765"/>
      <c r="O1103" s="1765"/>
      <c r="P1103" s="1765"/>
      <c r="Q1103" s="1765"/>
      <c r="W1103" t="s">
        <v>2089</v>
      </c>
    </row>
    <row r="1104" spans="1:23" ht="13.15" customHeight="1" x14ac:dyDescent="0.2">
      <c r="A1104" s="2" t="s">
        <v>2241</v>
      </c>
      <c r="B1104" s="2">
        <f t="shared" si="34"/>
        <v>2019</v>
      </c>
      <c r="C1104" s="2" t="str">
        <f t="shared" si="35"/>
        <v>EC101</v>
      </c>
      <c r="D1104" s="2">
        <v>486</v>
      </c>
      <c r="F1104" s="1764"/>
      <c r="G1104" s="1764"/>
      <c r="H1104" s="1764"/>
      <c r="I1104" s="1764"/>
      <c r="J1104" s="1764"/>
      <c r="K1104" s="1764"/>
      <c r="L1104" s="1764"/>
      <c r="M1104" s="1765"/>
      <c r="N1104" s="1765"/>
      <c r="O1104" s="1765"/>
      <c r="P1104" s="1765"/>
      <c r="Q1104" s="1765"/>
      <c r="W1104" t="s">
        <v>2089</v>
      </c>
    </row>
    <row r="1105" spans="1:23" ht="13.15" customHeight="1" x14ac:dyDescent="0.2">
      <c r="A1105" s="2" t="s">
        <v>2241</v>
      </c>
      <c r="B1105" s="2">
        <f t="shared" si="34"/>
        <v>2019</v>
      </c>
      <c r="C1105" s="2" t="str">
        <f t="shared" si="35"/>
        <v>EC101</v>
      </c>
      <c r="D1105" s="2">
        <v>487</v>
      </c>
      <c r="F1105" s="1764"/>
      <c r="G1105" s="1764"/>
      <c r="H1105" s="1764"/>
      <c r="I1105" s="1764"/>
      <c r="J1105" s="1764"/>
      <c r="K1105" s="1764"/>
      <c r="L1105" s="1764"/>
      <c r="M1105" s="1765"/>
      <c r="N1105" s="1765"/>
      <c r="O1105" s="1765"/>
      <c r="P1105" s="1765"/>
      <c r="Q1105" s="1765"/>
      <c r="W1105" t="s">
        <v>2089</v>
      </c>
    </row>
    <row r="1106" spans="1:23" ht="13.15" customHeight="1" x14ac:dyDescent="0.2">
      <c r="A1106" s="2" t="s">
        <v>2241</v>
      </c>
      <c r="B1106" s="2">
        <f t="shared" si="34"/>
        <v>2019</v>
      </c>
      <c r="C1106" s="2" t="str">
        <f t="shared" si="35"/>
        <v>EC101</v>
      </c>
      <c r="D1106" s="2">
        <v>488</v>
      </c>
      <c r="F1106" s="1764"/>
      <c r="G1106" s="1764"/>
      <c r="H1106" s="1764"/>
      <c r="I1106" s="1764"/>
      <c r="J1106" s="1764"/>
      <c r="K1106" s="1764"/>
      <c r="L1106" s="1764"/>
      <c r="M1106" s="1765"/>
      <c r="N1106" s="1765"/>
      <c r="O1106" s="1765"/>
      <c r="P1106" s="1765"/>
      <c r="Q1106" s="1765"/>
      <c r="W1106" t="s">
        <v>2089</v>
      </c>
    </row>
    <row r="1107" spans="1:23" ht="13.15" customHeight="1" x14ac:dyDescent="0.2">
      <c r="A1107" s="2" t="s">
        <v>2241</v>
      </c>
      <c r="B1107" s="2">
        <f t="shared" si="34"/>
        <v>2019</v>
      </c>
      <c r="C1107" s="2" t="str">
        <f t="shared" si="35"/>
        <v>EC101</v>
      </c>
      <c r="D1107" s="2">
        <v>489</v>
      </c>
      <c r="F1107" s="1764"/>
      <c r="G1107" s="1764"/>
      <c r="H1107" s="1764"/>
      <c r="I1107" s="1764"/>
      <c r="J1107" s="1764"/>
      <c r="K1107" s="1764"/>
      <c r="L1107" s="1764"/>
      <c r="M1107" s="1765"/>
      <c r="N1107" s="1765"/>
      <c r="O1107" s="1765"/>
      <c r="P1107" s="1765"/>
      <c r="Q1107" s="1765"/>
      <c r="W1107" t="s">
        <v>2089</v>
      </c>
    </row>
    <row r="1108" spans="1:23" ht="13.15" customHeight="1" x14ac:dyDescent="0.2">
      <c r="A1108" s="2" t="s">
        <v>2241</v>
      </c>
      <c r="B1108" s="2">
        <f t="shared" si="34"/>
        <v>2019</v>
      </c>
      <c r="C1108" s="2" t="str">
        <f t="shared" si="35"/>
        <v>EC101</v>
      </c>
      <c r="D1108" s="2">
        <v>490</v>
      </c>
      <c r="F1108" s="1764"/>
      <c r="G1108" s="1764"/>
      <c r="H1108" s="1764"/>
      <c r="I1108" s="1764"/>
      <c r="J1108" s="1764"/>
      <c r="K1108" s="1764"/>
      <c r="L1108" s="1764"/>
      <c r="M1108" s="1765"/>
      <c r="N1108" s="1765"/>
      <c r="O1108" s="1765"/>
      <c r="P1108" s="1765"/>
      <c r="Q1108" s="1765"/>
      <c r="W1108" t="s">
        <v>2089</v>
      </c>
    </row>
    <row r="1109" spans="1:23" ht="13.15" customHeight="1" x14ac:dyDescent="0.2">
      <c r="A1109" s="2" t="s">
        <v>2241</v>
      </c>
      <c r="B1109" s="2">
        <f t="shared" si="34"/>
        <v>2019</v>
      </c>
      <c r="C1109" s="2" t="str">
        <f t="shared" si="35"/>
        <v>EC101</v>
      </c>
      <c r="D1109" s="2">
        <v>491</v>
      </c>
      <c r="F1109" s="1764"/>
      <c r="G1109" s="1764"/>
      <c r="H1109" s="1764"/>
      <c r="I1109" s="1764"/>
      <c r="J1109" s="1764"/>
      <c r="K1109" s="1764"/>
      <c r="L1109" s="1764"/>
      <c r="M1109" s="1765"/>
      <c r="N1109" s="1765"/>
      <c r="O1109" s="1765"/>
      <c r="P1109" s="1765"/>
      <c r="Q1109" s="1765"/>
      <c r="W1109" t="s">
        <v>2089</v>
      </c>
    </row>
    <row r="1110" spans="1:23" ht="13.15" customHeight="1" x14ac:dyDescent="0.2">
      <c r="A1110" s="2" t="s">
        <v>2241</v>
      </c>
      <c r="B1110" s="2">
        <f t="shared" si="34"/>
        <v>2019</v>
      </c>
      <c r="C1110" s="2" t="str">
        <f t="shared" si="35"/>
        <v>EC101</v>
      </c>
      <c r="D1110" s="2">
        <v>492</v>
      </c>
      <c r="F1110" s="1764"/>
      <c r="G1110" s="1764"/>
      <c r="H1110" s="1764"/>
      <c r="I1110" s="1764"/>
      <c r="J1110" s="1764"/>
      <c r="K1110" s="1764"/>
      <c r="L1110" s="1764"/>
      <c r="M1110" s="1765"/>
      <c r="N1110" s="1765"/>
      <c r="O1110" s="1765"/>
      <c r="P1110" s="1765"/>
      <c r="Q1110" s="1765"/>
      <c r="W1110" t="s">
        <v>2089</v>
      </c>
    </row>
    <row r="1111" spans="1:23" ht="13.15" customHeight="1" x14ac:dyDescent="0.2">
      <c r="A1111" s="2" t="s">
        <v>2241</v>
      </c>
      <c r="B1111" s="2">
        <f t="shared" si="34"/>
        <v>2019</v>
      </c>
      <c r="C1111" s="2" t="str">
        <f t="shared" si="35"/>
        <v>EC101</v>
      </c>
      <c r="D1111" s="2">
        <v>493</v>
      </c>
      <c r="F1111" s="1764"/>
      <c r="G1111" s="1764"/>
      <c r="H1111" s="1764"/>
      <c r="I1111" s="1764"/>
      <c r="J1111" s="1764"/>
      <c r="K1111" s="1764"/>
      <c r="L1111" s="1764"/>
      <c r="M1111" s="1765"/>
      <c r="N1111" s="1765"/>
      <c r="O1111" s="1765"/>
      <c r="P1111" s="1765"/>
      <c r="Q1111" s="1765"/>
      <c r="W1111" t="s">
        <v>2089</v>
      </c>
    </row>
    <row r="1112" spans="1:23" ht="13.15" customHeight="1" x14ac:dyDescent="0.2">
      <c r="A1112" s="2" t="s">
        <v>2241</v>
      </c>
      <c r="B1112" s="2">
        <f t="shared" si="34"/>
        <v>2019</v>
      </c>
      <c r="C1112" s="2" t="str">
        <f t="shared" si="35"/>
        <v>EC101</v>
      </c>
      <c r="D1112" s="2">
        <v>494</v>
      </c>
      <c r="F1112" s="1764"/>
      <c r="G1112" s="1764"/>
      <c r="H1112" s="1764"/>
      <c r="I1112" s="1764"/>
      <c r="J1112" s="1764"/>
      <c r="K1112" s="1764"/>
      <c r="L1112" s="1764"/>
      <c r="M1112" s="1765"/>
      <c r="N1112" s="1765"/>
      <c r="O1112" s="1765"/>
      <c r="P1112" s="1765"/>
      <c r="Q1112" s="1765"/>
      <c r="W1112" t="s">
        <v>2089</v>
      </c>
    </row>
    <row r="1113" spans="1:23" ht="13.15" customHeight="1" x14ac:dyDescent="0.2">
      <c r="A1113" s="2" t="s">
        <v>2241</v>
      </c>
      <c r="B1113" s="2">
        <f t="shared" si="34"/>
        <v>2019</v>
      </c>
      <c r="C1113" s="2" t="str">
        <f t="shared" si="35"/>
        <v>EC101</v>
      </c>
      <c r="D1113" s="2">
        <v>495</v>
      </c>
      <c r="F1113" s="1764"/>
      <c r="G1113" s="1764"/>
      <c r="H1113" s="1764"/>
      <c r="I1113" s="1764"/>
      <c r="J1113" s="1764"/>
      <c r="K1113" s="1764"/>
      <c r="L1113" s="1764"/>
      <c r="M1113" s="1765"/>
      <c r="N1113" s="1765"/>
      <c r="O1113" s="1765"/>
      <c r="P1113" s="1765"/>
      <c r="Q1113" s="1765"/>
      <c r="W1113" t="s">
        <v>2089</v>
      </c>
    </row>
    <row r="1114" spans="1:23" ht="13.15" customHeight="1" x14ac:dyDescent="0.2">
      <c r="A1114" s="2" t="s">
        <v>2241</v>
      </c>
      <c r="B1114" s="2">
        <f t="shared" si="34"/>
        <v>2019</v>
      </c>
      <c r="C1114" s="2" t="str">
        <f t="shared" si="35"/>
        <v>EC101</v>
      </c>
      <c r="D1114" s="2">
        <v>496</v>
      </c>
      <c r="F1114" s="1764"/>
      <c r="G1114" s="1764"/>
      <c r="H1114" s="1764"/>
      <c r="I1114" s="1764"/>
      <c r="J1114" s="1764"/>
      <c r="K1114" s="1764"/>
      <c r="L1114" s="1764"/>
      <c r="M1114" s="1765"/>
      <c r="N1114" s="1765"/>
      <c r="O1114" s="1765"/>
      <c r="P1114" s="1765"/>
      <c r="Q1114" s="1765"/>
      <c r="W1114" t="s">
        <v>2089</v>
      </c>
    </row>
    <row r="1115" spans="1:23" ht="13.15" customHeight="1" x14ac:dyDescent="0.2">
      <c r="A1115" s="2" t="s">
        <v>2241</v>
      </c>
      <c r="B1115" s="2">
        <f t="shared" si="34"/>
        <v>2019</v>
      </c>
      <c r="C1115" s="2" t="str">
        <f t="shared" si="35"/>
        <v>EC101</v>
      </c>
      <c r="D1115" s="2">
        <v>497</v>
      </c>
      <c r="F1115" s="1764"/>
      <c r="G1115" s="1764"/>
      <c r="H1115" s="1764"/>
      <c r="I1115" s="1764"/>
      <c r="J1115" s="1764"/>
      <c r="K1115" s="1764"/>
      <c r="L1115" s="1764"/>
      <c r="M1115" s="1765"/>
      <c r="N1115" s="1765"/>
      <c r="O1115" s="1765"/>
      <c r="P1115" s="1765"/>
      <c r="Q1115" s="1765"/>
      <c r="W1115" t="s">
        <v>2089</v>
      </c>
    </row>
    <row r="1116" spans="1:23" ht="13.15" customHeight="1" x14ac:dyDescent="0.2">
      <c r="A1116" s="2" t="s">
        <v>2241</v>
      </c>
      <c r="B1116" s="2">
        <f t="shared" si="34"/>
        <v>2019</v>
      </c>
      <c r="C1116" s="2" t="str">
        <f t="shared" si="35"/>
        <v>EC101</v>
      </c>
      <c r="D1116" s="2">
        <v>498</v>
      </c>
      <c r="F1116" s="1764"/>
      <c r="G1116" s="1764"/>
      <c r="H1116" s="1764"/>
      <c r="I1116" s="1764"/>
      <c r="J1116" s="1764"/>
      <c r="K1116" s="1764"/>
      <c r="L1116" s="1764"/>
      <c r="M1116" s="1765"/>
      <c r="N1116" s="1765"/>
      <c r="O1116" s="1765"/>
      <c r="P1116" s="1765"/>
      <c r="Q1116" s="1765"/>
      <c r="W1116" t="s">
        <v>2089</v>
      </c>
    </row>
    <row r="1117" spans="1:23" ht="13.15" customHeight="1" x14ac:dyDescent="0.2">
      <c r="A1117" s="2" t="s">
        <v>2241</v>
      </c>
      <c r="B1117" s="2">
        <f t="shared" si="34"/>
        <v>2019</v>
      </c>
      <c r="C1117" s="2" t="str">
        <f t="shared" si="35"/>
        <v>EC101</v>
      </c>
      <c r="D1117" s="2">
        <v>499</v>
      </c>
      <c r="F1117" s="1764"/>
      <c r="G1117" s="1764"/>
      <c r="H1117" s="1764"/>
      <c r="I1117" s="1764"/>
      <c r="J1117" s="1764"/>
      <c r="K1117" s="1764"/>
      <c r="L1117" s="1764"/>
      <c r="M1117" s="1765"/>
      <c r="N1117" s="1765"/>
      <c r="O1117" s="1765"/>
      <c r="P1117" s="1765"/>
      <c r="Q1117" s="1765"/>
      <c r="W1117" t="s">
        <v>2089</v>
      </c>
    </row>
    <row r="1118" spans="1:23" ht="13.15" customHeight="1" x14ac:dyDescent="0.2">
      <c r="A1118" s="2" t="s">
        <v>2241</v>
      </c>
      <c r="B1118" s="2">
        <f t="shared" si="34"/>
        <v>2019</v>
      </c>
      <c r="C1118" s="2" t="str">
        <f t="shared" si="35"/>
        <v>EC101</v>
      </c>
      <c r="D1118" s="2">
        <v>500</v>
      </c>
      <c r="F1118" s="1764"/>
      <c r="G1118" s="1764"/>
      <c r="H1118" s="1764"/>
      <c r="I1118" s="1764"/>
      <c r="J1118" s="1764"/>
      <c r="K1118" s="1764"/>
      <c r="L1118" s="1764"/>
      <c r="M1118" s="1765"/>
      <c r="N1118" s="1765"/>
      <c r="O1118" s="1765"/>
      <c r="P1118" s="1765"/>
      <c r="Q1118" s="1765"/>
      <c r="W1118" t="s">
        <v>2089</v>
      </c>
    </row>
    <row r="1119" spans="1:23" ht="13.15" customHeight="1" x14ac:dyDescent="0.2">
      <c r="A1119" s="2" t="s">
        <v>2241</v>
      </c>
      <c r="B1119" s="2">
        <f t="shared" si="34"/>
        <v>2019</v>
      </c>
      <c r="C1119" s="2" t="str">
        <f t="shared" si="35"/>
        <v>EC101</v>
      </c>
      <c r="D1119" s="2">
        <v>501</v>
      </c>
      <c r="F1119" s="1764"/>
      <c r="G1119" s="1764"/>
      <c r="H1119" s="1764"/>
      <c r="I1119" s="1764"/>
      <c r="J1119" s="1764"/>
      <c r="K1119" s="1764"/>
      <c r="L1119" s="1764"/>
      <c r="M1119" s="1765"/>
      <c r="N1119" s="1765"/>
      <c r="O1119" s="1765"/>
      <c r="P1119" s="1765"/>
      <c r="Q1119" s="1765"/>
      <c r="W1119" t="s">
        <v>2089</v>
      </c>
    </row>
    <row r="1120" spans="1:23" ht="13.15" customHeight="1" x14ac:dyDescent="0.2">
      <c r="A1120" s="2" t="s">
        <v>2241</v>
      </c>
      <c r="B1120" s="2">
        <f t="shared" si="34"/>
        <v>2019</v>
      </c>
      <c r="C1120" s="2" t="str">
        <f t="shared" si="35"/>
        <v>EC101</v>
      </c>
      <c r="D1120" s="2">
        <v>502</v>
      </c>
      <c r="F1120" s="1764"/>
      <c r="G1120" s="1764"/>
      <c r="H1120" s="1764"/>
      <c r="I1120" s="1764"/>
      <c r="J1120" s="1764"/>
      <c r="K1120" s="1764"/>
      <c r="L1120" s="1764"/>
      <c r="M1120" s="1765"/>
      <c r="N1120" s="1765"/>
      <c r="O1120" s="1765"/>
      <c r="P1120" s="1765"/>
      <c r="Q1120" s="1765"/>
      <c r="W1120" t="s">
        <v>2089</v>
      </c>
    </row>
    <row r="1121" spans="1:23" ht="13.15" customHeight="1" x14ac:dyDescent="0.2">
      <c r="A1121" s="2" t="s">
        <v>2241</v>
      </c>
      <c r="B1121" s="2">
        <f t="shared" si="34"/>
        <v>2019</v>
      </c>
      <c r="C1121" s="2" t="str">
        <f t="shared" si="35"/>
        <v>EC101</v>
      </c>
      <c r="D1121" s="2">
        <v>503</v>
      </c>
      <c r="F1121" s="1764"/>
      <c r="G1121" s="1764"/>
      <c r="H1121" s="1764"/>
      <c r="I1121" s="1764"/>
      <c r="J1121" s="1764"/>
      <c r="K1121" s="1764"/>
      <c r="L1121" s="1764"/>
      <c r="M1121" s="1765"/>
      <c r="N1121" s="1765"/>
      <c r="O1121" s="1765"/>
      <c r="P1121" s="1765"/>
      <c r="Q1121" s="1765"/>
      <c r="W1121" t="s">
        <v>2089</v>
      </c>
    </row>
    <row r="1122" spans="1:23" ht="13.15" customHeight="1" x14ac:dyDescent="0.2">
      <c r="A1122" s="2" t="s">
        <v>2241</v>
      </c>
      <c r="B1122" s="2">
        <f t="shared" si="34"/>
        <v>2019</v>
      </c>
      <c r="C1122" s="2" t="str">
        <f t="shared" si="35"/>
        <v>EC101</v>
      </c>
      <c r="D1122" s="2">
        <v>504</v>
      </c>
      <c r="F1122" s="1764"/>
      <c r="G1122" s="1764"/>
      <c r="H1122" s="1764"/>
      <c r="I1122" s="1764"/>
      <c r="J1122" s="1764"/>
      <c r="K1122" s="1764"/>
      <c r="L1122" s="1764"/>
      <c r="M1122" s="1765"/>
      <c r="N1122" s="1765"/>
      <c r="O1122" s="1765"/>
      <c r="P1122" s="1765"/>
      <c r="Q1122" s="1765"/>
      <c r="W1122" t="s">
        <v>2089</v>
      </c>
    </row>
    <row r="1123" spans="1:23" ht="13.15" customHeight="1" x14ac:dyDescent="0.2">
      <c r="A1123" s="2" t="s">
        <v>2241</v>
      </c>
      <c r="B1123" s="2">
        <f t="shared" si="34"/>
        <v>2019</v>
      </c>
      <c r="C1123" s="2" t="str">
        <f t="shared" si="35"/>
        <v>EC101</v>
      </c>
      <c r="D1123" s="2">
        <v>505</v>
      </c>
      <c r="F1123" s="1764"/>
      <c r="G1123" s="1764"/>
      <c r="H1123" s="1764"/>
      <c r="I1123" s="1764"/>
      <c r="J1123" s="1764"/>
      <c r="K1123" s="1764"/>
      <c r="L1123" s="1764"/>
      <c r="M1123" s="1765"/>
      <c r="N1123" s="1765"/>
      <c r="O1123" s="1765"/>
      <c r="P1123" s="1765"/>
      <c r="Q1123" s="1765"/>
      <c r="W1123" t="s">
        <v>2089</v>
      </c>
    </row>
    <row r="1124" spans="1:23" ht="13.15" customHeight="1" x14ac:dyDescent="0.2">
      <c r="A1124" s="2" t="s">
        <v>2241</v>
      </c>
      <c r="B1124" s="2">
        <f t="shared" si="34"/>
        <v>2019</v>
      </c>
      <c r="C1124" s="2" t="str">
        <f t="shared" si="35"/>
        <v>EC101</v>
      </c>
      <c r="D1124" s="2">
        <v>506</v>
      </c>
      <c r="F1124" s="1764"/>
      <c r="G1124" s="1764"/>
      <c r="H1124" s="1764"/>
      <c r="I1124" s="1764"/>
      <c r="J1124" s="1764"/>
      <c r="K1124" s="1764"/>
      <c r="L1124" s="1764"/>
      <c r="M1124" s="1765"/>
      <c r="N1124" s="1765"/>
      <c r="O1124" s="1765"/>
      <c r="P1124" s="1765"/>
      <c r="Q1124" s="1765"/>
      <c r="W1124" t="s">
        <v>2089</v>
      </c>
    </row>
    <row r="1125" spans="1:23" ht="13.15" customHeight="1" x14ac:dyDescent="0.2">
      <c r="A1125" s="2" t="s">
        <v>2241</v>
      </c>
      <c r="B1125" s="2">
        <f t="shared" si="34"/>
        <v>2019</v>
      </c>
      <c r="C1125" s="2" t="str">
        <f t="shared" si="35"/>
        <v>EC101</v>
      </c>
      <c r="D1125" s="2">
        <v>507</v>
      </c>
      <c r="F1125" s="1764"/>
      <c r="G1125" s="1764"/>
      <c r="H1125" s="1764"/>
      <c r="I1125" s="1764"/>
      <c r="J1125" s="1764"/>
      <c r="K1125" s="1764"/>
      <c r="L1125" s="1764"/>
      <c r="M1125" s="1765"/>
      <c r="N1125" s="1765"/>
      <c r="O1125" s="1765"/>
      <c r="P1125" s="1765"/>
      <c r="Q1125" s="1765"/>
      <c r="W1125" t="s">
        <v>2089</v>
      </c>
    </row>
    <row r="1126" spans="1:23" ht="13.15" customHeight="1" x14ac:dyDescent="0.2">
      <c r="A1126" s="2" t="s">
        <v>2241</v>
      </c>
      <c r="B1126" s="2">
        <f t="shared" si="34"/>
        <v>2019</v>
      </c>
      <c r="C1126" s="2" t="str">
        <f t="shared" si="35"/>
        <v>EC101</v>
      </c>
      <c r="D1126" s="2">
        <v>508</v>
      </c>
      <c r="F1126" s="1764"/>
      <c r="G1126" s="1764"/>
      <c r="H1126" s="1764"/>
      <c r="I1126" s="1764"/>
      <c r="J1126" s="1764"/>
      <c r="K1126" s="1764"/>
      <c r="L1126" s="1764"/>
      <c r="M1126" s="1765"/>
      <c r="N1126" s="1765"/>
      <c r="O1126" s="1765"/>
      <c r="P1126" s="1765"/>
      <c r="Q1126" s="1765"/>
      <c r="W1126" t="s">
        <v>2089</v>
      </c>
    </row>
    <row r="1127" spans="1:23" ht="13.15" customHeight="1" x14ac:dyDescent="0.2">
      <c r="A1127" s="2" t="s">
        <v>2241</v>
      </c>
      <c r="B1127" s="2">
        <f t="shared" si="34"/>
        <v>2019</v>
      </c>
      <c r="C1127" s="2" t="str">
        <f t="shared" si="35"/>
        <v>EC101</v>
      </c>
      <c r="D1127" s="2">
        <v>509</v>
      </c>
      <c r="F1127" s="1764"/>
      <c r="G1127" s="1764"/>
      <c r="H1127" s="1764"/>
      <c r="I1127" s="1764"/>
      <c r="J1127" s="1764"/>
      <c r="K1127" s="1764"/>
      <c r="L1127" s="1764"/>
      <c r="M1127" s="1765"/>
      <c r="N1127" s="1765"/>
      <c r="O1127" s="1765"/>
      <c r="P1127" s="1765"/>
      <c r="Q1127" s="1765"/>
      <c r="W1127" t="s">
        <v>2089</v>
      </c>
    </row>
    <row r="1128" spans="1:23" ht="13.15" customHeight="1" x14ac:dyDescent="0.2">
      <c r="A1128" s="2" t="s">
        <v>2241</v>
      </c>
      <c r="B1128" s="2">
        <f t="shared" si="34"/>
        <v>2019</v>
      </c>
      <c r="C1128" s="2" t="str">
        <f t="shared" si="35"/>
        <v>EC101</v>
      </c>
      <c r="D1128" s="2">
        <v>510</v>
      </c>
      <c r="F1128" s="1764"/>
      <c r="G1128" s="1764"/>
      <c r="H1128" s="1764"/>
      <c r="I1128" s="1764"/>
      <c r="J1128" s="1764"/>
      <c r="K1128" s="1764"/>
      <c r="L1128" s="1764"/>
      <c r="M1128" s="1765"/>
      <c r="N1128" s="1765"/>
      <c r="O1128" s="1765"/>
      <c r="P1128" s="1765"/>
      <c r="Q1128" s="1765"/>
      <c r="W1128" t="s">
        <v>2089</v>
      </c>
    </row>
    <row r="1129" spans="1:23" ht="13.15" customHeight="1" x14ac:dyDescent="0.2">
      <c r="A1129" s="2" t="s">
        <v>2241</v>
      </c>
      <c r="B1129" s="2">
        <f t="shared" si="34"/>
        <v>2019</v>
      </c>
      <c r="C1129" s="2" t="str">
        <f t="shared" si="35"/>
        <v>EC101</v>
      </c>
      <c r="D1129" s="2">
        <v>511</v>
      </c>
      <c r="F1129" s="1764"/>
      <c r="G1129" s="1764"/>
      <c r="H1129" s="1764"/>
      <c r="I1129" s="1764"/>
      <c r="J1129" s="1764"/>
      <c r="K1129" s="1764"/>
      <c r="L1129" s="1764"/>
      <c r="M1129" s="1765"/>
      <c r="N1129" s="1765"/>
      <c r="O1129" s="1765"/>
      <c r="P1129" s="1765"/>
      <c r="Q1129" s="1765"/>
      <c r="W1129" t="s">
        <v>2089</v>
      </c>
    </row>
    <row r="1130" spans="1:23" ht="13.15" customHeight="1" x14ac:dyDescent="0.2">
      <c r="A1130" s="2" t="s">
        <v>2241</v>
      </c>
      <c r="B1130" s="2">
        <f t="shared" si="34"/>
        <v>2019</v>
      </c>
      <c r="C1130" s="2" t="str">
        <f t="shared" si="35"/>
        <v>EC101</v>
      </c>
      <c r="D1130" s="2">
        <v>512</v>
      </c>
      <c r="F1130" s="1764"/>
      <c r="G1130" s="1764"/>
      <c r="H1130" s="1764"/>
      <c r="I1130" s="1764"/>
      <c r="J1130" s="1764"/>
      <c r="K1130" s="1764"/>
      <c r="L1130" s="1764"/>
      <c r="M1130" s="1765"/>
      <c r="N1130" s="1765"/>
      <c r="O1130" s="1765"/>
      <c r="P1130" s="1765"/>
      <c r="Q1130" s="1765"/>
      <c r="W1130" t="s">
        <v>2089</v>
      </c>
    </row>
    <row r="1131" spans="1:23" ht="13.15" customHeight="1" x14ac:dyDescent="0.2">
      <c r="A1131" s="2" t="s">
        <v>2241</v>
      </c>
      <c r="B1131" s="2">
        <f t="shared" si="34"/>
        <v>2019</v>
      </c>
      <c r="C1131" s="2" t="str">
        <f t="shared" si="35"/>
        <v>EC101</v>
      </c>
      <c r="D1131" s="2">
        <v>513</v>
      </c>
      <c r="F1131" s="1764"/>
      <c r="G1131" s="1764"/>
      <c r="H1131" s="1764"/>
      <c r="I1131" s="1764"/>
      <c r="J1131" s="1764"/>
      <c r="K1131" s="1764"/>
      <c r="L1131" s="1764"/>
      <c r="M1131" s="1765"/>
      <c r="N1131" s="1765"/>
      <c r="O1131" s="1765"/>
      <c r="P1131" s="1765"/>
      <c r="Q1131" s="1765"/>
      <c r="W1131" t="s">
        <v>2089</v>
      </c>
    </row>
    <row r="1132" spans="1:23" ht="13.15" customHeight="1" x14ac:dyDescent="0.2">
      <c r="A1132" s="2" t="s">
        <v>2241</v>
      </c>
      <c r="B1132" s="2">
        <f t="shared" si="34"/>
        <v>2019</v>
      </c>
      <c r="C1132" s="2" t="str">
        <f t="shared" si="35"/>
        <v>EC101</v>
      </c>
      <c r="D1132" s="2">
        <v>514</v>
      </c>
      <c r="F1132" s="1764"/>
      <c r="G1132" s="1764"/>
      <c r="H1132" s="1764"/>
      <c r="I1132" s="1764"/>
      <c r="J1132" s="1764"/>
      <c r="K1132" s="1764"/>
      <c r="L1132" s="1764"/>
      <c r="M1132" s="1765"/>
      <c r="N1132" s="1765"/>
      <c r="O1132" s="1765"/>
      <c r="P1132" s="1765"/>
      <c r="Q1132" s="1765"/>
      <c r="W1132" t="s">
        <v>2089</v>
      </c>
    </row>
    <row r="1133" spans="1:23" ht="13.15" customHeight="1" x14ac:dyDescent="0.2">
      <c r="A1133" s="2" t="s">
        <v>2241</v>
      </c>
      <c r="B1133" s="2">
        <f t="shared" si="34"/>
        <v>2019</v>
      </c>
      <c r="C1133" s="2" t="str">
        <f t="shared" si="35"/>
        <v>EC101</v>
      </c>
      <c r="D1133" s="2">
        <v>515</v>
      </c>
      <c r="F1133" s="1764"/>
      <c r="G1133" s="1764"/>
      <c r="H1133" s="1764"/>
      <c r="I1133" s="1764"/>
      <c r="J1133" s="1764"/>
      <c r="K1133" s="1764"/>
      <c r="L1133" s="1764"/>
      <c r="M1133" s="1765"/>
      <c r="N1133" s="1765"/>
      <c r="O1133" s="1765"/>
      <c r="P1133" s="1765"/>
      <c r="Q1133" s="1765"/>
      <c r="W1133" t="s">
        <v>2089</v>
      </c>
    </row>
    <row r="1134" spans="1:23" ht="13.15" customHeight="1" x14ac:dyDescent="0.2">
      <c r="A1134" s="2" t="s">
        <v>2241</v>
      </c>
      <c r="B1134" s="2">
        <f t="shared" si="34"/>
        <v>2019</v>
      </c>
      <c r="C1134" s="2" t="str">
        <f t="shared" si="35"/>
        <v>EC101</v>
      </c>
      <c r="D1134" s="2">
        <v>516</v>
      </c>
      <c r="F1134" s="1764"/>
      <c r="G1134" s="1764"/>
      <c r="H1134" s="1764"/>
      <c r="I1134" s="1764"/>
      <c r="J1134" s="1764"/>
      <c r="K1134" s="1764"/>
      <c r="L1134" s="1764"/>
      <c r="M1134" s="1765"/>
      <c r="N1134" s="1765"/>
      <c r="O1134" s="1765"/>
      <c r="P1134" s="1765"/>
      <c r="Q1134" s="1765"/>
      <c r="W1134" t="s">
        <v>2089</v>
      </c>
    </row>
    <row r="1135" spans="1:23" ht="13.15" customHeight="1" x14ac:dyDescent="0.2">
      <c r="A1135" s="2" t="s">
        <v>2241</v>
      </c>
      <c r="B1135" s="2">
        <f t="shared" si="34"/>
        <v>2019</v>
      </c>
      <c r="C1135" s="2" t="str">
        <f t="shared" si="35"/>
        <v>EC101</v>
      </c>
      <c r="D1135" s="2">
        <v>517</v>
      </c>
      <c r="F1135" s="1764"/>
      <c r="G1135" s="1764"/>
      <c r="H1135" s="1764"/>
      <c r="I1135" s="1764"/>
      <c r="J1135" s="1764"/>
      <c r="K1135" s="1764"/>
      <c r="L1135" s="1764"/>
      <c r="M1135" s="1765"/>
      <c r="N1135" s="1765"/>
      <c r="O1135" s="1765"/>
      <c r="P1135" s="1765"/>
      <c r="Q1135" s="1765"/>
      <c r="W1135" t="s">
        <v>2089</v>
      </c>
    </row>
    <row r="1136" spans="1:23" ht="13.15" customHeight="1" x14ac:dyDescent="0.2">
      <c r="A1136" s="2" t="s">
        <v>2241</v>
      </c>
      <c r="B1136" s="2">
        <f t="shared" si="34"/>
        <v>2019</v>
      </c>
      <c r="C1136" s="2" t="str">
        <f t="shared" si="35"/>
        <v>EC101</v>
      </c>
      <c r="D1136" s="2">
        <v>518</v>
      </c>
      <c r="F1136" s="1764"/>
      <c r="G1136" s="1764"/>
      <c r="H1136" s="1764"/>
      <c r="I1136" s="1764"/>
      <c r="J1136" s="1764"/>
      <c r="K1136" s="1764"/>
      <c r="L1136" s="1764"/>
      <c r="M1136" s="1765"/>
      <c r="N1136" s="1765"/>
      <c r="O1136" s="1765"/>
      <c r="P1136" s="1765"/>
      <c r="Q1136" s="1765"/>
      <c r="W1136" t="s">
        <v>2089</v>
      </c>
    </row>
    <row r="1137" spans="1:23" ht="13.15" customHeight="1" x14ac:dyDescent="0.2">
      <c r="A1137" s="2" t="s">
        <v>2241</v>
      </c>
      <c r="B1137" s="2">
        <f t="shared" si="34"/>
        <v>2019</v>
      </c>
      <c r="C1137" s="2" t="str">
        <f t="shared" si="35"/>
        <v>EC101</v>
      </c>
      <c r="D1137" s="2">
        <v>519</v>
      </c>
      <c r="F1137" s="1764"/>
      <c r="G1137" s="1764"/>
      <c r="H1137" s="1764"/>
      <c r="I1137" s="1764"/>
      <c r="J1137" s="1764"/>
      <c r="K1137" s="1764"/>
      <c r="L1137" s="1764"/>
      <c r="M1137" s="1765"/>
      <c r="N1137" s="1765"/>
      <c r="O1137" s="1765"/>
      <c r="P1137" s="1765"/>
      <c r="Q1137" s="1765"/>
      <c r="W1137" t="s">
        <v>2089</v>
      </c>
    </row>
    <row r="1138" spans="1:23" ht="13.15" customHeight="1" x14ac:dyDescent="0.2">
      <c r="A1138" s="2" t="s">
        <v>2241</v>
      </c>
      <c r="B1138" s="2">
        <f t="shared" si="34"/>
        <v>2019</v>
      </c>
      <c r="C1138" s="2" t="str">
        <f t="shared" si="35"/>
        <v>EC101</v>
      </c>
      <c r="D1138" s="2">
        <v>520</v>
      </c>
      <c r="F1138" s="1764"/>
      <c r="G1138" s="1764"/>
      <c r="H1138" s="1764"/>
      <c r="I1138" s="1764"/>
      <c r="J1138" s="1764"/>
      <c r="K1138" s="1764"/>
      <c r="L1138" s="1764"/>
      <c r="M1138" s="1765"/>
      <c r="N1138" s="1765"/>
      <c r="O1138" s="1765"/>
      <c r="P1138" s="1765"/>
      <c r="Q1138" s="1765"/>
      <c r="W1138" t="s">
        <v>2089</v>
      </c>
    </row>
    <row r="1139" spans="1:23" ht="13.15" customHeight="1" x14ac:dyDescent="0.2">
      <c r="A1139" s="2" t="s">
        <v>2241</v>
      </c>
      <c r="B1139" s="2">
        <f t="shared" si="34"/>
        <v>2019</v>
      </c>
      <c r="C1139" s="2" t="str">
        <f t="shared" si="35"/>
        <v>EC101</v>
      </c>
      <c r="D1139" s="2">
        <v>521</v>
      </c>
      <c r="F1139" s="1764"/>
      <c r="G1139" s="1764"/>
      <c r="H1139" s="1764"/>
      <c r="I1139" s="1764"/>
      <c r="J1139" s="1764"/>
      <c r="K1139" s="1764"/>
      <c r="L1139" s="1764"/>
      <c r="M1139" s="1765"/>
      <c r="N1139" s="1765"/>
      <c r="O1139" s="1765"/>
      <c r="P1139" s="1765"/>
      <c r="Q1139" s="1765"/>
      <c r="W1139" t="s">
        <v>2089</v>
      </c>
    </row>
    <row r="1140" spans="1:23" ht="13.15" customHeight="1" x14ac:dyDescent="0.2">
      <c r="A1140" s="2" t="s">
        <v>2241</v>
      </c>
      <c r="B1140" s="2">
        <f t="shared" si="34"/>
        <v>2019</v>
      </c>
      <c r="C1140" s="2" t="str">
        <f t="shared" si="35"/>
        <v>EC101</v>
      </c>
      <c r="D1140" s="2">
        <v>522</v>
      </c>
      <c r="F1140" s="1764"/>
      <c r="G1140" s="1764"/>
      <c r="H1140" s="1764"/>
      <c r="I1140" s="1764"/>
      <c r="J1140" s="1764"/>
      <c r="K1140" s="1764"/>
      <c r="L1140" s="1764"/>
      <c r="M1140" s="1765"/>
      <c r="N1140" s="1765"/>
      <c r="O1140" s="1765"/>
      <c r="P1140" s="1765"/>
      <c r="Q1140" s="1765"/>
      <c r="W1140" t="s">
        <v>2089</v>
      </c>
    </row>
    <row r="1141" spans="1:23" ht="13.15" customHeight="1" x14ac:dyDescent="0.2">
      <c r="A1141" s="2" t="s">
        <v>2241</v>
      </c>
      <c r="B1141" s="2">
        <f t="shared" si="34"/>
        <v>2019</v>
      </c>
      <c r="C1141" s="2" t="str">
        <f t="shared" si="35"/>
        <v>EC101</v>
      </c>
      <c r="D1141" s="2">
        <v>523</v>
      </c>
      <c r="F1141" s="1764"/>
      <c r="G1141" s="1764"/>
      <c r="H1141" s="1764"/>
      <c r="I1141" s="1764"/>
      <c r="J1141" s="1764"/>
      <c r="K1141" s="1764"/>
      <c r="L1141" s="1764"/>
      <c r="M1141" s="1765"/>
      <c r="N1141" s="1765"/>
      <c r="O1141" s="1765"/>
      <c r="P1141" s="1765"/>
      <c r="Q1141" s="1765"/>
      <c r="W1141" t="s">
        <v>2089</v>
      </c>
    </row>
    <row r="1142" spans="1:23" ht="13.15" customHeight="1" x14ac:dyDescent="0.2">
      <c r="A1142" s="2" t="s">
        <v>2241</v>
      </c>
      <c r="B1142" s="2">
        <f t="shared" si="34"/>
        <v>2019</v>
      </c>
      <c r="C1142" s="2" t="str">
        <f t="shared" si="35"/>
        <v>EC101</v>
      </c>
      <c r="D1142" s="2">
        <v>524</v>
      </c>
      <c r="F1142" s="1764"/>
      <c r="G1142" s="1764"/>
      <c r="H1142" s="1764"/>
      <c r="I1142" s="1764"/>
      <c r="J1142" s="1764"/>
      <c r="K1142" s="1764"/>
      <c r="L1142" s="1764"/>
      <c r="M1142" s="1765"/>
      <c r="N1142" s="1765"/>
      <c r="O1142" s="1765"/>
      <c r="P1142" s="1765"/>
      <c r="Q1142" s="1765"/>
      <c r="W1142" t="s">
        <v>2089</v>
      </c>
    </row>
    <row r="1143" spans="1:23" ht="13.15" customHeight="1" x14ac:dyDescent="0.2">
      <c r="A1143" s="2" t="s">
        <v>2241</v>
      </c>
      <c r="B1143" s="2">
        <f t="shared" si="34"/>
        <v>2019</v>
      </c>
      <c r="C1143" s="2" t="str">
        <f t="shared" si="35"/>
        <v>EC101</v>
      </c>
      <c r="D1143" s="2">
        <v>525</v>
      </c>
      <c r="F1143" s="1764"/>
      <c r="G1143" s="1764"/>
      <c r="H1143" s="1764"/>
      <c r="I1143" s="1764"/>
      <c r="J1143" s="1764"/>
      <c r="K1143" s="1764"/>
      <c r="L1143" s="1764"/>
      <c r="M1143" s="1765"/>
      <c r="N1143" s="1765"/>
      <c r="O1143" s="1765"/>
      <c r="P1143" s="1765"/>
      <c r="Q1143" s="1765"/>
      <c r="W1143" t="s">
        <v>2089</v>
      </c>
    </row>
    <row r="1144" spans="1:23" ht="13.15" customHeight="1" x14ac:dyDescent="0.2">
      <c r="A1144" s="2" t="s">
        <v>2241</v>
      </c>
      <c r="B1144" s="2">
        <f t="shared" si="34"/>
        <v>2019</v>
      </c>
      <c r="C1144" s="2" t="str">
        <f t="shared" si="35"/>
        <v>EC101</v>
      </c>
      <c r="D1144" s="2">
        <v>526</v>
      </c>
      <c r="F1144" s="1764"/>
      <c r="G1144" s="1764"/>
      <c r="H1144" s="1764"/>
      <c r="I1144" s="1764"/>
      <c r="J1144" s="1764"/>
      <c r="K1144" s="1764"/>
      <c r="L1144" s="1764"/>
      <c r="M1144" s="1765"/>
      <c r="N1144" s="1765"/>
      <c r="O1144" s="1765"/>
      <c r="P1144" s="1765"/>
      <c r="Q1144" s="1765"/>
      <c r="W1144" t="s">
        <v>2089</v>
      </c>
    </row>
    <row r="1145" spans="1:23" ht="13.15" customHeight="1" x14ac:dyDescent="0.2">
      <c r="A1145" s="2" t="s">
        <v>2241</v>
      </c>
      <c r="B1145" s="2">
        <f t="shared" si="34"/>
        <v>2019</v>
      </c>
      <c r="C1145" s="2" t="str">
        <f t="shared" si="35"/>
        <v>EC101</v>
      </c>
      <c r="D1145" s="2">
        <v>527</v>
      </c>
      <c r="F1145" s="1764"/>
      <c r="G1145" s="1764"/>
      <c r="H1145" s="1764"/>
      <c r="I1145" s="1764"/>
      <c r="J1145" s="1764"/>
      <c r="K1145" s="1764"/>
      <c r="L1145" s="1764"/>
      <c r="M1145" s="1765"/>
      <c r="N1145" s="1765"/>
      <c r="O1145" s="1765"/>
      <c r="P1145" s="1765"/>
      <c r="Q1145" s="1765"/>
      <c r="W1145" t="s">
        <v>2089</v>
      </c>
    </row>
    <row r="1146" spans="1:23" ht="13.15" customHeight="1" x14ac:dyDescent="0.2">
      <c r="A1146" s="2" t="s">
        <v>2241</v>
      </c>
      <c r="B1146" s="2">
        <f t="shared" si="34"/>
        <v>2019</v>
      </c>
      <c r="C1146" s="2" t="str">
        <f t="shared" si="35"/>
        <v>EC101</v>
      </c>
      <c r="D1146" s="2">
        <v>528</v>
      </c>
      <c r="F1146" s="1764"/>
      <c r="G1146" s="1764"/>
      <c r="H1146" s="1764"/>
      <c r="I1146" s="1764"/>
      <c r="J1146" s="1764"/>
      <c r="K1146" s="1764"/>
      <c r="L1146" s="1764"/>
      <c r="M1146" s="1765"/>
      <c r="N1146" s="1765"/>
      <c r="O1146" s="1765"/>
      <c r="P1146" s="1765"/>
      <c r="Q1146" s="1765"/>
      <c r="W1146" t="s">
        <v>2089</v>
      </c>
    </row>
    <row r="1147" spans="1:23" ht="13.15" customHeight="1" x14ac:dyDescent="0.2">
      <c r="A1147" s="2" t="s">
        <v>2241</v>
      </c>
      <c r="B1147" s="2">
        <f t="shared" si="34"/>
        <v>2019</v>
      </c>
      <c r="C1147" s="2" t="str">
        <f t="shared" si="35"/>
        <v>EC101</v>
      </c>
      <c r="D1147" s="2">
        <v>529</v>
      </c>
      <c r="F1147" s="1764"/>
      <c r="G1147" s="1764"/>
      <c r="H1147" s="1764"/>
      <c r="I1147" s="1764"/>
      <c r="J1147" s="1764"/>
      <c r="K1147" s="1764"/>
      <c r="L1147" s="1764"/>
      <c r="M1147" s="1765"/>
      <c r="N1147" s="1765"/>
      <c r="O1147" s="1765"/>
      <c r="P1147" s="1765"/>
      <c r="Q1147" s="1765"/>
      <c r="W1147" t="s">
        <v>2089</v>
      </c>
    </row>
    <row r="1148" spans="1:23" ht="13.15" customHeight="1" x14ac:dyDescent="0.2">
      <c r="A1148" s="2" t="s">
        <v>2241</v>
      </c>
      <c r="B1148" s="2">
        <f t="shared" si="34"/>
        <v>2019</v>
      </c>
      <c r="C1148" s="2" t="str">
        <f t="shared" si="35"/>
        <v>EC101</v>
      </c>
      <c r="D1148" s="2">
        <v>530</v>
      </c>
      <c r="F1148" s="1764"/>
      <c r="G1148" s="1764"/>
      <c r="H1148" s="1764"/>
      <c r="I1148" s="1764"/>
      <c r="J1148" s="1764"/>
      <c r="K1148" s="1764"/>
      <c r="L1148" s="1764"/>
      <c r="M1148" s="1765"/>
      <c r="N1148" s="1765"/>
      <c r="O1148" s="1765"/>
      <c r="P1148" s="1765"/>
      <c r="Q1148" s="1765"/>
      <c r="W1148" t="s">
        <v>2089</v>
      </c>
    </row>
    <row r="1149" spans="1:23" ht="13.15" customHeight="1" x14ac:dyDescent="0.2">
      <c r="A1149" s="2" t="s">
        <v>2241</v>
      </c>
      <c r="B1149" s="2">
        <f t="shared" si="34"/>
        <v>2019</v>
      </c>
      <c r="C1149" s="2" t="str">
        <f t="shared" si="35"/>
        <v>EC101</v>
      </c>
      <c r="D1149" s="2">
        <v>531</v>
      </c>
      <c r="F1149" s="1764"/>
      <c r="G1149" s="1764"/>
      <c r="H1149" s="1764"/>
      <c r="I1149" s="1764"/>
      <c r="J1149" s="1764"/>
      <c r="K1149" s="1764"/>
      <c r="L1149" s="1764"/>
      <c r="M1149" s="1765"/>
      <c r="N1149" s="1765"/>
      <c r="O1149" s="1765"/>
      <c r="P1149" s="1765"/>
      <c r="Q1149" s="1765"/>
      <c r="W1149" t="s">
        <v>2089</v>
      </c>
    </row>
    <row r="1150" spans="1:23" ht="13.15" customHeight="1" x14ac:dyDescent="0.2">
      <c r="A1150" s="2" t="s">
        <v>2241</v>
      </c>
      <c r="B1150" s="2">
        <f t="shared" si="34"/>
        <v>2019</v>
      </c>
      <c r="C1150" s="2" t="str">
        <f t="shared" si="35"/>
        <v>EC101</v>
      </c>
      <c r="D1150" s="2">
        <v>532</v>
      </c>
      <c r="F1150" s="1764"/>
      <c r="G1150" s="1764"/>
      <c r="H1150" s="1764"/>
      <c r="I1150" s="1764"/>
      <c r="J1150" s="1764"/>
      <c r="K1150" s="1764"/>
      <c r="L1150" s="1764"/>
      <c r="M1150" s="1765"/>
      <c r="N1150" s="1765"/>
      <c r="O1150" s="1765"/>
      <c r="P1150" s="1765"/>
      <c r="Q1150" s="1765"/>
      <c r="W1150" t="s">
        <v>2089</v>
      </c>
    </row>
    <row r="1151" spans="1:23" ht="13.15" customHeight="1" x14ac:dyDescent="0.2">
      <c r="A1151" s="2" t="s">
        <v>2241</v>
      </c>
      <c r="B1151" s="2">
        <f t="shared" si="34"/>
        <v>2019</v>
      </c>
      <c r="C1151" s="2" t="str">
        <f t="shared" si="35"/>
        <v>EC101</v>
      </c>
      <c r="D1151" s="2">
        <v>533</v>
      </c>
      <c r="F1151" s="1764"/>
      <c r="G1151" s="1764"/>
      <c r="H1151" s="1764"/>
      <c r="I1151" s="1764"/>
      <c r="J1151" s="1764"/>
      <c r="K1151" s="1764"/>
      <c r="L1151" s="1764"/>
      <c r="M1151" s="1765"/>
      <c r="N1151" s="1765"/>
      <c r="O1151" s="1765"/>
      <c r="P1151" s="1765"/>
      <c r="Q1151" s="1765"/>
      <c r="W1151" t="s">
        <v>2089</v>
      </c>
    </row>
    <row r="1152" spans="1:23" ht="13.15" customHeight="1" x14ac:dyDescent="0.2">
      <c r="A1152" s="2" t="s">
        <v>2241</v>
      </c>
      <c r="B1152" s="2">
        <f t="shared" si="34"/>
        <v>2019</v>
      </c>
      <c r="C1152" s="2" t="str">
        <f t="shared" si="35"/>
        <v>EC101</v>
      </c>
      <c r="D1152" s="2">
        <v>534</v>
      </c>
      <c r="F1152" s="1764"/>
      <c r="G1152" s="1764"/>
      <c r="H1152" s="1764"/>
      <c r="I1152" s="1764"/>
      <c r="J1152" s="1764"/>
      <c r="K1152" s="1764"/>
      <c r="L1152" s="1764"/>
      <c r="M1152" s="1765"/>
      <c r="N1152" s="1765"/>
      <c r="O1152" s="1765"/>
      <c r="P1152" s="1765"/>
      <c r="Q1152" s="1765"/>
      <c r="W1152" t="s">
        <v>2089</v>
      </c>
    </row>
    <row r="1153" spans="1:23" ht="13.15" customHeight="1" x14ac:dyDescent="0.2">
      <c r="A1153" s="2" t="s">
        <v>2241</v>
      </c>
      <c r="B1153" s="2">
        <f t="shared" si="34"/>
        <v>2019</v>
      </c>
      <c r="C1153" s="2" t="str">
        <f t="shared" si="35"/>
        <v>EC101</v>
      </c>
      <c r="D1153" s="2">
        <v>535</v>
      </c>
      <c r="F1153" s="1764"/>
      <c r="G1153" s="1764"/>
      <c r="H1153" s="1764"/>
      <c r="I1153" s="1764"/>
      <c r="J1153" s="1764"/>
      <c r="K1153" s="1764"/>
      <c r="L1153" s="1764"/>
      <c r="M1153" s="1765"/>
      <c r="N1153" s="1765"/>
      <c r="O1153" s="1765"/>
      <c r="P1153" s="1765"/>
      <c r="Q1153" s="1765"/>
      <c r="W1153" t="s">
        <v>2089</v>
      </c>
    </row>
    <row r="1154" spans="1:23" ht="13.15" customHeight="1" x14ac:dyDescent="0.2">
      <c r="A1154" s="2" t="s">
        <v>2241</v>
      </c>
      <c r="B1154" s="2">
        <f t="shared" ref="B1154:B1217" si="36">+MTREF</f>
        <v>2019</v>
      </c>
      <c r="C1154" s="2" t="str">
        <f t="shared" ref="C1154:C1217" si="37">LEFT(muni,(FIND(" ",muni,1)-1))</f>
        <v>EC101</v>
      </c>
      <c r="D1154" s="2">
        <v>536</v>
      </c>
      <c r="F1154" s="1764"/>
      <c r="G1154" s="1764"/>
      <c r="H1154" s="1764"/>
      <c r="I1154" s="1764"/>
      <c r="J1154" s="1764"/>
      <c r="K1154" s="1764"/>
      <c r="L1154" s="1764"/>
      <c r="M1154" s="1765"/>
      <c r="N1154" s="1765"/>
      <c r="O1154" s="1765"/>
      <c r="P1154" s="1765"/>
      <c r="Q1154" s="1765"/>
      <c r="W1154" t="s">
        <v>2089</v>
      </c>
    </row>
    <row r="1155" spans="1:23" ht="13.15" customHeight="1" x14ac:dyDescent="0.2">
      <c r="A1155" s="2" t="s">
        <v>2241</v>
      </c>
      <c r="B1155" s="2">
        <f t="shared" si="36"/>
        <v>2019</v>
      </c>
      <c r="C1155" s="2" t="str">
        <f t="shared" si="37"/>
        <v>EC101</v>
      </c>
      <c r="D1155" s="2">
        <v>537</v>
      </c>
      <c r="F1155" s="1764"/>
      <c r="G1155" s="1764"/>
      <c r="H1155" s="1764"/>
      <c r="I1155" s="1764"/>
      <c r="J1155" s="1764"/>
      <c r="K1155" s="1764"/>
      <c r="L1155" s="1764"/>
      <c r="M1155" s="1765"/>
      <c r="N1155" s="1765"/>
      <c r="O1155" s="1765"/>
      <c r="P1155" s="1765"/>
      <c r="Q1155" s="1765"/>
      <c r="W1155" t="s">
        <v>2089</v>
      </c>
    </row>
    <row r="1156" spans="1:23" ht="13.15" customHeight="1" x14ac:dyDescent="0.2">
      <c r="A1156" s="2" t="s">
        <v>2241</v>
      </c>
      <c r="B1156" s="2">
        <f t="shared" si="36"/>
        <v>2019</v>
      </c>
      <c r="C1156" s="2" t="str">
        <f t="shared" si="37"/>
        <v>EC101</v>
      </c>
      <c r="D1156" s="2">
        <v>538</v>
      </c>
      <c r="F1156" s="1764"/>
      <c r="G1156" s="1764"/>
      <c r="H1156" s="1764"/>
      <c r="I1156" s="1764"/>
      <c r="J1156" s="1764"/>
      <c r="K1156" s="1764"/>
      <c r="L1156" s="1764"/>
      <c r="M1156" s="1765"/>
      <c r="N1156" s="1765"/>
      <c r="O1156" s="1765"/>
      <c r="P1156" s="1765"/>
      <c r="Q1156" s="1765"/>
      <c r="W1156" t="s">
        <v>2089</v>
      </c>
    </row>
    <row r="1157" spans="1:23" ht="13.15" customHeight="1" x14ac:dyDescent="0.2">
      <c r="A1157" s="2" t="s">
        <v>2241</v>
      </c>
      <c r="B1157" s="2">
        <f t="shared" si="36"/>
        <v>2019</v>
      </c>
      <c r="C1157" s="2" t="str">
        <f t="shared" si="37"/>
        <v>EC101</v>
      </c>
      <c r="D1157" s="2">
        <v>539</v>
      </c>
      <c r="F1157" s="1764"/>
      <c r="G1157" s="1764"/>
      <c r="H1157" s="1764"/>
      <c r="I1157" s="1764"/>
      <c r="J1157" s="1764"/>
      <c r="K1157" s="1764"/>
      <c r="L1157" s="1764"/>
      <c r="M1157" s="1765"/>
      <c r="N1157" s="1765"/>
      <c r="O1157" s="1765"/>
      <c r="P1157" s="1765"/>
      <c r="Q1157" s="1765"/>
      <c r="W1157" t="s">
        <v>2089</v>
      </c>
    </row>
    <row r="1158" spans="1:23" ht="13.15" customHeight="1" x14ac:dyDescent="0.2">
      <c r="A1158" s="2" t="s">
        <v>2241</v>
      </c>
      <c r="B1158" s="2">
        <f t="shared" si="36"/>
        <v>2019</v>
      </c>
      <c r="C1158" s="2" t="str">
        <f t="shared" si="37"/>
        <v>EC101</v>
      </c>
      <c r="D1158" s="2">
        <v>540</v>
      </c>
      <c r="F1158" s="1764"/>
      <c r="G1158" s="1764"/>
      <c r="H1158" s="1764"/>
      <c r="I1158" s="1764"/>
      <c r="J1158" s="1764"/>
      <c r="K1158" s="1764"/>
      <c r="L1158" s="1764"/>
      <c r="M1158" s="1765"/>
      <c r="N1158" s="1765"/>
      <c r="O1158" s="1765"/>
      <c r="P1158" s="1765"/>
      <c r="Q1158" s="1765"/>
      <c r="W1158" t="s">
        <v>2089</v>
      </c>
    </row>
    <row r="1159" spans="1:23" ht="13.15" customHeight="1" x14ac:dyDescent="0.2">
      <c r="A1159" s="2" t="s">
        <v>2241</v>
      </c>
      <c r="B1159" s="2">
        <f t="shared" si="36"/>
        <v>2019</v>
      </c>
      <c r="C1159" s="2" t="str">
        <f t="shared" si="37"/>
        <v>EC101</v>
      </c>
      <c r="D1159" s="2">
        <v>541</v>
      </c>
      <c r="F1159" s="1764"/>
      <c r="G1159" s="1764"/>
      <c r="H1159" s="1764"/>
      <c r="I1159" s="1764"/>
      <c r="J1159" s="1764"/>
      <c r="K1159" s="1764"/>
      <c r="L1159" s="1764"/>
      <c r="M1159" s="1765"/>
      <c r="N1159" s="1765"/>
      <c r="O1159" s="1765"/>
      <c r="P1159" s="1765"/>
      <c r="Q1159" s="1765"/>
      <c r="W1159" t="s">
        <v>2089</v>
      </c>
    </row>
    <row r="1160" spans="1:23" ht="13.15" customHeight="1" x14ac:dyDescent="0.2">
      <c r="A1160" s="2" t="s">
        <v>2241</v>
      </c>
      <c r="B1160" s="2">
        <f t="shared" si="36"/>
        <v>2019</v>
      </c>
      <c r="C1160" s="2" t="str">
        <f t="shared" si="37"/>
        <v>EC101</v>
      </c>
      <c r="D1160" s="2">
        <v>542</v>
      </c>
      <c r="F1160" s="1764"/>
      <c r="G1160" s="1764"/>
      <c r="H1160" s="1764"/>
      <c r="I1160" s="1764"/>
      <c r="J1160" s="1764"/>
      <c r="K1160" s="1764"/>
      <c r="L1160" s="1764"/>
      <c r="M1160" s="1765"/>
      <c r="N1160" s="1765"/>
      <c r="O1160" s="1765"/>
      <c r="P1160" s="1765"/>
      <c r="Q1160" s="1765"/>
      <c r="W1160" t="s">
        <v>2089</v>
      </c>
    </row>
    <row r="1161" spans="1:23" ht="13.15" customHeight="1" x14ac:dyDescent="0.2">
      <c r="A1161" s="2" t="s">
        <v>2241</v>
      </c>
      <c r="B1161" s="2">
        <f t="shared" si="36"/>
        <v>2019</v>
      </c>
      <c r="C1161" s="2" t="str">
        <f t="shared" si="37"/>
        <v>EC101</v>
      </c>
      <c r="D1161" s="2">
        <v>543</v>
      </c>
      <c r="F1161" s="1764"/>
      <c r="G1161" s="1764"/>
      <c r="H1161" s="1764"/>
      <c r="I1161" s="1764"/>
      <c r="J1161" s="1764"/>
      <c r="K1161" s="1764"/>
      <c r="L1161" s="1764"/>
      <c r="M1161" s="1765"/>
      <c r="N1161" s="1765"/>
      <c r="O1161" s="1765"/>
      <c r="P1161" s="1765"/>
      <c r="Q1161" s="1765"/>
      <c r="W1161" t="s">
        <v>2089</v>
      </c>
    </row>
    <row r="1162" spans="1:23" ht="13.15" customHeight="1" x14ac:dyDescent="0.2">
      <c r="A1162" s="2" t="s">
        <v>2241</v>
      </c>
      <c r="B1162" s="2">
        <f t="shared" si="36"/>
        <v>2019</v>
      </c>
      <c r="C1162" s="2" t="str">
        <f t="shared" si="37"/>
        <v>EC101</v>
      </c>
      <c r="D1162" s="2">
        <v>544</v>
      </c>
      <c r="F1162" s="1764"/>
      <c r="G1162" s="1764"/>
      <c r="H1162" s="1764"/>
      <c r="I1162" s="1764"/>
      <c r="J1162" s="1764"/>
      <c r="K1162" s="1764"/>
      <c r="L1162" s="1764"/>
      <c r="M1162" s="1765"/>
      <c r="N1162" s="1765"/>
      <c r="O1162" s="1765"/>
      <c r="P1162" s="1765"/>
      <c r="Q1162" s="1765"/>
      <c r="W1162" t="s">
        <v>2089</v>
      </c>
    </row>
    <row r="1163" spans="1:23" ht="13.15" customHeight="1" x14ac:dyDescent="0.2">
      <c r="A1163" s="2" t="s">
        <v>2241</v>
      </c>
      <c r="B1163" s="2">
        <f t="shared" si="36"/>
        <v>2019</v>
      </c>
      <c r="C1163" s="2" t="str">
        <f t="shared" si="37"/>
        <v>EC101</v>
      </c>
      <c r="D1163" s="2">
        <v>545</v>
      </c>
      <c r="F1163" s="1764"/>
      <c r="G1163" s="1764"/>
      <c r="H1163" s="1764"/>
      <c r="I1163" s="1764"/>
      <c r="J1163" s="1764"/>
      <c r="K1163" s="1764"/>
      <c r="L1163" s="1764"/>
      <c r="M1163" s="1765"/>
      <c r="N1163" s="1765"/>
      <c r="O1163" s="1765"/>
      <c r="P1163" s="1765"/>
      <c r="Q1163" s="1765"/>
      <c r="W1163" t="s">
        <v>2089</v>
      </c>
    </row>
    <row r="1164" spans="1:23" ht="13.15" customHeight="1" x14ac:dyDescent="0.2">
      <c r="A1164" s="2" t="s">
        <v>2241</v>
      </c>
      <c r="B1164" s="2">
        <f t="shared" si="36"/>
        <v>2019</v>
      </c>
      <c r="C1164" s="2" t="str">
        <f t="shared" si="37"/>
        <v>EC101</v>
      </c>
      <c r="D1164" s="2">
        <v>546</v>
      </c>
      <c r="F1164" s="1764"/>
      <c r="G1164" s="1764"/>
      <c r="H1164" s="1764"/>
      <c r="I1164" s="1764"/>
      <c r="J1164" s="1764"/>
      <c r="K1164" s="1764"/>
      <c r="L1164" s="1764"/>
      <c r="M1164" s="1765"/>
      <c r="N1164" s="1765"/>
      <c r="O1164" s="1765"/>
      <c r="P1164" s="1765"/>
      <c r="Q1164" s="1765"/>
      <c r="W1164" t="s">
        <v>2089</v>
      </c>
    </row>
    <row r="1165" spans="1:23" ht="13.15" customHeight="1" x14ac:dyDescent="0.2">
      <c r="A1165" s="2" t="s">
        <v>2241</v>
      </c>
      <c r="B1165" s="2">
        <f t="shared" si="36"/>
        <v>2019</v>
      </c>
      <c r="C1165" s="2" t="str">
        <f t="shared" si="37"/>
        <v>EC101</v>
      </c>
      <c r="D1165" s="2">
        <v>547</v>
      </c>
      <c r="F1165" s="1764"/>
      <c r="G1165" s="1764"/>
      <c r="H1165" s="1764"/>
      <c r="I1165" s="1764"/>
      <c r="J1165" s="1764"/>
      <c r="K1165" s="1764"/>
      <c r="L1165" s="1764"/>
      <c r="M1165" s="1765"/>
      <c r="N1165" s="1765"/>
      <c r="O1165" s="1765"/>
      <c r="P1165" s="1765"/>
      <c r="Q1165" s="1765"/>
      <c r="W1165" t="s">
        <v>2089</v>
      </c>
    </row>
    <row r="1166" spans="1:23" ht="13.15" customHeight="1" x14ac:dyDescent="0.2">
      <c r="A1166" s="2" t="s">
        <v>2241</v>
      </c>
      <c r="B1166" s="2">
        <f t="shared" si="36"/>
        <v>2019</v>
      </c>
      <c r="C1166" s="2" t="str">
        <f t="shared" si="37"/>
        <v>EC101</v>
      </c>
      <c r="D1166" s="2">
        <v>548</v>
      </c>
      <c r="F1166" s="1764"/>
      <c r="G1166" s="1764"/>
      <c r="H1166" s="1764"/>
      <c r="I1166" s="1764"/>
      <c r="J1166" s="1764"/>
      <c r="K1166" s="1764"/>
      <c r="L1166" s="1764"/>
      <c r="M1166" s="1765"/>
      <c r="N1166" s="1765"/>
      <c r="O1166" s="1765"/>
      <c r="P1166" s="1765"/>
      <c r="Q1166" s="1765"/>
      <c r="W1166" t="s">
        <v>2089</v>
      </c>
    </row>
    <row r="1167" spans="1:23" ht="13.15" customHeight="1" x14ac:dyDescent="0.2">
      <c r="A1167" s="2" t="s">
        <v>2241</v>
      </c>
      <c r="B1167" s="2">
        <f t="shared" si="36"/>
        <v>2019</v>
      </c>
      <c r="C1167" s="2" t="str">
        <f t="shared" si="37"/>
        <v>EC101</v>
      </c>
      <c r="D1167" s="2">
        <v>549</v>
      </c>
      <c r="F1167" s="1764"/>
      <c r="G1167" s="1764"/>
      <c r="H1167" s="1764"/>
      <c r="I1167" s="1764"/>
      <c r="J1167" s="1764"/>
      <c r="K1167" s="1764"/>
      <c r="L1167" s="1764"/>
      <c r="M1167" s="1765"/>
      <c r="N1167" s="1765"/>
      <c r="O1167" s="1765"/>
      <c r="P1167" s="1765"/>
      <c r="Q1167" s="1765"/>
      <c r="W1167" t="s">
        <v>2089</v>
      </c>
    </row>
    <row r="1168" spans="1:23" ht="13.15" customHeight="1" x14ac:dyDescent="0.2">
      <c r="A1168" s="2" t="s">
        <v>2241</v>
      </c>
      <c r="B1168" s="2">
        <f t="shared" si="36"/>
        <v>2019</v>
      </c>
      <c r="C1168" s="2" t="str">
        <f t="shared" si="37"/>
        <v>EC101</v>
      </c>
      <c r="D1168" s="2">
        <v>550</v>
      </c>
      <c r="F1168" s="1764"/>
      <c r="G1168" s="1764"/>
      <c r="H1168" s="1764"/>
      <c r="I1168" s="1764"/>
      <c r="J1168" s="1764"/>
      <c r="K1168" s="1764"/>
      <c r="L1168" s="1764"/>
      <c r="M1168" s="1765"/>
      <c r="N1168" s="1765"/>
      <c r="O1168" s="1765"/>
      <c r="P1168" s="1765"/>
      <c r="Q1168" s="1765"/>
      <c r="W1168" t="s">
        <v>2089</v>
      </c>
    </row>
    <row r="1169" spans="1:23" ht="13.15" customHeight="1" x14ac:dyDescent="0.2">
      <c r="A1169" s="2" t="s">
        <v>2241</v>
      </c>
      <c r="B1169" s="2">
        <f t="shared" si="36"/>
        <v>2019</v>
      </c>
      <c r="C1169" s="2" t="str">
        <f t="shared" si="37"/>
        <v>EC101</v>
      </c>
      <c r="D1169" s="2">
        <v>551</v>
      </c>
      <c r="F1169" s="1764"/>
      <c r="G1169" s="1764"/>
      <c r="H1169" s="1764"/>
      <c r="I1169" s="1764"/>
      <c r="J1169" s="1764"/>
      <c r="K1169" s="1764"/>
      <c r="L1169" s="1764"/>
      <c r="M1169" s="1765"/>
      <c r="N1169" s="1765"/>
      <c r="O1169" s="1765"/>
      <c r="P1169" s="1765"/>
      <c r="Q1169" s="1765"/>
      <c r="W1169" t="s">
        <v>2089</v>
      </c>
    </row>
    <row r="1170" spans="1:23" ht="13.15" customHeight="1" x14ac:dyDescent="0.2">
      <c r="A1170" s="2" t="s">
        <v>2241</v>
      </c>
      <c r="B1170" s="2">
        <f t="shared" si="36"/>
        <v>2019</v>
      </c>
      <c r="C1170" s="2" t="str">
        <f t="shared" si="37"/>
        <v>EC101</v>
      </c>
      <c r="D1170" s="2">
        <v>552</v>
      </c>
      <c r="F1170" s="1764"/>
      <c r="G1170" s="1764"/>
      <c r="H1170" s="1764"/>
      <c r="I1170" s="1764"/>
      <c r="J1170" s="1764"/>
      <c r="K1170" s="1764"/>
      <c r="L1170" s="1764"/>
      <c r="M1170" s="1765"/>
      <c r="N1170" s="1765"/>
      <c r="O1170" s="1765"/>
      <c r="P1170" s="1765"/>
      <c r="Q1170" s="1765"/>
      <c r="W1170" t="s">
        <v>2089</v>
      </c>
    </row>
    <row r="1171" spans="1:23" ht="13.15" customHeight="1" x14ac:dyDescent="0.2">
      <c r="A1171" s="2" t="s">
        <v>2241</v>
      </c>
      <c r="B1171" s="2">
        <f t="shared" si="36"/>
        <v>2019</v>
      </c>
      <c r="C1171" s="2" t="str">
        <f t="shared" si="37"/>
        <v>EC101</v>
      </c>
      <c r="D1171" s="2">
        <v>553</v>
      </c>
      <c r="F1171" s="1764"/>
      <c r="G1171" s="1764"/>
      <c r="H1171" s="1764"/>
      <c r="I1171" s="1764"/>
      <c r="J1171" s="1764"/>
      <c r="K1171" s="1764"/>
      <c r="L1171" s="1764"/>
      <c r="M1171" s="1765"/>
      <c r="N1171" s="1765"/>
      <c r="O1171" s="1765"/>
      <c r="P1171" s="1765"/>
      <c r="Q1171" s="1765"/>
      <c r="W1171" t="s">
        <v>2089</v>
      </c>
    </row>
    <row r="1172" spans="1:23" ht="13.15" customHeight="1" x14ac:dyDescent="0.2">
      <c r="A1172" s="2" t="s">
        <v>2241</v>
      </c>
      <c r="B1172" s="2">
        <f t="shared" si="36"/>
        <v>2019</v>
      </c>
      <c r="C1172" s="2" t="str">
        <f t="shared" si="37"/>
        <v>EC101</v>
      </c>
      <c r="D1172" s="2">
        <v>554</v>
      </c>
      <c r="F1172" s="1764"/>
      <c r="G1172" s="1764"/>
      <c r="H1172" s="1764"/>
      <c r="I1172" s="1764"/>
      <c r="J1172" s="1764"/>
      <c r="K1172" s="1764"/>
      <c r="L1172" s="1764"/>
      <c r="M1172" s="1765"/>
      <c r="N1172" s="1765"/>
      <c r="O1172" s="1765"/>
      <c r="P1172" s="1765"/>
      <c r="Q1172" s="1765"/>
      <c r="W1172" t="s">
        <v>2089</v>
      </c>
    </row>
    <row r="1173" spans="1:23" ht="13.15" customHeight="1" x14ac:dyDescent="0.2">
      <c r="A1173" s="2" t="s">
        <v>2241</v>
      </c>
      <c r="B1173" s="2">
        <f t="shared" si="36"/>
        <v>2019</v>
      </c>
      <c r="C1173" s="2" t="str">
        <f t="shared" si="37"/>
        <v>EC101</v>
      </c>
      <c r="D1173" s="2">
        <v>555</v>
      </c>
      <c r="F1173" s="1764"/>
      <c r="G1173" s="1764"/>
      <c r="H1173" s="1764"/>
      <c r="I1173" s="1764"/>
      <c r="J1173" s="1764"/>
      <c r="K1173" s="1764"/>
      <c r="L1173" s="1764"/>
      <c r="M1173" s="1765"/>
      <c r="N1173" s="1765"/>
      <c r="O1173" s="1765"/>
      <c r="P1173" s="1765"/>
      <c r="Q1173" s="1765"/>
      <c r="W1173" t="s">
        <v>2089</v>
      </c>
    </row>
    <row r="1174" spans="1:23" ht="13.15" customHeight="1" x14ac:dyDescent="0.2">
      <c r="A1174" s="2" t="s">
        <v>2241</v>
      </c>
      <c r="B1174" s="2">
        <f t="shared" si="36"/>
        <v>2019</v>
      </c>
      <c r="C1174" s="2" t="str">
        <f t="shared" si="37"/>
        <v>EC101</v>
      </c>
      <c r="D1174" s="2">
        <v>556</v>
      </c>
      <c r="F1174" s="1764"/>
      <c r="G1174" s="1764"/>
      <c r="H1174" s="1764"/>
      <c r="I1174" s="1764"/>
      <c r="J1174" s="1764"/>
      <c r="K1174" s="1764"/>
      <c r="L1174" s="1764"/>
      <c r="M1174" s="1765"/>
      <c r="N1174" s="1765"/>
      <c r="O1174" s="1765"/>
      <c r="P1174" s="1765"/>
      <c r="Q1174" s="1765"/>
      <c r="W1174" t="s">
        <v>2089</v>
      </c>
    </row>
    <row r="1175" spans="1:23" ht="13.15" customHeight="1" x14ac:dyDescent="0.2">
      <c r="A1175" s="2" t="s">
        <v>2241</v>
      </c>
      <c r="B1175" s="2">
        <f t="shared" si="36"/>
        <v>2019</v>
      </c>
      <c r="C1175" s="2" t="str">
        <f t="shared" si="37"/>
        <v>EC101</v>
      </c>
      <c r="D1175" s="2">
        <v>557</v>
      </c>
      <c r="F1175" s="1764"/>
      <c r="G1175" s="1764"/>
      <c r="H1175" s="1764"/>
      <c r="I1175" s="1764"/>
      <c r="J1175" s="1764"/>
      <c r="K1175" s="1764"/>
      <c r="L1175" s="1764"/>
      <c r="M1175" s="1765"/>
      <c r="N1175" s="1765"/>
      <c r="O1175" s="1765"/>
      <c r="P1175" s="1765"/>
      <c r="Q1175" s="1765"/>
      <c r="W1175" t="s">
        <v>2089</v>
      </c>
    </row>
    <row r="1176" spans="1:23" ht="13.15" customHeight="1" x14ac:dyDescent="0.2">
      <c r="A1176" s="2" t="s">
        <v>2241</v>
      </c>
      <c r="B1176" s="2">
        <f t="shared" si="36"/>
        <v>2019</v>
      </c>
      <c r="C1176" s="2" t="str">
        <f t="shared" si="37"/>
        <v>EC101</v>
      </c>
      <c r="D1176" s="2">
        <v>558</v>
      </c>
      <c r="F1176" s="1764"/>
      <c r="G1176" s="1764"/>
      <c r="H1176" s="1764"/>
      <c r="I1176" s="1764"/>
      <c r="J1176" s="1764"/>
      <c r="K1176" s="1764"/>
      <c r="L1176" s="1764"/>
      <c r="M1176" s="1765"/>
      <c r="N1176" s="1765"/>
      <c r="O1176" s="1765"/>
      <c r="P1176" s="1765"/>
      <c r="Q1176" s="1765"/>
      <c r="W1176" t="s">
        <v>2089</v>
      </c>
    </row>
    <row r="1177" spans="1:23" ht="13.15" customHeight="1" x14ac:dyDescent="0.2">
      <c r="A1177" s="2" t="s">
        <v>2241</v>
      </c>
      <c r="B1177" s="2">
        <f t="shared" si="36"/>
        <v>2019</v>
      </c>
      <c r="C1177" s="2" t="str">
        <f t="shared" si="37"/>
        <v>EC101</v>
      </c>
      <c r="D1177" s="2">
        <v>559</v>
      </c>
      <c r="F1177" s="1764"/>
      <c r="G1177" s="1764"/>
      <c r="H1177" s="1764"/>
      <c r="I1177" s="1764"/>
      <c r="J1177" s="1764"/>
      <c r="K1177" s="1764"/>
      <c r="L1177" s="1764"/>
      <c r="M1177" s="1765"/>
      <c r="N1177" s="1765"/>
      <c r="O1177" s="1765"/>
      <c r="P1177" s="1765"/>
      <c r="Q1177" s="1765"/>
      <c r="W1177" t="s">
        <v>2089</v>
      </c>
    </row>
    <row r="1178" spans="1:23" ht="13.15" customHeight="1" x14ac:dyDescent="0.2">
      <c r="A1178" s="2" t="s">
        <v>2241</v>
      </c>
      <c r="B1178" s="2">
        <f t="shared" si="36"/>
        <v>2019</v>
      </c>
      <c r="C1178" s="2" t="str">
        <f t="shared" si="37"/>
        <v>EC101</v>
      </c>
      <c r="D1178" s="2">
        <v>560</v>
      </c>
      <c r="F1178" s="1764"/>
      <c r="G1178" s="1764"/>
      <c r="H1178" s="1764"/>
      <c r="I1178" s="1764"/>
      <c r="J1178" s="1764"/>
      <c r="K1178" s="1764"/>
      <c r="L1178" s="1764"/>
      <c r="M1178" s="1765"/>
      <c r="N1178" s="1765"/>
      <c r="O1178" s="1765"/>
      <c r="P1178" s="1765"/>
      <c r="Q1178" s="1765"/>
      <c r="W1178" t="s">
        <v>2089</v>
      </c>
    </row>
    <row r="1179" spans="1:23" ht="13.15" customHeight="1" x14ac:dyDescent="0.2">
      <c r="A1179" s="2" t="s">
        <v>2241</v>
      </c>
      <c r="B1179" s="2">
        <f t="shared" si="36"/>
        <v>2019</v>
      </c>
      <c r="C1179" s="2" t="str">
        <f t="shared" si="37"/>
        <v>EC101</v>
      </c>
      <c r="D1179" s="2">
        <v>561</v>
      </c>
      <c r="F1179" s="1764"/>
      <c r="G1179" s="1764"/>
      <c r="H1179" s="1764"/>
      <c r="I1179" s="1764"/>
      <c r="J1179" s="1764"/>
      <c r="K1179" s="1764"/>
      <c r="L1179" s="1764"/>
      <c r="M1179" s="1765"/>
      <c r="N1179" s="1765"/>
      <c r="O1179" s="1765"/>
      <c r="P1179" s="1765"/>
      <c r="Q1179" s="1765"/>
      <c r="W1179" t="s">
        <v>2089</v>
      </c>
    </row>
    <row r="1180" spans="1:23" ht="13.15" customHeight="1" x14ac:dyDescent="0.2">
      <c r="A1180" s="2" t="s">
        <v>2241</v>
      </c>
      <c r="B1180" s="2">
        <f t="shared" si="36"/>
        <v>2019</v>
      </c>
      <c r="C1180" s="2" t="str">
        <f t="shared" si="37"/>
        <v>EC101</v>
      </c>
      <c r="D1180" s="2">
        <v>562</v>
      </c>
      <c r="F1180" s="1764"/>
      <c r="G1180" s="1764"/>
      <c r="H1180" s="1764"/>
      <c r="I1180" s="1764"/>
      <c r="J1180" s="1764"/>
      <c r="K1180" s="1764"/>
      <c r="L1180" s="1764"/>
      <c r="M1180" s="1765"/>
      <c r="N1180" s="1765"/>
      <c r="O1180" s="1765"/>
      <c r="P1180" s="1765"/>
      <c r="Q1180" s="1765"/>
      <c r="W1180" t="s">
        <v>2089</v>
      </c>
    </row>
    <row r="1181" spans="1:23" ht="13.15" customHeight="1" x14ac:dyDescent="0.2">
      <c r="A1181" s="2" t="s">
        <v>2241</v>
      </c>
      <c r="B1181" s="2">
        <f t="shared" si="36"/>
        <v>2019</v>
      </c>
      <c r="C1181" s="2" t="str">
        <f t="shared" si="37"/>
        <v>EC101</v>
      </c>
      <c r="D1181" s="2">
        <v>563</v>
      </c>
      <c r="F1181" s="1764"/>
      <c r="G1181" s="1764"/>
      <c r="H1181" s="1764"/>
      <c r="I1181" s="1764"/>
      <c r="J1181" s="1764"/>
      <c r="K1181" s="1764"/>
      <c r="L1181" s="1764"/>
      <c r="M1181" s="1765"/>
      <c r="N1181" s="1765"/>
      <c r="O1181" s="1765"/>
      <c r="P1181" s="1765"/>
      <c r="Q1181" s="1765"/>
      <c r="W1181" t="s">
        <v>2089</v>
      </c>
    </row>
    <row r="1182" spans="1:23" ht="13.15" customHeight="1" x14ac:dyDescent="0.2">
      <c r="A1182" s="2" t="s">
        <v>2241</v>
      </c>
      <c r="B1182" s="2">
        <f t="shared" si="36"/>
        <v>2019</v>
      </c>
      <c r="C1182" s="2" t="str">
        <f t="shared" si="37"/>
        <v>EC101</v>
      </c>
      <c r="D1182" s="2">
        <v>564</v>
      </c>
      <c r="F1182" s="1764"/>
      <c r="G1182" s="1764"/>
      <c r="H1182" s="1764"/>
      <c r="I1182" s="1764"/>
      <c r="J1182" s="1764"/>
      <c r="K1182" s="1764"/>
      <c r="L1182" s="1764"/>
      <c r="M1182" s="1765"/>
      <c r="N1182" s="1765"/>
      <c r="O1182" s="1765"/>
      <c r="P1182" s="1765"/>
      <c r="Q1182" s="1765"/>
      <c r="W1182" t="s">
        <v>2089</v>
      </c>
    </row>
    <row r="1183" spans="1:23" ht="13.15" customHeight="1" x14ac:dyDescent="0.2">
      <c r="A1183" s="2" t="s">
        <v>2241</v>
      </c>
      <c r="B1183" s="2">
        <f t="shared" si="36"/>
        <v>2019</v>
      </c>
      <c r="C1183" s="2" t="str">
        <f t="shared" si="37"/>
        <v>EC101</v>
      </c>
      <c r="D1183" s="2">
        <v>565</v>
      </c>
      <c r="F1183" s="1764"/>
      <c r="G1183" s="1764"/>
      <c r="H1183" s="1764"/>
      <c r="I1183" s="1764"/>
      <c r="J1183" s="1764"/>
      <c r="K1183" s="1764"/>
      <c r="L1183" s="1764"/>
      <c r="M1183" s="1765"/>
      <c r="N1183" s="1765"/>
      <c r="O1183" s="1765"/>
      <c r="P1183" s="1765"/>
      <c r="Q1183" s="1765"/>
      <c r="W1183" t="s">
        <v>2089</v>
      </c>
    </row>
    <row r="1184" spans="1:23" ht="13.15" customHeight="1" x14ac:dyDescent="0.2">
      <c r="A1184" s="2" t="s">
        <v>2241</v>
      </c>
      <c r="B1184" s="2">
        <f t="shared" si="36"/>
        <v>2019</v>
      </c>
      <c r="C1184" s="2" t="str">
        <f t="shared" si="37"/>
        <v>EC101</v>
      </c>
      <c r="D1184" s="2">
        <v>566</v>
      </c>
      <c r="F1184" s="1764"/>
      <c r="G1184" s="1764"/>
      <c r="H1184" s="1764"/>
      <c r="I1184" s="1764"/>
      <c r="J1184" s="1764"/>
      <c r="K1184" s="1764"/>
      <c r="L1184" s="1764"/>
      <c r="M1184" s="1765"/>
      <c r="N1184" s="1765"/>
      <c r="O1184" s="1765"/>
      <c r="P1184" s="1765"/>
      <c r="Q1184" s="1765"/>
      <c r="W1184" t="s">
        <v>2089</v>
      </c>
    </row>
    <row r="1185" spans="1:23" ht="13.15" customHeight="1" x14ac:dyDescent="0.2">
      <c r="A1185" s="2" t="s">
        <v>2241</v>
      </c>
      <c r="B1185" s="2">
        <f t="shared" si="36"/>
        <v>2019</v>
      </c>
      <c r="C1185" s="2" t="str">
        <f t="shared" si="37"/>
        <v>EC101</v>
      </c>
      <c r="D1185" s="2">
        <v>567</v>
      </c>
      <c r="F1185" s="1764"/>
      <c r="G1185" s="1764"/>
      <c r="H1185" s="1764"/>
      <c r="I1185" s="1764"/>
      <c r="J1185" s="1764"/>
      <c r="K1185" s="1764"/>
      <c r="L1185" s="1764"/>
      <c r="M1185" s="1765"/>
      <c r="N1185" s="1765"/>
      <c r="O1185" s="1765"/>
      <c r="P1185" s="1765"/>
      <c r="Q1185" s="1765"/>
      <c r="W1185" t="s">
        <v>2089</v>
      </c>
    </row>
    <row r="1186" spans="1:23" ht="13.15" customHeight="1" x14ac:dyDescent="0.2">
      <c r="A1186" s="2" t="s">
        <v>2241</v>
      </c>
      <c r="B1186" s="2">
        <f t="shared" si="36"/>
        <v>2019</v>
      </c>
      <c r="C1186" s="2" t="str">
        <f t="shared" si="37"/>
        <v>EC101</v>
      </c>
      <c r="D1186" s="2">
        <v>568</v>
      </c>
      <c r="F1186" s="1764"/>
      <c r="G1186" s="1764"/>
      <c r="H1186" s="1764"/>
      <c r="I1186" s="1764"/>
      <c r="J1186" s="1764"/>
      <c r="K1186" s="1764"/>
      <c r="L1186" s="1764"/>
      <c r="M1186" s="1765"/>
      <c r="N1186" s="1765"/>
      <c r="O1186" s="1765"/>
      <c r="P1186" s="1765"/>
      <c r="Q1186" s="1765"/>
      <c r="W1186" t="s">
        <v>2089</v>
      </c>
    </row>
    <row r="1187" spans="1:23" ht="13.15" customHeight="1" x14ac:dyDescent="0.2">
      <c r="A1187" s="2" t="s">
        <v>2241</v>
      </c>
      <c r="B1187" s="2">
        <f t="shared" si="36"/>
        <v>2019</v>
      </c>
      <c r="C1187" s="2" t="str">
        <f t="shared" si="37"/>
        <v>EC101</v>
      </c>
      <c r="D1187" s="2">
        <v>569</v>
      </c>
      <c r="F1187" s="1764"/>
      <c r="G1187" s="1764"/>
      <c r="H1187" s="1764"/>
      <c r="I1187" s="1764"/>
      <c r="J1187" s="1764"/>
      <c r="K1187" s="1764"/>
      <c r="L1187" s="1764"/>
      <c r="M1187" s="1765"/>
      <c r="N1187" s="1765"/>
      <c r="O1187" s="1765"/>
      <c r="P1187" s="1765"/>
      <c r="Q1187" s="1765"/>
      <c r="W1187" t="s">
        <v>2089</v>
      </c>
    </row>
    <row r="1188" spans="1:23" ht="13.15" customHeight="1" x14ac:dyDescent="0.2">
      <c r="A1188" s="2" t="s">
        <v>2241</v>
      </c>
      <c r="B1188" s="2">
        <f t="shared" si="36"/>
        <v>2019</v>
      </c>
      <c r="C1188" s="2" t="str">
        <f t="shared" si="37"/>
        <v>EC101</v>
      </c>
      <c r="D1188" s="2">
        <v>570</v>
      </c>
      <c r="F1188" s="1764"/>
      <c r="G1188" s="1764"/>
      <c r="H1188" s="1764"/>
      <c r="I1188" s="1764"/>
      <c r="J1188" s="1764"/>
      <c r="K1188" s="1764"/>
      <c r="L1188" s="1764"/>
      <c r="M1188" s="1765"/>
      <c r="N1188" s="1765"/>
      <c r="O1188" s="1765"/>
      <c r="P1188" s="1765"/>
      <c r="Q1188" s="1765"/>
      <c r="W1188" t="s">
        <v>2089</v>
      </c>
    </row>
    <row r="1189" spans="1:23" ht="13.15" customHeight="1" x14ac:dyDescent="0.2">
      <c r="A1189" s="2" t="s">
        <v>2241</v>
      </c>
      <c r="B1189" s="2">
        <f t="shared" si="36"/>
        <v>2019</v>
      </c>
      <c r="C1189" s="2" t="str">
        <f t="shared" si="37"/>
        <v>EC101</v>
      </c>
      <c r="D1189" s="2">
        <v>571</v>
      </c>
      <c r="F1189" s="1764"/>
      <c r="G1189" s="1764"/>
      <c r="H1189" s="1764"/>
      <c r="I1189" s="1764"/>
      <c r="J1189" s="1764"/>
      <c r="K1189" s="1764"/>
      <c r="L1189" s="1764"/>
      <c r="M1189" s="1765"/>
      <c r="N1189" s="1765"/>
      <c r="O1189" s="1765"/>
      <c r="P1189" s="1765"/>
      <c r="Q1189" s="1765"/>
      <c r="W1189" t="s">
        <v>2089</v>
      </c>
    </row>
    <row r="1190" spans="1:23" ht="13.15" customHeight="1" x14ac:dyDescent="0.2">
      <c r="A1190" s="2" t="s">
        <v>2241</v>
      </c>
      <c r="B1190" s="2">
        <f t="shared" si="36"/>
        <v>2019</v>
      </c>
      <c r="C1190" s="2" t="str">
        <f t="shared" si="37"/>
        <v>EC101</v>
      </c>
      <c r="D1190" s="2">
        <v>572</v>
      </c>
      <c r="F1190" s="1764"/>
      <c r="G1190" s="1764"/>
      <c r="H1190" s="1764"/>
      <c r="I1190" s="1764"/>
      <c r="J1190" s="1764"/>
      <c r="K1190" s="1764"/>
      <c r="L1190" s="1764"/>
      <c r="M1190" s="1765"/>
      <c r="N1190" s="1765"/>
      <c r="O1190" s="1765"/>
      <c r="P1190" s="1765"/>
      <c r="Q1190" s="1765"/>
      <c r="W1190" t="s">
        <v>2089</v>
      </c>
    </row>
    <row r="1191" spans="1:23" ht="13.15" customHeight="1" x14ac:dyDescent="0.2">
      <c r="A1191" s="2" t="s">
        <v>2241</v>
      </c>
      <c r="B1191" s="2">
        <f t="shared" si="36"/>
        <v>2019</v>
      </c>
      <c r="C1191" s="2" t="str">
        <f t="shared" si="37"/>
        <v>EC101</v>
      </c>
      <c r="D1191" s="2">
        <v>573</v>
      </c>
      <c r="F1191" s="1764"/>
      <c r="G1191" s="1764"/>
      <c r="H1191" s="1764"/>
      <c r="I1191" s="1764"/>
      <c r="J1191" s="1764"/>
      <c r="K1191" s="1764"/>
      <c r="L1191" s="1764"/>
      <c r="M1191" s="1765"/>
      <c r="N1191" s="1765"/>
      <c r="O1191" s="1765"/>
      <c r="P1191" s="1765"/>
      <c r="Q1191" s="1765"/>
      <c r="W1191" t="s">
        <v>2089</v>
      </c>
    </row>
    <row r="1192" spans="1:23" ht="13.15" customHeight="1" x14ac:dyDescent="0.2">
      <c r="A1192" s="2" t="s">
        <v>2241</v>
      </c>
      <c r="B1192" s="2">
        <f t="shared" si="36"/>
        <v>2019</v>
      </c>
      <c r="C1192" s="2" t="str">
        <f t="shared" si="37"/>
        <v>EC101</v>
      </c>
      <c r="D1192" s="2">
        <v>574</v>
      </c>
      <c r="F1192" s="1764"/>
      <c r="G1192" s="1764"/>
      <c r="H1192" s="1764"/>
      <c r="I1192" s="1764"/>
      <c r="J1192" s="1764"/>
      <c r="K1192" s="1764"/>
      <c r="L1192" s="1764"/>
      <c r="M1192" s="1765"/>
      <c r="N1192" s="1765"/>
      <c r="O1192" s="1765"/>
      <c r="P1192" s="1765"/>
      <c r="Q1192" s="1765"/>
      <c r="W1192" t="s">
        <v>2089</v>
      </c>
    </row>
    <row r="1193" spans="1:23" ht="13.15" customHeight="1" x14ac:dyDescent="0.2">
      <c r="A1193" s="2" t="s">
        <v>2241</v>
      </c>
      <c r="B1193" s="2">
        <f t="shared" si="36"/>
        <v>2019</v>
      </c>
      <c r="C1193" s="2" t="str">
        <f t="shared" si="37"/>
        <v>EC101</v>
      </c>
      <c r="D1193" s="2">
        <v>575</v>
      </c>
      <c r="F1193" s="1764"/>
      <c r="G1193" s="1764"/>
      <c r="H1193" s="1764"/>
      <c r="I1193" s="1764"/>
      <c r="J1193" s="1764"/>
      <c r="K1193" s="1764"/>
      <c r="L1193" s="1764"/>
      <c r="M1193" s="1765"/>
      <c r="N1193" s="1765"/>
      <c r="O1193" s="1765"/>
      <c r="P1193" s="1765"/>
      <c r="Q1193" s="1765"/>
      <c r="W1193" t="s">
        <v>2089</v>
      </c>
    </row>
    <row r="1194" spans="1:23" ht="13.15" customHeight="1" x14ac:dyDescent="0.2">
      <c r="A1194" s="2" t="s">
        <v>2241</v>
      </c>
      <c r="B1194" s="2">
        <f t="shared" si="36"/>
        <v>2019</v>
      </c>
      <c r="C1194" s="2" t="str">
        <f t="shared" si="37"/>
        <v>EC101</v>
      </c>
      <c r="D1194" s="2">
        <v>576</v>
      </c>
      <c r="F1194" s="1764"/>
      <c r="G1194" s="1764"/>
      <c r="H1194" s="1764"/>
      <c r="I1194" s="1764"/>
      <c r="J1194" s="1764"/>
      <c r="K1194" s="1764"/>
      <c r="L1194" s="1764"/>
      <c r="M1194" s="1765"/>
      <c r="N1194" s="1765"/>
      <c r="O1194" s="1765"/>
      <c r="P1194" s="1765"/>
      <c r="Q1194" s="1765"/>
      <c r="W1194" t="s">
        <v>2089</v>
      </c>
    </row>
    <row r="1195" spans="1:23" ht="13.15" customHeight="1" x14ac:dyDescent="0.2">
      <c r="A1195" s="2" t="s">
        <v>2241</v>
      </c>
      <c r="B1195" s="2">
        <f t="shared" si="36"/>
        <v>2019</v>
      </c>
      <c r="C1195" s="2" t="str">
        <f t="shared" si="37"/>
        <v>EC101</v>
      </c>
      <c r="D1195" s="2">
        <v>577</v>
      </c>
      <c r="F1195" s="1764"/>
      <c r="G1195" s="1764"/>
      <c r="H1195" s="1764"/>
      <c r="I1195" s="1764"/>
      <c r="J1195" s="1764"/>
      <c r="K1195" s="1764"/>
      <c r="L1195" s="1764"/>
      <c r="M1195" s="1765"/>
      <c r="N1195" s="1765"/>
      <c r="O1195" s="1765"/>
      <c r="P1195" s="1765"/>
      <c r="Q1195" s="1765"/>
      <c r="W1195" t="s">
        <v>2089</v>
      </c>
    </row>
    <row r="1196" spans="1:23" ht="13.15" customHeight="1" x14ac:dyDescent="0.2">
      <c r="A1196" s="2" t="s">
        <v>2241</v>
      </c>
      <c r="B1196" s="2">
        <f t="shared" si="36"/>
        <v>2019</v>
      </c>
      <c r="C1196" s="2" t="str">
        <f t="shared" si="37"/>
        <v>EC101</v>
      </c>
      <c r="D1196" s="2">
        <v>578</v>
      </c>
      <c r="F1196" s="1764"/>
      <c r="G1196" s="1764"/>
      <c r="H1196" s="1764"/>
      <c r="I1196" s="1764"/>
      <c r="J1196" s="1764"/>
      <c r="K1196" s="1764"/>
      <c r="L1196" s="1764"/>
      <c r="M1196" s="1765"/>
      <c r="N1196" s="1765"/>
      <c r="O1196" s="1765"/>
      <c r="P1196" s="1765"/>
      <c r="Q1196" s="1765"/>
      <c r="W1196" t="s">
        <v>2089</v>
      </c>
    </row>
    <row r="1197" spans="1:23" ht="13.15" customHeight="1" x14ac:dyDescent="0.2">
      <c r="A1197" s="2" t="s">
        <v>2241</v>
      </c>
      <c r="B1197" s="2">
        <f t="shared" si="36"/>
        <v>2019</v>
      </c>
      <c r="C1197" s="2" t="str">
        <f t="shared" si="37"/>
        <v>EC101</v>
      </c>
      <c r="D1197" s="2">
        <v>579</v>
      </c>
      <c r="F1197" s="1764"/>
      <c r="G1197" s="1764"/>
      <c r="H1197" s="1764"/>
      <c r="I1197" s="1764"/>
      <c r="J1197" s="1764"/>
      <c r="K1197" s="1764"/>
      <c r="L1197" s="1764"/>
      <c r="M1197" s="1765"/>
      <c r="N1197" s="1765"/>
      <c r="O1197" s="1765"/>
      <c r="P1197" s="1765"/>
      <c r="Q1197" s="1765"/>
      <c r="W1197" t="s">
        <v>2089</v>
      </c>
    </row>
    <row r="1198" spans="1:23" ht="13.15" customHeight="1" x14ac:dyDescent="0.2">
      <c r="A1198" s="2" t="s">
        <v>2241</v>
      </c>
      <c r="B1198" s="2">
        <f t="shared" si="36"/>
        <v>2019</v>
      </c>
      <c r="C1198" s="2" t="str">
        <f t="shared" si="37"/>
        <v>EC101</v>
      </c>
      <c r="D1198" s="2">
        <v>580</v>
      </c>
      <c r="F1198" s="1764"/>
      <c r="G1198" s="1764"/>
      <c r="H1198" s="1764"/>
      <c r="I1198" s="1764"/>
      <c r="J1198" s="1764"/>
      <c r="K1198" s="1764"/>
      <c r="L1198" s="1764"/>
      <c r="M1198" s="1765"/>
      <c r="N1198" s="1765"/>
      <c r="O1198" s="1765"/>
      <c r="P1198" s="1765"/>
      <c r="Q1198" s="1765"/>
      <c r="W1198" t="s">
        <v>2089</v>
      </c>
    </row>
    <row r="1199" spans="1:23" ht="13.15" customHeight="1" x14ac:dyDescent="0.2">
      <c r="A1199" s="2" t="s">
        <v>2241</v>
      </c>
      <c r="B1199" s="2">
        <f t="shared" si="36"/>
        <v>2019</v>
      </c>
      <c r="C1199" s="2" t="str">
        <f t="shared" si="37"/>
        <v>EC101</v>
      </c>
      <c r="D1199" s="2">
        <v>581</v>
      </c>
      <c r="F1199" s="1764"/>
      <c r="G1199" s="1764"/>
      <c r="H1199" s="1764"/>
      <c r="I1199" s="1764"/>
      <c r="J1199" s="1764"/>
      <c r="K1199" s="1764"/>
      <c r="L1199" s="1764"/>
      <c r="M1199" s="1765"/>
      <c r="N1199" s="1765"/>
      <c r="O1199" s="1765"/>
      <c r="P1199" s="1765"/>
      <c r="Q1199" s="1765"/>
      <c r="W1199" t="s">
        <v>2089</v>
      </c>
    </row>
    <row r="1200" spans="1:23" ht="13.15" customHeight="1" x14ac:dyDescent="0.2">
      <c r="A1200" s="2" t="s">
        <v>2241</v>
      </c>
      <c r="B1200" s="2">
        <f t="shared" si="36"/>
        <v>2019</v>
      </c>
      <c r="C1200" s="2" t="str">
        <f t="shared" si="37"/>
        <v>EC101</v>
      </c>
      <c r="D1200" s="2">
        <v>582</v>
      </c>
      <c r="F1200" s="1764"/>
      <c r="G1200" s="1764"/>
      <c r="H1200" s="1764"/>
      <c r="I1200" s="1764"/>
      <c r="J1200" s="1764"/>
      <c r="K1200" s="1764"/>
      <c r="L1200" s="1764"/>
      <c r="M1200" s="1765"/>
      <c r="N1200" s="1765"/>
      <c r="O1200" s="1765"/>
      <c r="P1200" s="1765"/>
      <c r="Q1200" s="1765"/>
      <c r="W1200" t="s">
        <v>2089</v>
      </c>
    </row>
    <row r="1201" spans="1:23" ht="13.15" customHeight="1" x14ac:dyDescent="0.2">
      <c r="A1201" s="2" t="s">
        <v>2241</v>
      </c>
      <c r="B1201" s="2">
        <f t="shared" si="36"/>
        <v>2019</v>
      </c>
      <c r="C1201" s="2" t="str">
        <f t="shared" si="37"/>
        <v>EC101</v>
      </c>
      <c r="D1201" s="2">
        <v>583</v>
      </c>
      <c r="F1201" s="1764"/>
      <c r="G1201" s="1764"/>
      <c r="H1201" s="1764"/>
      <c r="I1201" s="1764"/>
      <c r="J1201" s="1764"/>
      <c r="K1201" s="1764"/>
      <c r="L1201" s="1764"/>
      <c r="M1201" s="1765"/>
      <c r="N1201" s="1765"/>
      <c r="O1201" s="1765"/>
      <c r="P1201" s="1765"/>
      <c r="Q1201" s="1765"/>
      <c r="W1201" t="s">
        <v>2089</v>
      </c>
    </row>
    <row r="1202" spans="1:23" ht="13.15" customHeight="1" x14ac:dyDescent="0.2">
      <c r="A1202" s="2" t="s">
        <v>2241</v>
      </c>
      <c r="B1202" s="2">
        <f t="shared" si="36"/>
        <v>2019</v>
      </c>
      <c r="C1202" s="2" t="str">
        <f t="shared" si="37"/>
        <v>EC101</v>
      </c>
      <c r="D1202" s="2">
        <v>584</v>
      </c>
      <c r="F1202" s="1764"/>
      <c r="G1202" s="1764"/>
      <c r="H1202" s="1764"/>
      <c r="I1202" s="1764"/>
      <c r="J1202" s="1764"/>
      <c r="K1202" s="1764"/>
      <c r="L1202" s="1764"/>
      <c r="M1202" s="1765"/>
      <c r="N1202" s="1765"/>
      <c r="O1202" s="1765"/>
      <c r="P1202" s="1765"/>
      <c r="Q1202" s="1765"/>
      <c r="W1202" t="s">
        <v>2089</v>
      </c>
    </row>
    <row r="1203" spans="1:23" ht="13.15" customHeight="1" x14ac:dyDescent="0.2">
      <c r="A1203" s="2" t="s">
        <v>2241</v>
      </c>
      <c r="B1203" s="2">
        <f t="shared" si="36"/>
        <v>2019</v>
      </c>
      <c r="C1203" s="2" t="str">
        <f t="shared" si="37"/>
        <v>EC101</v>
      </c>
      <c r="D1203" s="2">
        <v>585</v>
      </c>
      <c r="F1203" s="1764"/>
      <c r="G1203" s="1764"/>
      <c r="H1203" s="1764"/>
      <c r="I1203" s="1764"/>
      <c r="J1203" s="1764"/>
      <c r="K1203" s="1764"/>
      <c r="L1203" s="1764"/>
      <c r="M1203" s="1765"/>
      <c r="N1203" s="1765"/>
      <c r="O1203" s="1765"/>
      <c r="P1203" s="1765"/>
      <c r="Q1203" s="1765"/>
      <c r="W1203" t="s">
        <v>2089</v>
      </c>
    </row>
    <row r="1204" spans="1:23" ht="13.15" customHeight="1" x14ac:dyDescent="0.2">
      <c r="A1204" s="2" t="s">
        <v>2241</v>
      </c>
      <c r="B1204" s="2">
        <f t="shared" si="36"/>
        <v>2019</v>
      </c>
      <c r="C1204" s="2" t="str">
        <f t="shared" si="37"/>
        <v>EC101</v>
      </c>
      <c r="D1204" s="2">
        <v>586</v>
      </c>
      <c r="F1204" s="1764"/>
      <c r="G1204" s="1764"/>
      <c r="H1204" s="1764"/>
      <c r="I1204" s="1764"/>
      <c r="J1204" s="1764"/>
      <c r="K1204" s="1764"/>
      <c r="L1204" s="1764"/>
      <c r="M1204" s="1765"/>
      <c r="N1204" s="1765"/>
      <c r="O1204" s="1765"/>
      <c r="P1204" s="1765"/>
      <c r="Q1204" s="1765"/>
      <c r="W1204" t="s">
        <v>2089</v>
      </c>
    </row>
    <row r="1205" spans="1:23" ht="13.15" customHeight="1" x14ac:dyDescent="0.2">
      <c r="A1205" s="2" t="s">
        <v>2241</v>
      </c>
      <c r="B1205" s="2">
        <f t="shared" si="36"/>
        <v>2019</v>
      </c>
      <c r="C1205" s="2" t="str">
        <f t="shared" si="37"/>
        <v>EC101</v>
      </c>
      <c r="D1205" s="2">
        <v>587</v>
      </c>
      <c r="F1205" s="1764"/>
      <c r="G1205" s="1764"/>
      <c r="H1205" s="1764"/>
      <c r="I1205" s="1764"/>
      <c r="J1205" s="1764"/>
      <c r="K1205" s="1764"/>
      <c r="L1205" s="1764"/>
      <c r="M1205" s="1765"/>
      <c r="N1205" s="1765"/>
      <c r="O1205" s="1765"/>
      <c r="P1205" s="1765"/>
      <c r="Q1205" s="1765"/>
      <c r="W1205" t="s">
        <v>2089</v>
      </c>
    </row>
    <row r="1206" spans="1:23" ht="13.15" customHeight="1" x14ac:dyDescent="0.2">
      <c r="A1206" s="2" t="s">
        <v>2241</v>
      </c>
      <c r="B1206" s="2">
        <f t="shared" si="36"/>
        <v>2019</v>
      </c>
      <c r="C1206" s="2" t="str">
        <f t="shared" si="37"/>
        <v>EC101</v>
      </c>
      <c r="D1206" s="2">
        <v>588</v>
      </c>
      <c r="F1206" s="1764"/>
      <c r="G1206" s="1764"/>
      <c r="H1206" s="1764"/>
      <c r="I1206" s="1764"/>
      <c r="J1206" s="1764"/>
      <c r="K1206" s="1764"/>
      <c r="L1206" s="1764"/>
      <c r="M1206" s="1765"/>
      <c r="N1206" s="1765"/>
      <c r="O1206" s="1765"/>
      <c r="P1206" s="1765"/>
      <c r="Q1206" s="1765"/>
      <c r="W1206" t="s">
        <v>2089</v>
      </c>
    </row>
    <row r="1207" spans="1:23" ht="13.15" customHeight="1" x14ac:dyDescent="0.2">
      <c r="A1207" s="2" t="s">
        <v>2241</v>
      </c>
      <c r="B1207" s="2">
        <f t="shared" si="36"/>
        <v>2019</v>
      </c>
      <c r="C1207" s="2" t="str">
        <f t="shared" si="37"/>
        <v>EC101</v>
      </c>
      <c r="D1207" s="2">
        <v>589</v>
      </c>
      <c r="F1207" s="1764"/>
      <c r="G1207" s="1764"/>
      <c r="H1207" s="1764"/>
      <c r="I1207" s="1764"/>
      <c r="J1207" s="1764"/>
      <c r="K1207" s="1764"/>
      <c r="L1207" s="1764"/>
      <c r="M1207" s="1765"/>
      <c r="N1207" s="1765"/>
      <c r="O1207" s="1765"/>
      <c r="P1207" s="1765"/>
      <c r="Q1207" s="1765"/>
      <c r="W1207" t="s">
        <v>2089</v>
      </c>
    </row>
    <row r="1208" spans="1:23" ht="13.15" customHeight="1" x14ac:dyDescent="0.2">
      <c r="A1208" s="2" t="s">
        <v>2241</v>
      </c>
      <c r="B1208" s="2">
        <f t="shared" si="36"/>
        <v>2019</v>
      </c>
      <c r="C1208" s="2" t="str">
        <f t="shared" si="37"/>
        <v>EC101</v>
      </c>
      <c r="D1208" s="2">
        <v>590</v>
      </c>
      <c r="F1208" s="1764"/>
      <c r="G1208" s="1764"/>
      <c r="H1208" s="1764"/>
      <c r="I1208" s="1764"/>
      <c r="J1208" s="1764"/>
      <c r="K1208" s="1764"/>
      <c r="L1208" s="1764"/>
      <c r="M1208" s="1765"/>
      <c r="N1208" s="1765"/>
      <c r="O1208" s="1765"/>
      <c r="P1208" s="1765"/>
      <c r="Q1208" s="1765"/>
      <c r="W1208" t="s">
        <v>2089</v>
      </c>
    </row>
    <row r="1209" spans="1:23" ht="13.15" customHeight="1" x14ac:dyDescent="0.2">
      <c r="A1209" s="2" t="s">
        <v>2241</v>
      </c>
      <c r="B1209" s="2">
        <f t="shared" si="36"/>
        <v>2019</v>
      </c>
      <c r="C1209" s="2" t="str">
        <f t="shared" si="37"/>
        <v>EC101</v>
      </c>
      <c r="D1209" s="2">
        <v>591</v>
      </c>
      <c r="F1209" s="1764"/>
      <c r="G1209" s="1764"/>
      <c r="H1209" s="1764"/>
      <c r="I1209" s="1764"/>
      <c r="J1209" s="1764"/>
      <c r="K1209" s="1764"/>
      <c r="L1209" s="1764"/>
      <c r="M1209" s="1765"/>
      <c r="N1209" s="1765"/>
      <c r="O1209" s="1765"/>
      <c r="P1209" s="1765"/>
      <c r="Q1209" s="1765"/>
      <c r="W1209" t="s">
        <v>2089</v>
      </c>
    </row>
    <row r="1210" spans="1:23" ht="13.15" customHeight="1" x14ac:dyDescent="0.2">
      <c r="A1210" s="2" t="s">
        <v>2241</v>
      </c>
      <c r="B1210" s="2">
        <f t="shared" si="36"/>
        <v>2019</v>
      </c>
      <c r="C1210" s="2" t="str">
        <f t="shared" si="37"/>
        <v>EC101</v>
      </c>
      <c r="D1210" s="2">
        <v>592</v>
      </c>
      <c r="F1210" s="1764"/>
      <c r="G1210" s="1764"/>
      <c r="H1210" s="1764"/>
      <c r="I1210" s="1764"/>
      <c r="J1210" s="1764"/>
      <c r="K1210" s="1764"/>
      <c r="L1210" s="1764"/>
      <c r="M1210" s="1765"/>
      <c r="N1210" s="1765"/>
      <c r="O1210" s="1765"/>
      <c r="P1210" s="1765"/>
      <c r="Q1210" s="1765"/>
      <c r="W1210" t="s">
        <v>2089</v>
      </c>
    </row>
    <row r="1211" spans="1:23" ht="13.15" customHeight="1" x14ac:dyDescent="0.2">
      <c r="A1211" s="2" t="s">
        <v>2241</v>
      </c>
      <c r="B1211" s="2">
        <f t="shared" si="36"/>
        <v>2019</v>
      </c>
      <c r="C1211" s="2" t="str">
        <f t="shared" si="37"/>
        <v>EC101</v>
      </c>
      <c r="D1211" s="2">
        <v>593</v>
      </c>
      <c r="F1211" s="1764"/>
      <c r="G1211" s="1764"/>
      <c r="H1211" s="1764"/>
      <c r="I1211" s="1764"/>
      <c r="J1211" s="1764"/>
      <c r="K1211" s="1764"/>
      <c r="L1211" s="1764"/>
      <c r="M1211" s="1765"/>
      <c r="N1211" s="1765"/>
      <c r="O1211" s="1765"/>
      <c r="P1211" s="1765"/>
      <c r="Q1211" s="1765"/>
      <c r="W1211" t="s">
        <v>2089</v>
      </c>
    </row>
    <row r="1212" spans="1:23" ht="13.15" customHeight="1" x14ac:dyDescent="0.2">
      <c r="A1212" s="2" t="s">
        <v>2241</v>
      </c>
      <c r="B1212" s="2">
        <f t="shared" si="36"/>
        <v>2019</v>
      </c>
      <c r="C1212" s="2" t="str">
        <f t="shared" si="37"/>
        <v>EC101</v>
      </c>
      <c r="D1212" s="2">
        <v>594</v>
      </c>
      <c r="F1212" s="1764"/>
      <c r="G1212" s="1764"/>
      <c r="H1212" s="1764"/>
      <c r="I1212" s="1764"/>
      <c r="J1212" s="1764"/>
      <c r="K1212" s="1764"/>
      <c r="L1212" s="1764"/>
      <c r="M1212" s="1765"/>
      <c r="N1212" s="1765"/>
      <c r="O1212" s="1765"/>
      <c r="P1212" s="1765"/>
      <c r="Q1212" s="1765"/>
      <c r="W1212" t="s">
        <v>2089</v>
      </c>
    </row>
    <row r="1213" spans="1:23" ht="13.15" customHeight="1" x14ac:dyDescent="0.2">
      <c r="A1213" s="2" t="s">
        <v>2241</v>
      </c>
      <c r="B1213" s="2">
        <f t="shared" si="36"/>
        <v>2019</v>
      </c>
      <c r="C1213" s="2" t="str">
        <f t="shared" si="37"/>
        <v>EC101</v>
      </c>
      <c r="D1213" s="2">
        <v>595</v>
      </c>
      <c r="F1213" s="1764"/>
      <c r="G1213" s="1764"/>
      <c r="H1213" s="1764"/>
      <c r="I1213" s="1764"/>
      <c r="J1213" s="1764"/>
      <c r="K1213" s="1764"/>
      <c r="L1213" s="1764"/>
      <c r="M1213" s="1765"/>
      <c r="N1213" s="1765"/>
      <c r="O1213" s="1765"/>
      <c r="P1213" s="1765"/>
      <c r="Q1213" s="1765"/>
      <c r="W1213" t="s">
        <v>2089</v>
      </c>
    </row>
    <row r="1214" spans="1:23" ht="13.15" customHeight="1" x14ac:dyDescent="0.2">
      <c r="A1214" s="2" t="s">
        <v>2241</v>
      </c>
      <c r="B1214" s="2">
        <f t="shared" si="36"/>
        <v>2019</v>
      </c>
      <c r="C1214" s="2" t="str">
        <f t="shared" si="37"/>
        <v>EC101</v>
      </c>
      <c r="D1214" s="2">
        <v>596</v>
      </c>
      <c r="F1214" s="1764"/>
      <c r="G1214" s="1764"/>
      <c r="H1214" s="1764"/>
      <c r="I1214" s="1764"/>
      <c r="J1214" s="1764"/>
      <c r="K1214" s="1764"/>
      <c r="L1214" s="1764"/>
      <c r="M1214" s="1765"/>
      <c r="N1214" s="1765"/>
      <c r="O1214" s="1765"/>
      <c r="P1214" s="1765"/>
      <c r="Q1214" s="1765"/>
      <c r="W1214" t="s">
        <v>2089</v>
      </c>
    </row>
    <row r="1215" spans="1:23" ht="13.15" customHeight="1" x14ac:dyDescent="0.2">
      <c r="A1215" s="2" t="s">
        <v>2241</v>
      </c>
      <c r="B1215" s="2">
        <f t="shared" si="36"/>
        <v>2019</v>
      </c>
      <c r="C1215" s="2" t="str">
        <f t="shared" si="37"/>
        <v>EC101</v>
      </c>
      <c r="D1215" s="2">
        <v>597</v>
      </c>
      <c r="F1215" s="1764"/>
      <c r="G1215" s="1764"/>
      <c r="H1215" s="1764"/>
      <c r="I1215" s="1764"/>
      <c r="J1215" s="1764"/>
      <c r="K1215" s="1764"/>
      <c r="L1215" s="1764"/>
      <c r="M1215" s="1765"/>
      <c r="N1215" s="1765"/>
      <c r="O1215" s="1765"/>
      <c r="P1215" s="1765"/>
      <c r="Q1215" s="1765"/>
      <c r="W1215" t="s">
        <v>2089</v>
      </c>
    </row>
    <row r="1216" spans="1:23" ht="13.15" customHeight="1" x14ac:dyDescent="0.2">
      <c r="A1216" s="2" t="s">
        <v>2241</v>
      </c>
      <c r="B1216" s="2">
        <f t="shared" si="36"/>
        <v>2019</v>
      </c>
      <c r="C1216" s="2" t="str">
        <f t="shared" si="37"/>
        <v>EC101</v>
      </c>
      <c r="D1216" s="2">
        <v>598</v>
      </c>
      <c r="F1216" s="1764"/>
      <c r="G1216" s="1764"/>
      <c r="H1216" s="1764"/>
      <c r="I1216" s="1764"/>
      <c r="J1216" s="1764"/>
      <c r="K1216" s="1764"/>
      <c r="L1216" s="1764"/>
      <c r="M1216" s="1765"/>
      <c r="N1216" s="1765"/>
      <c r="O1216" s="1765"/>
      <c r="P1216" s="1765"/>
      <c r="Q1216" s="1765"/>
      <c r="W1216" t="s">
        <v>2089</v>
      </c>
    </row>
    <row r="1217" spans="1:23" ht="13.15" customHeight="1" x14ac:dyDescent="0.2">
      <c r="A1217" s="2" t="s">
        <v>2241</v>
      </c>
      <c r="B1217" s="2">
        <f t="shared" si="36"/>
        <v>2019</v>
      </c>
      <c r="C1217" s="2" t="str">
        <f t="shared" si="37"/>
        <v>EC101</v>
      </c>
      <c r="D1217" s="2">
        <v>599</v>
      </c>
      <c r="F1217" s="1764"/>
      <c r="G1217" s="1764"/>
      <c r="H1217" s="1764"/>
      <c r="I1217" s="1764"/>
      <c r="J1217" s="1764"/>
      <c r="K1217" s="1764"/>
      <c r="L1217" s="1764"/>
      <c r="M1217" s="1765"/>
      <c r="N1217" s="1765"/>
      <c r="O1217" s="1765"/>
      <c r="P1217" s="1765"/>
      <c r="Q1217" s="1765"/>
      <c r="W1217" t="s">
        <v>2089</v>
      </c>
    </row>
    <row r="1218" spans="1:23" ht="13.15" customHeight="1" x14ac:dyDescent="0.2">
      <c r="A1218" s="2" t="s">
        <v>2241</v>
      </c>
      <c r="B1218" s="2">
        <f t="shared" ref="B1218:B1281" si="38">+MTREF</f>
        <v>2019</v>
      </c>
      <c r="C1218" s="2" t="str">
        <f t="shared" ref="C1218:C1281" si="39">LEFT(muni,(FIND(" ",muni,1)-1))</f>
        <v>EC101</v>
      </c>
      <c r="D1218" s="2">
        <v>600</v>
      </c>
      <c r="F1218" s="1764"/>
      <c r="G1218" s="1764"/>
      <c r="H1218" s="1764"/>
      <c r="I1218" s="1764"/>
      <c r="J1218" s="1764"/>
      <c r="K1218" s="1764"/>
      <c r="L1218" s="1764"/>
      <c r="M1218" s="1765"/>
      <c r="N1218" s="1765"/>
      <c r="O1218" s="1765"/>
      <c r="P1218" s="1765"/>
      <c r="Q1218" s="1765"/>
      <c r="W1218" t="s">
        <v>2089</v>
      </c>
    </row>
    <row r="1219" spans="1:23" ht="13.15" customHeight="1" x14ac:dyDescent="0.2">
      <c r="A1219" s="2" t="s">
        <v>2241</v>
      </c>
      <c r="B1219" s="2">
        <f t="shared" si="38"/>
        <v>2019</v>
      </c>
      <c r="C1219" s="2" t="str">
        <f t="shared" si="39"/>
        <v>EC101</v>
      </c>
      <c r="D1219" s="2">
        <v>601</v>
      </c>
      <c r="F1219" s="1764"/>
      <c r="G1219" s="1764"/>
      <c r="H1219" s="1764"/>
      <c r="I1219" s="1764"/>
      <c r="J1219" s="1764"/>
      <c r="K1219" s="1764"/>
      <c r="L1219" s="1764"/>
      <c r="M1219" s="1765"/>
      <c r="N1219" s="1765"/>
      <c r="O1219" s="1765"/>
      <c r="P1219" s="1765"/>
      <c r="Q1219" s="1765"/>
      <c r="W1219" t="s">
        <v>2089</v>
      </c>
    </row>
    <row r="1220" spans="1:23" ht="13.15" customHeight="1" x14ac:dyDescent="0.2">
      <c r="A1220" s="2" t="s">
        <v>2241</v>
      </c>
      <c r="B1220" s="2">
        <f t="shared" si="38"/>
        <v>2019</v>
      </c>
      <c r="C1220" s="2" t="str">
        <f t="shared" si="39"/>
        <v>EC101</v>
      </c>
      <c r="D1220" s="2">
        <v>602</v>
      </c>
      <c r="F1220" s="1764"/>
      <c r="G1220" s="1764"/>
      <c r="H1220" s="1764"/>
      <c r="I1220" s="1764"/>
      <c r="J1220" s="1764"/>
      <c r="K1220" s="1764"/>
      <c r="L1220" s="1764"/>
      <c r="M1220" s="1765"/>
      <c r="N1220" s="1765"/>
      <c r="O1220" s="1765"/>
      <c r="P1220" s="1765"/>
      <c r="Q1220" s="1765"/>
      <c r="W1220" t="s">
        <v>2089</v>
      </c>
    </row>
    <row r="1221" spans="1:23" ht="13.15" customHeight="1" x14ac:dyDescent="0.2">
      <c r="A1221" s="2" t="s">
        <v>2241</v>
      </c>
      <c r="B1221" s="2">
        <f t="shared" si="38"/>
        <v>2019</v>
      </c>
      <c r="C1221" s="2" t="str">
        <f t="shared" si="39"/>
        <v>EC101</v>
      </c>
      <c r="D1221" s="2">
        <v>603</v>
      </c>
      <c r="F1221" s="1764"/>
      <c r="G1221" s="1764"/>
      <c r="H1221" s="1764"/>
      <c r="I1221" s="1764"/>
      <c r="J1221" s="1764"/>
      <c r="K1221" s="1764"/>
      <c r="L1221" s="1764"/>
      <c r="M1221" s="1765"/>
      <c r="N1221" s="1765"/>
      <c r="O1221" s="1765"/>
      <c r="P1221" s="1765"/>
      <c r="Q1221" s="1765"/>
      <c r="W1221" t="s">
        <v>2089</v>
      </c>
    </row>
    <row r="1222" spans="1:23" ht="13.15" customHeight="1" x14ac:dyDescent="0.2">
      <c r="A1222" s="2" t="s">
        <v>2241</v>
      </c>
      <c r="B1222" s="2">
        <f t="shared" si="38"/>
        <v>2019</v>
      </c>
      <c r="C1222" s="2" t="str">
        <f t="shared" si="39"/>
        <v>EC101</v>
      </c>
      <c r="D1222" s="2">
        <v>604</v>
      </c>
      <c r="F1222" s="1764"/>
      <c r="G1222" s="1764"/>
      <c r="H1222" s="1764"/>
      <c r="I1222" s="1764"/>
      <c r="J1222" s="1764"/>
      <c r="K1222" s="1764"/>
      <c r="L1222" s="1764"/>
      <c r="M1222" s="1765"/>
      <c r="N1222" s="1765"/>
      <c r="O1222" s="1765"/>
      <c r="P1222" s="1765"/>
      <c r="Q1222" s="1765"/>
      <c r="W1222" t="s">
        <v>2089</v>
      </c>
    </row>
    <row r="1223" spans="1:23" ht="13.15" customHeight="1" x14ac:dyDescent="0.2">
      <c r="A1223" s="2" t="s">
        <v>2241</v>
      </c>
      <c r="B1223" s="2">
        <f t="shared" si="38"/>
        <v>2019</v>
      </c>
      <c r="C1223" s="2" t="str">
        <f t="shared" si="39"/>
        <v>EC101</v>
      </c>
      <c r="D1223" s="2">
        <v>605</v>
      </c>
      <c r="F1223" s="1764"/>
      <c r="G1223" s="1764"/>
      <c r="H1223" s="1764"/>
      <c r="I1223" s="1764"/>
      <c r="J1223" s="1764"/>
      <c r="K1223" s="1764"/>
      <c r="L1223" s="1764"/>
      <c r="M1223" s="1765"/>
      <c r="N1223" s="1765"/>
      <c r="O1223" s="1765"/>
      <c r="P1223" s="1765"/>
      <c r="Q1223" s="1765"/>
      <c r="W1223" t="s">
        <v>2089</v>
      </c>
    </row>
    <row r="1224" spans="1:23" ht="13.15" customHeight="1" x14ac:dyDescent="0.2">
      <c r="A1224" s="2" t="s">
        <v>2241</v>
      </c>
      <c r="B1224" s="2">
        <f t="shared" si="38"/>
        <v>2019</v>
      </c>
      <c r="C1224" s="2" t="str">
        <f t="shared" si="39"/>
        <v>EC101</v>
      </c>
      <c r="D1224" s="2">
        <v>606</v>
      </c>
      <c r="F1224" s="1764"/>
      <c r="G1224" s="1764"/>
      <c r="H1224" s="1764"/>
      <c r="I1224" s="1764"/>
      <c r="J1224" s="1764"/>
      <c r="K1224" s="1764"/>
      <c r="L1224" s="1764"/>
      <c r="M1224" s="1765"/>
      <c r="N1224" s="1765"/>
      <c r="O1224" s="1765"/>
      <c r="P1224" s="1765"/>
      <c r="Q1224" s="1765"/>
      <c r="W1224" t="s">
        <v>2089</v>
      </c>
    </row>
    <row r="1225" spans="1:23" ht="13.15" customHeight="1" x14ac:dyDescent="0.2">
      <c r="A1225" s="2" t="s">
        <v>2241</v>
      </c>
      <c r="B1225" s="2">
        <f t="shared" si="38"/>
        <v>2019</v>
      </c>
      <c r="C1225" s="2" t="str">
        <f t="shared" si="39"/>
        <v>EC101</v>
      </c>
      <c r="D1225" s="2">
        <v>607</v>
      </c>
      <c r="F1225" s="1764"/>
      <c r="G1225" s="1764"/>
      <c r="H1225" s="1764"/>
      <c r="I1225" s="1764"/>
      <c r="J1225" s="1764"/>
      <c r="K1225" s="1764"/>
      <c r="L1225" s="1764"/>
      <c r="M1225" s="1765"/>
      <c r="N1225" s="1765"/>
      <c r="O1225" s="1765"/>
      <c r="P1225" s="1765"/>
      <c r="Q1225" s="1765"/>
      <c r="W1225" t="s">
        <v>2089</v>
      </c>
    </row>
    <row r="1226" spans="1:23" ht="13.15" customHeight="1" x14ac:dyDescent="0.2">
      <c r="A1226" s="2" t="s">
        <v>2241</v>
      </c>
      <c r="B1226" s="2">
        <f t="shared" si="38"/>
        <v>2019</v>
      </c>
      <c r="C1226" s="2" t="str">
        <f t="shared" si="39"/>
        <v>EC101</v>
      </c>
      <c r="D1226" s="2">
        <v>608</v>
      </c>
      <c r="F1226" s="1764"/>
      <c r="G1226" s="1764"/>
      <c r="H1226" s="1764"/>
      <c r="I1226" s="1764"/>
      <c r="J1226" s="1764"/>
      <c r="K1226" s="1764"/>
      <c r="L1226" s="1764"/>
      <c r="M1226" s="1765"/>
      <c r="N1226" s="1765"/>
      <c r="O1226" s="1765"/>
      <c r="P1226" s="1765"/>
      <c r="Q1226" s="1765"/>
      <c r="W1226" t="s">
        <v>2089</v>
      </c>
    </row>
    <row r="1227" spans="1:23" ht="13.15" customHeight="1" x14ac:dyDescent="0.2">
      <c r="A1227" s="2" t="s">
        <v>2241</v>
      </c>
      <c r="B1227" s="2">
        <f t="shared" si="38"/>
        <v>2019</v>
      </c>
      <c r="C1227" s="2" t="str">
        <f t="shared" si="39"/>
        <v>EC101</v>
      </c>
      <c r="D1227" s="2">
        <v>609</v>
      </c>
      <c r="F1227" s="1764"/>
      <c r="G1227" s="1764"/>
      <c r="H1227" s="1764"/>
      <c r="I1227" s="1764"/>
      <c r="J1227" s="1764"/>
      <c r="K1227" s="1764"/>
      <c r="L1227" s="1764"/>
      <c r="M1227" s="1765"/>
      <c r="N1227" s="1765"/>
      <c r="O1227" s="1765"/>
      <c r="P1227" s="1765"/>
      <c r="Q1227" s="1765"/>
      <c r="W1227" t="s">
        <v>2089</v>
      </c>
    </row>
    <row r="1228" spans="1:23" ht="13.15" customHeight="1" x14ac:dyDescent="0.2">
      <c r="A1228" s="2" t="s">
        <v>2241</v>
      </c>
      <c r="B1228" s="2">
        <f t="shared" si="38"/>
        <v>2019</v>
      </c>
      <c r="C1228" s="2" t="str">
        <f t="shared" si="39"/>
        <v>EC101</v>
      </c>
      <c r="D1228" s="2">
        <v>610</v>
      </c>
      <c r="F1228" s="1764"/>
      <c r="G1228" s="1764"/>
      <c r="H1228" s="1764"/>
      <c r="I1228" s="1764"/>
      <c r="J1228" s="1764"/>
      <c r="K1228" s="1764"/>
      <c r="L1228" s="1764"/>
      <c r="M1228" s="1765"/>
      <c r="N1228" s="1765"/>
      <c r="O1228" s="1765"/>
      <c r="P1228" s="1765"/>
      <c r="Q1228" s="1765"/>
      <c r="W1228" t="s">
        <v>2089</v>
      </c>
    </row>
    <row r="1229" spans="1:23" ht="13.15" customHeight="1" x14ac:dyDescent="0.2">
      <c r="A1229" s="2" t="s">
        <v>2241</v>
      </c>
      <c r="B1229" s="2">
        <f t="shared" si="38"/>
        <v>2019</v>
      </c>
      <c r="C1229" s="2" t="str">
        <f t="shared" si="39"/>
        <v>EC101</v>
      </c>
      <c r="D1229" s="2">
        <v>611</v>
      </c>
      <c r="F1229" s="1764"/>
      <c r="G1229" s="1764"/>
      <c r="H1229" s="1764"/>
      <c r="I1229" s="1764"/>
      <c r="J1229" s="1764"/>
      <c r="K1229" s="1764"/>
      <c r="L1229" s="1764"/>
      <c r="M1229" s="1765"/>
      <c r="N1229" s="1765"/>
      <c r="O1229" s="1765"/>
      <c r="P1229" s="1765"/>
      <c r="Q1229" s="1765"/>
      <c r="W1229" t="s">
        <v>2089</v>
      </c>
    </row>
    <row r="1230" spans="1:23" ht="13.15" customHeight="1" x14ac:dyDescent="0.2">
      <c r="A1230" s="2" t="s">
        <v>2241</v>
      </c>
      <c r="B1230" s="2">
        <f t="shared" si="38"/>
        <v>2019</v>
      </c>
      <c r="C1230" s="2" t="str">
        <f t="shared" si="39"/>
        <v>EC101</v>
      </c>
      <c r="D1230" s="2">
        <v>612</v>
      </c>
      <c r="F1230" s="1764"/>
      <c r="G1230" s="1764"/>
      <c r="H1230" s="1764"/>
      <c r="I1230" s="1764"/>
      <c r="J1230" s="1764"/>
      <c r="K1230" s="1764"/>
      <c r="L1230" s="1764"/>
      <c r="M1230" s="1765"/>
      <c r="N1230" s="1765"/>
      <c r="O1230" s="1765"/>
      <c r="P1230" s="1765"/>
      <c r="Q1230" s="1765"/>
      <c r="W1230" t="s">
        <v>2089</v>
      </c>
    </row>
    <row r="1231" spans="1:23" ht="13.15" customHeight="1" x14ac:dyDescent="0.2">
      <c r="A1231" s="2" t="s">
        <v>2241</v>
      </c>
      <c r="B1231" s="2">
        <f t="shared" si="38"/>
        <v>2019</v>
      </c>
      <c r="C1231" s="2" t="str">
        <f t="shared" si="39"/>
        <v>EC101</v>
      </c>
      <c r="D1231" s="2">
        <v>613</v>
      </c>
      <c r="F1231" s="1764"/>
      <c r="G1231" s="1764"/>
      <c r="H1231" s="1764"/>
      <c r="I1231" s="1764"/>
      <c r="J1231" s="1764"/>
      <c r="K1231" s="1764"/>
      <c r="L1231" s="1764"/>
      <c r="M1231" s="1765"/>
      <c r="N1231" s="1765"/>
      <c r="O1231" s="1765"/>
      <c r="P1231" s="1765"/>
      <c r="Q1231" s="1765"/>
      <c r="W1231" t="s">
        <v>2089</v>
      </c>
    </row>
    <row r="1232" spans="1:23" ht="13.15" customHeight="1" x14ac:dyDescent="0.2">
      <c r="A1232" s="2" t="s">
        <v>2241</v>
      </c>
      <c r="B1232" s="2">
        <f t="shared" si="38"/>
        <v>2019</v>
      </c>
      <c r="C1232" s="2" t="str">
        <f t="shared" si="39"/>
        <v>EC101</v>
      </c>
      <c r="D1232" s="2">
        <v>614</v>
      </c>
      <c r="F1232" s="1764"/>
      <c r="G1232" s="1764"/>
      <c r="H1232" s="1764"/>
      <c r="I1232" s="1764"/>
      <c r="J1232" s="1764"/>
      <c r="K1232" s="1764"/>
      <c r="L1232" s="1764"/>
      <c r="M1232" s="1765"/>
      <c r="N1232" s="1765"/>
      <c r="O1232" s="1765"/>
      <c r="P1232" s="1765"/>
      <c r="Q1232" s="1765"/>
      <c r="W1232" t="s">
        <v>2089</v>
      </c>
    </row>
    <row r="1233" spans="1:23" ht="13.15" customHeight="1" x14ac:dyDescent="0.2">
      <c r="A1233" s="2" t="s">
        <v>2241</v>
      </c>
      <c r="B1233" s="2">
        <f t="shared" si="38"/>
        <v>2019</v>
      </c>
      <c r="C1233" s="2" t="str">
        <f t="shared" si="39"/>
        <v>EC101</v>
      </c>
      <c r="D1233" s="2">
        <v>615</v>
      </c>
      <c r="F1233" s="1764"/>
      <c r="G1233" s="1764"/>
      <c r="H1233" s="1764"/>
      <c r="I1233" s="1764"/>
      <c r="J1233" s="1764"/>
      <c r="K1233" s="1764"/>
      <c r="L1233" s="1764"/>
      <c r="M1233" s="1765"/>
      <c r="N1233" s="1765"/>
      <c r="O1233" s="1765"/>
      <c r="P1233" s="1765"/>
      <c r="Q1233" s="1765"/>
      <c r="W1233" t="s">
        <v>2089</v>
      </c>
    </row>
    <row r="1234" spans="1:23" ht="13.15" customHeight="1" x14ac:dyDescent="0.2">
      <c r="A1234" s="2" t="s">
        <v>2241</v>
      </c>
      <c r="B1234" s="2">
        <f t="shared" si="38"/>
        <v>2019</v>
      </c>
      <c r="C1234" s="2" t="str">
        <f t="shared" si="39"/>
        <v>EC101</v>
      </c>
      <c r="D1234" s="2">
        <v>616</v>
      </c>
      <c r="F1234" s="1764"/>
      <c r="G1234" s="1764"/>
      <c r="H1234" s="1764"/>
      <c r="I1234" s="1764"/>
      <c r="J1234" s="1764"/>
      <c r="K1234" s="1764"/>
      <c r="L1234" s="1764"/>
      <c r="M1234" s="1765"/>
      <c r="N1234" s="1765"/>
      <c r="O1234" s="1765"/>
      <c r="P1234" s="1765"/>
      <c r="Q1234" s="1765"/>
      <c r="W1234" t="s">
        <v>2089</v>
      </c>
    </row>
    <row r="1235" spans="1:23" ht="13.15" customHeight="1" x14ac:dyDescent="0.2">
      <c r="A1235" s="2" t="s">
        <v>2241</v>
      </c>
      <c r="B1235" s="2">
        <f t="shared" si="38"/>
        <v>2019</v>
      </c>
      <c r="C1235" s="2" t="str">
        <f t="shared" si="39"/>
        <v>EC101</v>
      </c>
      <c r="D1235" s="2">
        <v>617</v>
      </c>
      <c r="F1235" s="1764"/>
      <c r="G1235" s="1764"/>
      <c r="H1235" s="1764"/>
      <c r="I1235" s="1764"/>
      <c r="J1235" s="1764"/>
      <c r="K1235" s="1764"/>
      <c r="L1235" s="1764"/>
      <c r="M1235" s="1765"/>
      <c r="N1235" s="1765"/>
      <c r="O1235" s="1765"/>
      <c r="P1235" s="1765"/>
      <c r="Q1235" s="1765"/>
      <c r="W1235" t="s">
        <v>2089</v>
      </c>
    </row>
    <row r="1236" spans="1:23" ht="13.15" customHeight="1" x14ac:dyDescent="0.2">
      <c r="A1236" s="2" t="s">
        <v>2241</v>
      </c>
      <c r="B1236" s="2">
        <f t="shared" si="38"/>
        <v>2019</v>
      </c>
      <c r="C1236" s="2" t="str">
        <f t="shared" si="39"/>
        <v>EC101</v>
      </c>
      <c r="D1236" s="2">
        <v>618</v>
      </c>
      <c r="F1236" s="1764"/>
      <c r="G1236" s="1764"/>
      <c r="H1236" s="1764"/>
      <c r="I1236" s="1764"/>
      <c r="J1236" s="1764"/>
      <c r="K1236" s="1764"/>
      <c r="L1236" s="1764"/>
      <c r="M1236" s="1765"/>
      <c r="N1236" s="1765"/>
      <c r="O1236" s="1765"/>
      <c r="P1236" s="1765"/>
      <c r="Q1236" s="1765"/>
      <c r="W1236" t="s">
        <v>2089</v>
      </c>
    </row>
    <row r="1237" spans="1:23" ht="13.15" customHeight="1" x14ac:dyDescent="0.2">
      <c r="A1237" s="2" t="s">
        <v>2241</v>
      </c>
      <c r="B1237" s="2">
        <f t="shared" si="38"/>
        <v>2019</v>
      </c>
      <c r="C1237" s="2" t="str">
        <f t="shared" si="39"/>
        <v>EC101</v>
      </c>
      <c r="D1237" s="2">
        <v>619</v>
      </c>
      <c r="F1237" s="1764"/>
      <c r="G1237" s="1764"/>
      <c r="H1237" s="1764"/>
      <c r="I1237" s="1764"/>
      <c r="J1237" s="1764"/>
      <c r="K1237" s="1764"/>
      <c r="L1237" s="1764"/>
      <c r="M1237" s="1765"/>
      <c r="N1237" s="1765"/>
      <c r="O1237" s="1765"/>
      <c r="P1237" s="1765"/>
      <c r="Q1237" s="1765"/>
      <c r="W1237" t="s">
        <v>2089</v>
      </c>
    </row>
    <row r="1238" spans="1:23" ht="13.15" customHeight="1" x14ac:dyDescent="0.2">
      <c r="A1238" s="2" t="s">
        <v>2241</v>
      </c>
      <c r="B1238" s="2">
        <f t="shared" si="38"/>
        <v>2019</v>
      </c>
      <c r="C1238" s="2" t="str">
        <f t="shared" si="39"/>
        <v>EC101</v>
      </c>
      <c r="D1238" s="2">
        <v>620</v>
      </c>
      <c r="F1238" s="1764"/>
      <c r="G1238" s="1764"/>
      <c r="H1238" s="1764"/>
      <c r="I1238" s="1764"/>
      <c r="J1238" s="1764"/>
      <c r="K1238" s="1764"/>
      <c r="L1238" s="1764"/>
      <c r="M1238" s="1765"/>
      <c r="N1238" s="1765"/>
      <c r="O1238" s="1765"/>
      <c r="P1238" s="1765"/>
      <c r="Q1238" s="1765"/>
      <c r="W1238" t="s">
        <v>2089</v>
      </c>
    </row>
    <row r="1239" spans="1:23" ht="13.15" customHeight="1" x14ac:dyDescent="0.2">
      <c r="A1239" s="2" t="s">
        <v>2241</v>
      </c>
      <c r="B1239" s="2">
        <f t="shared" si="38"/>
        <v>2019</v>
      </c>
      <c r="C1239" s="2" t="str">
        <f t="shared" si="39"/>
        <v>EC101</v>
      </c>
      <c r="D1239" s="2">
        <v>621</v>
      </c>
      <c r="F1239" s="1764"/>
      <c r="G1239" s="1764"/>
      <c r="H1239" s="1764"/>
      <c r="I1239" s="1764"/>
      <c r="J1239" s="1764"/>
      <c r="K1239" s="1764"/>
      <c r="L1239" s="1764"/>
      <c r="M1239" s="1765"/>
      <c r="N1239" s="1765"/>
      <c r="O1239" s="1765"/>
      <c r="P1239" s="1765"/>
      <c r="Q1239" s="1765"/>
      <c r="W1239" t="s">
        <v>2089</v>
      </c>
    </row>
    <row r="1240" spans="1:23" ht="13.15" customHeight="1" x14ac:dyDescent="0.2">
      <c r="A1240" s="2" t="s">
        <v>2241</v>
      </c>
      <c r="B1240" s="2">
        <f t="shared" si="38"/>
        <v>2019</v>
      </c>
      <c r="C1240" s="2" t="str">
        <f t="shared" si="39"/>
        <v>EC101</v>
      </c>
      <c r="D1240" s="2">
        <v>622</v>
      </c>
      <c r="F1240" s="1764"/>
      <c r="G1240" s="1764"/>
      <c r="H1240" s="1764"/>
      <c r="I1240" s="1764"/>
      <c r="J1240" s="1764"/>
      <c r="K1240" s="1764"/>
      <c r="L1240" s="1764"/>
      <c r="M1240" s="1765"/>
      <c r="N1240" s="1765"/>
      <c r="O1240" s="1765"/>
      <c r="P1240" s="1765"/>
      <c r="Q1240" s="1765"/>
      <c r="W1240" t="s">
        <v>2089</v>
      </c>
    </row>
    <row r="1241" spans="1:23" ht="13.15" customHeight="1" x14ac:dyDescent="0.2">
      <c r="A1241" s="2" t="s">
        <v>2241</v>
      </c>
      <c r="B1241" s="2">
        <f t="shared" si="38"/>
        <v>2019</v>
      </c>
      <c r="C1241" s="2" t="str">
        <f t="shared" si="39"/>
        <v>EC101</v>
      </c>
      <c r="D1241" s="2">
        <v>623</v>
      </c>
      <c r="F1241" s="1764"/>
      <c r="G1241" s="1764"/>
      <c r="H1241" s="1764"/>
      <c r="I1241" s="1764"/>
      <c r="J1241" s="1764"/>
      <c r="K1241" s="1764"/>
      <c r="L1241" s="1764"/>
      <c r="M1241" s="1765"/>
      <c r="N1241" s="1765"/>
      <c r="O1241" s="1765"/>
      <c r="P1241" s="1765"/>
      <c r="Q1241" s="1765"/>
      <c r="W1241" t="s">
        <v>2089</v>
      </c>
    </row>
    <row r="1242" spans="1:23" ht="13.15" customHeight="1" x14ac:dyDescent="0.2">
      <c r="A1242" s="2" t="s">
        <v>2241</v>
      </c>
      <c r="B1242" s="2">
        <f t="shared" si="38"/>
        <v>2019</v>
      </c>
      <c r="C1242" s="2" t="str">
        <f t="shared" si="39"/>
        <v>EC101</v>
      </c>
      <c r="D1242" s="2">
        <v>624</v>
      </c>
      <c r="F1242" s="1764"/>
      <c r="G1242" s="1764"/>
      <c r="H1242" s="1764"/>
      <c r="I1242" s="1764"/>
      <c r="J1242" s="1764"/>
      <c r="K1242" s="1764"/>
      <c r="L1242" s="1764"/>
      <c r="M1242" s="1765"/>
      <c r="N1242" s="1765"/>
      <c r="O1242" s="1765"/>
      <c r="P1242" s="1765"/>
      <c r="Q1242" s="1765"/>
      <c r="W1242" t="s">
        <v>2089</v>
      </c>
    </row>
    <row r="1243" spans="1:23" ht="13.15" customHeight="1" x14ac:dyDescent="0.2">
      <c r="A1243" s="2" t="s">
        <v>2241</v>
      </c>
      <c r="B1243" s="2">
        <f t="shared" si="38"/>
        <v>2019</v>
      </c>
      <c r="C1243" s="2" t="str">
        <f t="shared" si="39"/>
        <v>EC101</v>
      </c>
      <c r="D1243" s="2">
        <v>625</v>
      </c>
      <c r="F1243" s="1764"/>
      <c r="G1243" s="1764"/>
      <c r="H1243" s="1764"/>
      <c r="I1243" s="1764"/>
      <c r="J1243" s="1764"/>
      <c r="K1243" s="1764"/>
      <c r="L1243" s="1764"/>
      <c r="M1243" s="1765"/>
      <c r="N1243" s="1765"/>
      <c r="O1243" s="1765"/>
      <c r="P1243" s="1765"/>
      <c r="Q1243" s="1765"/>
      <c r="W1243" t="s">
        <v>2089</v>
      </c>
    </row>
    <row r="1244" spans="1:23" ht="13.15" customHeight="1" x14ac:dyDescent="0.2">
      <c r="A1244" s="2" t="s">
        <v>2241</v>
      </c>
      <c r="B1244" s="2">
        <f t="shared" si="38"/>
        <v>2019</v>
      </c>
      <c r="C1244" s="2" t="str">
        <f t="shared" si="39"/>
        <v>EC101</v>
      </c>
      <c r="D1244" s="2">
        <v>626</v>
      </c>
      <c r="F1244" s="1764"/>
      <c r="G1244" s="1764"/>
      <c r="H1244" s="1764"/>
      <c r="I1244" s="1764"/>
      <c r="J1244" s="1764"/>
      <c r="K1244" s="1764"/>
      <c r="L1244" s="1764"/>
      <c r="M1244" s="1765"/>
      <c r="N1244" s="1765"/>
      <c r="O1244" s="1765"/>
      <c r="P1244" s="1765"/>
      <c r="Q1244" s="1765"/>
      <c r="W1244" t="s">
        <v>2089</v>
      </c>
    </row>
    <row r="1245" spans="1:23" ht="13.15" customHeight="1" x14ac:dyDescent="0.2">
      <c r="A1245" s="2" t="s">
        <v>2241</v>
      </c>
      <c r="B1245" s="2">
        <f t="shared" si="38"/>
        <v>2019</v>
      </c>
      <c r="C1245" s="2" t="str">
        <f t="shared" si="39"/>
        <v>EC101</v>
      </c>
      <c r="D1245" s="2">
        <v>627</v>
      </c>
      <c r="F1245" s="1764"/>
      <c r="G1245" s="1764"/>
      <c r="H1245" s="1764"/>
      <c r="I1245" s="1764"/>
      <c r="J1245" s="1764"/>
      <c r="K1245" s="1764"/>
      <c r="L1245" s="1764"/>
      <c r="M1245" s="1765"/>
      <c r="N1245" s="1765"/>
      <c r="O1245" s="1765"/>
      <c r="P1245" s="1765"/>
      <c r="Q1245" s="1765"/>
      <c r="W1245" t="s">
        <v>2089</v>
      </c>
    </row>
    <row r="1246" spans="1:23" ht="13.15" customHeight="1" x14ac:dyDescent="0.2">
      <c r="A1246" s="2" t="s">
        <v>2241</v>
      </c>
      <c r="B1246" s="2">
        <f t="shared" si="38"/>
        <v>2019</v>
      </c>
      <c r="C1246" s="2" t="str">
        <f t="shared" si="39"/>
        <v>EC101</v>
      </c>
      <c r="D1246" s="2">
        <v>628</v>
      </c>
      <c r="F1246" s="1764"/>
      <c r="G1246" s="1764"/>
      <c r="H1246" s="1764"/>
      <c r="I1246" s="1764"/>
      <c r="J1246" s="1764"/>
      <c r="K1246" s="1764"/>
      <c r="L1246" s="1764"/>
      <c r="M1246" s="1765"/>
      <c r="N1246" s="1765"/>
      <c r="O1246" s="1765"/>
      <c r="P1246" s="1765"/>
      <c r="Q1246" s="1765"/>
      <c r="W1246" t="s">
        <v>2089</v>
      </c>
    </row>
    <row r="1247" spans="1:23" ht="13.15" customHeight="1" x14ac:dyDescent="0.2">
      <c r="A1247" s="2" t="s">
        <v>2241</v>
      </c>
      <c r="B1247" s="2">
        <f t="shared" si="38"/>
        <v>2019</v>
      </c>
      <c r="C1247" s="2" t="str">
        <f t="shared" si="39"/>
        <v>EC101</v>
      </c>
      <c r="D1247" s="2">
        <v>629</v>
      </c>
      <c r="F1247" s="1764"/>
      <c r="G1247" s="1764"/>
      <c r="H1247" s="1764"/>
      <c r="I1247" s="1764"/>
      <c r="J1247" s="1764"/>
      <c r="K1247" s="1764"/>
      <c r="L1247" s="1764"/>
      <c r="M1247" s="1765"/>
      <c r="N1247" s="1765"/>
      <c r="O1247" s="1765"/>
      <c r="P1247" s="1765"/>
      <c r="Q1247" s="1765"/>
      <c r="W1247" t="s">
        <v>2089</v>
      </c>
    </row>
    <row r="1248" spans="1:23" ht="13.15" customHeight="1" x14ac:dyDescent="0.2">
      <c r="A1248" s="2" t="s">
        <v>2241</v>
      </c>
      <c r="B1248" s="2">
        <f t="shared" si="38"/>
        <v>2019</v>
      </c>
      <c r="C1248" s="2" t="str">
        <f t="shared" si="39"/>
        <v>EC101</v>
      </c>
      <c r="D1248" s="2">
        <v>630</v>
      </c>
      <c r="F1248" s="1764"/>
      <c r="G1248" s="1764"/>
      <c r="H1248" s="1764"/>
      <c r="I1248" s="1764"/>
      <c r="J1248" s="1764"/>
      <c r="K1248" s="1764"/>
      <c r="L1248" s="1764"/>
      <c r="M1248" s="1765"/>
      <c r="N1248" s="1765"/>
      <c r="O1248" s="1765"/>
      <c r="P1248" s="1765"/>
      <c r="Q1248" s="1765"/>
      <c r="W1248" t="s">
        <v>2089</v>
      </c>
    </row>
    <row r="1249" spans="1:23" ht="13.15" customHeight="1" x14ac:dyDescent="0.2">
      <c r="A1249" s="2" t="s">
        <v>2241</v>
      </c>
      <c r="B1249" s="2">
        <f t="shared" si="38"/>
        <v>2019</v>
      </c>
      <c r="C1249" s="2" t="str">
        <f t="shared" si="39"/>
        <v>EC101</v>
      </c>
      <c r="D1249" s="2">
        <v>631</v>
      </c>
      <c r="F1249" s="1764"/>
      <c r="G1249" s="1764"/>
      <c r="H1249" s="1764"/>
      <c r="I1249" s="1764"/>
      <c r="J1249" s="1764"/>
      <c r="K1249" s="1764"/>
      <c r="L1249" s="1764"/>
      <c r="M1249" s="1765"/>
      <c r="N1249" s="1765"/>
      <c r="O1249" s="1765"/>
      <c r="P1249" s="1765"/>
      <c r="Q1249" s="1765"/>
      <c r="W1249" t="s">
        <v>2089</v>
      </c>
    </row>
    <row r="1250" spans="1:23" ht="13.15" customHeight="1" x14ac:dyDescent="0.2">
      <c r="A1250" s="2" t="s">
        <v>2241</v>
      </c>
      <c r="B1250" s="2">
        <f t="shared" si="38"/>
        <v>2019</v>
      </c>
      <c r="C1250" s="2" t="str">
        <f t="shared" si="39"/>
        <v>EC101</v>
      </c>
      <c r="D1250" s="2">
        <v>632</v>
      </c>
      <c r="F1250" s="1764"/>
      <c r="G1250" s="1764"/>
      <c r="H1250" s="1764"/>
      <c r="I1250" s="1764"/>
      <c r="J1250" s="1764"/>
      <c r="K1250" s="1764"/>
      <c r="L1250" s="1764"/>
      <c r="M1250" s="1765"/>
      <c r="N1250" s="1765"/>
      <c r="O1250" s="1765"/>
      <c r="P1250" s="1765"/>
      <c r="Q1250" s="1765"/>
      <c r="W1250" t="s">
        <v>2089</v>
      </c>
    </row>
    <row r="1251" spans="1:23" ht="13.15" customHeight="1" x14ac:dyDescent="0.2">
      <c r="A1251" s="2" t="s">
        <v>2241</v>
      </c>
      <c r="B1251" s="2">
        <f t="shared" si="38"/>
        <v>2019</v>
      </c>
      <c r="C1251" s="2" t="str">
        <f t="shared" si="39"/>
        <v>EC101</v>
      </c>
      <c r="D1251" s="2">
        <v>633</v>
      </c>
      <c r="F1251" s="1764"/>
      <c r="G1251" s="1764"/>
      <c r="H1251" s="1764"/>
      <c r="I1251" s="1764"/>
      <c r="J1251" s="1764"/>
      <c r="K1251" s="1764"/>
      <c r="L1251" s="1764"/>
      <c r="M1251" s="1765"/>
      <c r="N1251" s="1765"/>
      <c r="O1251" s="1765"/>
      <c r="P1251" s="1765"/>
      <c r="Q1251" s="1765"/>
      <c r="W1251" t="s">
        <v>2089</v>
      </c>
    </row>
    <row r="1252" spans="1:23" ht="13.15" customHeight="1" x14ac:dyDescent="0.2">
      <c r="A1252" s="2" t="s">
        <v>2241</v>
      </c>
      <c r="B1252" s="2">
        <f t="shared" si="38"/>
        <v>2019</v>
      </c>
      <c r="C1252" s="2" t="str">
        <f t="shared" si="39"/>
        <v>EC101</v>
      </c>
      <c r="D1252" s="2">
        <v>634</v>
      </c>
      <c r="F1252" s="1764"/>
      <c r="G1252" s="1764"/>
      <c r="H1252" s="1764"/>
      <c r="I1252" s="1764"/>
      <c r="J1252" s="1764"/>
      <c r="K1252" s="1764"/>
      <c r="L1252" s="1764"/>
      <c r="M1252" s="1765"/>
      <c r="N1252" s="1765"/>
      <c r="O1252" s="1765"/>
      <c r="P1252" s="1765"/>
      <c r="Q1252" s="1765"/>
      <c r="W1252" t="s">
        <v>2089</v>
      </c>
    </row>
    <row r="1253" spans="1:23" ht="13.15" customHeight="1" x14ac:dyDescent="0.2">
      <c r="A1253" s="2" t="s">
        <v>2241</v>
      </c>
      <c r="B1253" s="2">
        <f t="shared" si="38"/>
        <v>2019</v>
      </c>
      <c r="C1253" s="2" t="str">
        <f t="shared" si="39"/>
        <v>EC101</v>
      </c>
      <c r="D1253" s="2">
        <v>635</v>
      </c>
      <c r="F1253" s="1764"/>
      <c r="G1253" s="1764"/>
      <c r="H1253" s="1764"/>
      <c r="I1253" s="1764"/>
      <c r="J1253" s="1764"/>
      <c r="K1253" s="1764"/>
      <c r="L1253" s="1764"/>
      <c r="M1253" s="1765"/>
      <c r="N1253" s="1765"/>
      <c r="O1253" s="1765"/>
      <c r="P1253" s="1765"/>
      <c r="Q1253" s="1765"/>
      <c r="W1253" t="s">
        <v>2089</v>
      </c>
    </row>
    <row r="1254" spans="1:23" ht="13.15" customHeight="1" x14ac:dyDescent="0.2">
      <c r="A1254" s="2" t="s">
        <v>2241</v>
      </c>
      <c r="B1254" s="2">
        <f t="shared" si="38"/>
        <v>2019</v>
      </c>
      <c r="C1254" s="2" t="str">
        <f t="shared" si="39"/>
        <v>EC101</v>
      </c>
      <c r="D1254" s="2">
        <v>636</v>
      </c>
      <c r="F1254" s="1764"/>
      <c r="G1254" s="1764"/>
      <c r="H1254" s="1764"/>
      <c r="I1254" s="1764"/>
      <c r="J1254" s="1764"/>
      <c r="K1254" s="1764"/>
      <c r="L1254" s="1764"/>
      <c r="M1254" s="1765"/>
      <c r="N1254" s="1765"/>
      <c r="O1254" s="1765"/>
      <c r="P1254" s="1765"/>
      <c r="Q1254" s="1765"/>
      <c r="W1254" t="s">
        <v>2089</v>
      </c>
    </row>
    <row r="1255" spans="1:23" ht="13.15" customHeight="1" x14ac:dyDescent="0.2">
      <c r="A1255" s="2" t="s">
        <v>2241</v>
      </c>
      <c r="B1255" s="2">
        <f t="shared" si="38"/>
        <v>2019</v>
      </c>
      <c r="C1255" s="2" t="str">
        <f t="shared" si="39"/>
        <v>EC101</v>
      </c>
      <c r="D1255" s="2">
        <v>637</v>
      </c>
      <c r="F1255" s="1764"/>
      <c r="G1255" s="1764"/>
      <c r="H1255" s="1764"/>
      <c r="I1255" s="1764"/>
      <c r="J1255" s="1764"/>
      <c r="K1255" s="1764"/>
      <c r="L1255" s="1764"/>
      <c r="M1255" s="1765"/>
      <c r="N1255" s="1765"/>
      <c r="O1255" s="1765"/>
      <c r="P1255" s="1765"/>
      <c r="Q1255" s="1765"/>
      <c r="W1255" t="s">
        <v>2089</v>
      </c>
    </row>
    <row r="1256" spans="1:23" ht="13.15" customHeight="1" x14ac:dyDescent="0.2">
      <c r="A1256" s="2" t="s">
        <v>2241</v>
      </c>
      <c r="B1256" s="2">
        <f t="shared" si="38"/>
        <v>2019</v>
      </c>
      <c r="C1256" s="2" t="str">
        <f t="shared" si="39"/>
        <v>EC101</v>
      </c>
      <c r="D1256" s="2">
        <v>638</v>
      </c>
      <c r="F1256" s="1764"/>
      <c r="G1256" s="1764"/>
      <c r="H1256" s="1764"/>
      <c r="I1256" s="1764"/>
      <c r="J1256" s="1764"/>
      <c r="K1256" s="1764"/>
      <c r="L1256" s="1764"/>
      <c r="M1256" s="1765"/>
      <c r="N1256" s="1765"/>
      <c r="O1256" s="1765"/>
      <c r="P1256" s="1765"/>
      <c r="Q1256" s="1765"/>
      <c r="W1256" t="s">
        <v>2089</v>
      </c>
    </row>
    <row r="1257" spans="1:23" ht="13.15" customHeight="1" x14ac:dyDescent="0.2">
      <c r="A1257" s="2" t="s">
        <v>2241</v>
      </c>
      <c r="B1257" s="2">
        <f t="shared" si="38"/>
        <v>2019</v>
      </c>
      <c r="C1257" s="2" t="str">
        <f t="shared" si="39"/>
        <v>EC101</v>
      </c>
      <c r="D1257" s="2">
        <v>639</v>
      </c>
      <c r="F1257" s="1764"/>
      <c r="G1257" s="1764"/>
      <c r="H1257" s="1764"/>
      <c r="I1257" s="1764"/>
      <c r="J1257" s="1764"/>
      <c r="K1257" s="1764"/>
      <c r="L1257" s="1764"/>
      <c r="M1257" s="1765"/>
      <c r="N1257" s="1765"/>
      <c r="O1257" s="1765"/>
      <c r="P1257" s="1765"/>
      <c r="Q1257" s="1765"/>
      <c r="W1257" t="s">
        <v>2089</v>
      </c>
    </row>
    <row r="1258" spans="1:23" ht="13.15" customHeight="1" x14ac:dyDescent="0.2">
      <c r="A1258" s="2" t="s">
        <v>2241</v>
      </c>
      <c r="B1258" s="2">
        <f t="shared" si="38"/>
        <v>2019</v>
      </c>
      <c r="C1258" s="2" t="str">
        <f t="shared" si="39"/>
        <v>EC101</v>
      </c>
      <c r="D1258" s="2">
        <v>640</v>
      </c>
      <c r="F1258" s="1764"/>
      <c r="G1258" s="1764"/>
      <c r="H1258" s="1764"/>
      <c r="I1258" s="1764"/>
      <c r="J1258" s="1764"/>
      <c r="K1258" s="1764"/>
      <c r="L1258" s="1764"/>
      <c r="M1258" s="1765"/>
      <c r="N1258" s="1765"/>
      <c r="O1258" s="1765"/>
      <c r="P1258" s="1765"/>
      <c r="Q1258" s="1765"/>
      <c r="W1258" t="s">
        <v>2089</v>
      </c>
    </row>
    <row r="1259" spans="1:23" ht="13.15" customHeight="1" x14ac:dyDescent="0.2">
      <c r="A1259" s="2" t="s">
        <v>2241</v>
      </c>
      <c r="B1259" s="2">
        <f t="shared" si="38"/>
        <v>2019</v>
      </c>
      <c r="C1259" s="2" t="str">
        <f t="shared" si="39"/>
        <v>EC101</v>
      </c>
      <c r="D1259" s="2">
        <v>641</v>
      </c>
      <c r="F1259" s="1764"/>
      <c r="G1259" s="1764"/>
      <c r="H1259" s="1764"/>
      <c r="I1259" s="1764"/>
      <c r="J1259" s="1764"/>
      <c r="K1259" s="1764"/>
      <c r="L1259" s="1764"/>
      <c r="M1259" s="1765"/>
      <c r="N1259" s="1765"/>
      <c r="O1259" s="1765"/>
      <c r="P1259" s="1765"/>
      <c r="Q1259" s="1765"/>
      <c r="W1259" t="s">
        <v>2089</v>
      </c>
    </row>
    <row r="1260" spans="1:23" ht="13.15" customHeight="1" x14ac:dyDescent="0.2">
      <c r="A1260" s="2" t="s">
        <v>2241</v>
      </c>
      <c r="B1260" s="2">
        <f t="shared" si="38"/>
        <v>2019</v>
      </c>
      <c r="C1260" s="2" t="str">
        <f t="shared" si="39"/>
        <v>EC101</v>
      </c>
      <c r="D1260" s="2">
        <v>642</v>
      </c>
      <c r="F1260" s="1764"/>
      <c r="G1260" s="1764"/>
      <c r="H1260" s="1764"/>
      <c r="I1260" s="1764"/>
      <c r="J1260" s="1764"/>
      <c r="K1260" s="1764"/>
      <c r="L1260" s="1764"/>
      <c r="M1260" s="1765"/>
      <c r="N1260" s="1765"/>
      <c r="O1260" s="1765"/>
      <c r="P1260" s="1765"/>
      <c r="Q1260" s="1765"/>
      <c r="W1260" t="s">
        <v>2089</v>
      </c>
    </row>
    <row r="1261" spans="1:23" ht="13.15" customHeight="1" x14ac:dyDescent="0.2">
      <c r="A1261" s="2" t="s">
        <v>2241</v>
      </c>
      <c r="B1261" s="2">
        <f t="shared" si="38"/>
        <v>2019</v>
      </c>
      <c r="C1261" s="2" t="str">
        <f t="shared" si="39"/>
        <v>EC101</v>
      </c>
      <c r="D1261" s="2">
        <v>643</v>
      </c>
      <c r="F1261" s="1764"/>
      <c r="G1261" s="1764"/>
      <c r="H1261" s="1764"/>
      <c r="I1261" s="1764"/>
      <c r="J1261" s="1764"/>
      <c r="K1261" s="1764"/>
      <c r="L1261" s="1764"/>
      <c r="M1261" s="1765"/>
      <c r="N1261" s="1765"/>
      <c r="O1261" s="1765"/>
      <c r="P1261" s="1765"/>
      <c r="Q1261" s="1765"/>
      <c r="W1261" t="s">
        <v>2089</v>
      </c>
    </row>
    <row r="1262" spans="1:23" ht="13.15" customHeight="1" x14ac:dyDescent="0.2">
      <c r="A1262" s="2" t="s">
        <v>2241</v>
      </c>
      <c r="B1262" s="2">
        <f t="shared" si="38"/>
        <v>2019</v>
      </c>
      <c r="C1262" s="2" t="str">
        <f t="shared" si="39"/>
        <v>EC101</v>
      </c>
      <c r="D1262" s="2">
        <v>644</v>
      </c>
      <c r="F1262" s="1764"/>
      <c r="G1262" s="1764"/>
      <c r="H1262" s="1764"/>
      <c r="I1262" s="1764"/>
      <c r="J1262" s="1764"/>
      <c r="K1262" s="1764"/>
      <c r="L1262" s="1764"/>
      <c r="M1262" s="1765"/>
      <c r="N1262" s="1765"/>
      <c r="O1262" s="1765"/>
      <c r="P1262" s="1765"/>
      <c r="Q1262" s="1765"/>
      <c r="W1262" t="s">
        <v>2089</v>
      </c>
    </row>
    <row r="1263" spans="1:23" ht="13.15" customHeight="1" x14ac:dyDescent="0.2">
      <c r="A1263" s="2" t="s">
        <v>2241</v>
      </c>
      <c r="B1263" s="2">
        <f t="shared" si="38"/>
        <v>2019</v>
      </c>
      <c r="C1263" s="2" t="str">
        <f t="shared" si="39"/>
        <v>EC101</v>
      </c>
      <c r="D1263" s="2">
        <v>645</v>
      </c>
      <c r="F1263" s="1764"/>
      <c r="G1263" s="1764"/>
      <c r="H1263" s="1764"/>
      <c r="I1263" s="1764"/>
      <c r="J1263" s="1764"/>
      <c r="K1263" s="1764"/>
      <c r="L1263" s="1764"/>
      <c r="M1263" s="1765"/>
      <c r="N1263" s="1765"/>
      <c r="O1263" s="1765"/>
      <c r="P1263" s="1765"/>
      <c r="Q1263" s="1765"/>
      <c r="W1263" t="s">
        <v>2089</v>
      </c>
    </row>
    <row r="1264" spans="1:23" ht="13.15" customHeight="1" x14ac:dyDescent="0.2">
      <c r="A1264" s="2" t="s">
        <v>2241</v>
      </c>
      <c r="B1264" s="2">
        <f t="shared" si="38"/>
        <v>2019</v>
      </c>
      <c r="C1264" s="2" t="str">
        <f t="shared" si="39"/>
        <v>EC101</v>
      </c>
      <c r="D1264" s="2">
        <v>646</v>
      </c>
      <c r="F1264" s="1764"/>
      <c r="G1264" s="1764"/>
      <c r="H1264" s="1764"/>
      <c r="I1264" s="1764"/>
      <c r="J1264" s="1764"/>
      <c r="K1264" s="1764"/>
      <c r="L1264" s="1764"/>
      <c r="M1264" s="1765"/>
      <c r="N1264" s="1765"/>
      <c r="O1264" s="1765"/>
      <c r="P1264" s="1765"/>
      <c r="Q1264" s="1765"/>
      <c r="W1264" t="s">
        <v>2089</v>
      </c>
    </row>
    <row r="1265" spans="1:23" ht="13.15" customHeight="1" x14ac:dyDescent="0.2">
      <c r="A1265" s="2" t="s">
        <v>2241</v>
      </c>
      <c r="B1265" s="2">
        <f t="shared" si="38"/>
        <v>2019</v>
      </c>
      <c r="C1265" s="2" t="str">
        <f t="shared" si="39"/>
        <v>EC101</v>
      </c>
      <c r="D1265" s="2">
        <v>647</v>
      </c>
      <c r="F1265" s="1764"/>
      <c r="G1265" s="1764"/>
      <c r="H1265" s="1764"/>
      <c r="I1265" s="1764"/>
      <c r="J1265" s="1764"/>
      <c r="K1265" s="1764"/>
      <c r="L1265" s="1764"/>
      <c r="M1265" s="1765"/>
      <c r="N1265" s="1765"/>
      <c r="O1265" s="1765"/>
      <c r="P1265" s="1765"/>
      <c r="Q1265" s="1765"/>
      <c r="W1265" t="s">
        <v>2089</v>
      </c>
    </row>
    <row r="1266" spans="1:23" ht="13.15" customHeight="1" x14ac:dyDescent="0.2">
      <c r="A1266" s="2" t="s">
        <v>2241</v>
      </c>
      <c r="B1266" s="2">
        <f t="shared" si="38"/>
        <v>2019</v>
      </c>
      <c r="C1266" s="2" t="str">
        <f t="shared" si="39"/>
        <v>EC101</v>
      </c>
      <c r="D1266" s="2">
        <v>648</v>
      </c>
      <c r="F1266" s="1764"/>
      <c r="G1266" s="1764"/>
      <c r="H1266" s="1764"/>
      <c r="I1266" s="1764"/>
      <c r="J1266" s="1764"/>
      <c r="K1266" s="1764"/>
      <c r="L1266" s="1764"/>
      <c r="M1266" s="1765"/>
      <c r="N1266" s="1765"/>
      <c r="O1266" s="1765"/>
      <c r="P1266" s="1765"/>
      <c r="Q1266" s="1765"/>
      <c r="W1266" t="s">
        <v>2089</v>
      </c>
    </row>
    <row r="1267" spans="1:23" ht="13.15" customHeight="1" x14ac:dyDescent="0.2">
      <c r="A1267" s="2" t="s">
        <v>2241</v>
      </c>
      <c r="B1267" s="2">
        <f t="shared" si="38"/>
        <v>2019</v>
      </c>
      <c r="C1267" s="2" t="str">
        <f t="shared" si="39"/>
        <v>EC101</v>
      </c>
      <c r="D1267" s="2">
        <v>649</v>
      </c>
      <c r="F1267" s="1764"/>
      <c r="G1267" s="1764"/>
      <c r="H1267" s="1764"/>
      <c r="I1267" s="1764"/>
      <c r="J1267" s="1764"/>
      <c r="K1267" s="1764"/>
      <c r="L1267" s="1764"/>
      <c r="M1267" s="1765"/>
      <c r="N1267" s="1765"/>
      <c r="O1267" s="1765"/>
      <c r="P1267" s="1765"/>
      <c r="Q1267" s="1765"/>
      <c r="W1267" t="s">
        <v>2089</v>
      </c>
    </row>
    <row r="1268" spans="1:23" ht="13.15" customHeight="1" x14ac:dyDescent="0.2">
      <c r="A1268" s="2" t="s">
        <v>2241</v>
      </c>
      <c r="B1268" s="2">
        <f t="shared" si="38"/>
        <v>2019</v>
      </c>
      <c r="C1268" s="2" t="str">
        <f t="shared" si="39"/>
        <v>EC101</v>
      </c>
      <c r="D1268" s="2">
        <v>650</v>
      </c>
      <c r="F1268" s="1764"/>
      <c r="G1268" s="1764"/>
      <c r="H1268" s="1764"/>
      <c r="I1268" s="1764"/>
      <c r="J1268" s="1764"/>
      <c r="K1268" s="1764"/>
      <c r="L1268" s="1764"/>
      <c r="M1268" s="1765"/>
      <c r="N1268" s="1765"/>
      <c r="O1268" s="1765"/>
      <c r="P1268" s="1765"/>
      <c r="Q1268" s="1765"/>
      <c r="W1268" t="s">
        <v>2089</v>
      </c>
    </row>
    <row r="1269" spans="1:23" ht="13.15" customHeight="1" x14ac:dyDescent="0.2">
      <c r="A1269" s="2" t="s">
        <v>2241</v>
      </c>
      <c r="B1269" s="2">
        <f t="shared" si="38"/>
        <v>2019</v>
      </c>
      <c r="C1269" s="2" t="str">
        <f t="shared" si="39"/>
        <v>EC101</v>
      </c>
      <c r="D1269" s="2">
        <v>651</v>
      </c>
      <c r="F1269" s="1764"/>
      <c r="G1269" s="1764"/>
      <c r="H1269" s="1764"/>
      <c r="I1269" s="1764"/>
      <c r="J1269" s="1764"/>
      <c r="K1269" s="1764"/>
      <c r="L1269" s="1764"/>
      <c r="M1269" s="1765"/>
      <c r="N1269" s="1765"/>
      <c r="O1269" s="1765"/>
      <c r="P1269" s="1765"/>
      <c r="Q1269" s="1765"/>
      <c r="W1269" t="s">
        <v>2089</v>
      </c>
    </row>
    <row r="1270" spans="1:23" ht="13.15" customHeight="1" x14ac:dyDescent="0.2">
      <c r="A1270" s="2" t="s">
        <v>2241</v>
      </c>
      <c r="B1270" s="2">
        <f t="shared" si="38"/>
        <v>2019</v>
      </c>
      <c r="C1270" s="2" t="str">
        <f t="shared" si="39"/>
        <v>EC101</v>
      </c>
      <c r="D1270" s="2">
        <v>652</v>
      </c>
      <c r="F1270" s="1764"/>
      <c r="G1270" s="1764"/>
      <c r="H1270" s="1764"/>
      <c r="I1270" s="1764"/>
      <c r="J1270" s="1764"/>
      <c r="K1270" s="1764"/>
      <c r="L1270" s="1764"/>
      <c r="M1270" s="1765"/>
      <c r="N1270" s="1765"/>
      <c r="O1270" s="1765"/>
      <c r="P1270" s="1765"/>
      <c r="Q1270" s="1765"/>
      <c r="W1270" t="s">
        <v>2089</v>
      </c>
    </row>
    <row r="1271" spans="1:23" ht="13.15" customHeight="1" x14ac:dyDescent="0.2">
      <c r="A1271" s="2" t="s">
        <v>2241</v>
      </c>
      <c r="B1271" s="2">
        <f t="shared" si="38"/>
        <v>2019</v>
      </c>
      <c r="C1271" s="2" t="str">
        <f t="shared" si="39"/>
        <v>EC101</v>
      </c>
      <c r="D1271" s="2">
        <v>653</v>
      </c>
      <c r="F1271" s="1764"/>
      <c r="G1271" s="1764"/>
      <c r="H1271" s="1764"/>
      <c r="I1271" s="1764"/>
      <c r="J1271" s="1764"/>
      <c r="K1271" s="1764"/>
      <c r="L1271" s="1764"/>
      <c r="M1271" s="1765"/>
      <c r="N1271" s="1765"/>
      <c r="O1271" s="1765"/>
      <c r="P1271" s="1765"/>
      <c r="Q1271" s="1765"/>
      <c r="W1271" t="s">
        <v>2089</v>
      </c>
    </row>
    <row r="1272" spans="1:23" ht="13.15" customHeight="1" x14ac:dyDescent="0.2">
      <c r="A1272" s="2" t="s">
        <v>2241</v>
      </c>
      <c r="B1272" s="2">
        <f t="shared" si="38"/>
        <v>2019</v>
      </c>
      <c r="C1272" s="2" t="str">
        <f t="shared" si="39"/>
        <v>EC101</v>
      </c>
      <c r="D1272" s="2">
        <v>654</v>
      </c>
      <c r="F1272" s="1764"/>
      <c r="G1272" s="1764"/>
      <c r="H1272" s="1764"/>
      <c r="I1272" s="1764"/>
      <c r="J1272" s="1764"/>
      <c r="K1272" s="1764"/>
      <c r="L1272" s="1764"/>
      <c r="M1272" s="1765"/>
      <c r="N1272" s="1765"/>
      <c r="O1272" s="1765"/>
      <c r="P1272" s="1765"/>
      <c r="Q1272" s="1765"/>
      <c r="W1272" t="s">
        <v>2089</v>
      </c>
    </row>
    <row r="1273" spans="1:23" ht="13.15" customHeight="1" x14ac:dyDescent="0.2">
      <c r="A1273" s="2" t="s">
        <v>2241</v>
      </c>
      <c r="B1273" s="2">
        <f t="shared" si="38"/>
        <v>2019</v>
      </c>
      <c r="C1273" s="2" t="str">
        <f t="shared" si="39"/>
        <v>EC101</v>
      </c>
      <c r="D1273" s="2">
        <v>655</v>
      </c>
      <c r="F1273" s="1764"/>
      <c r="G1273" s="1764"/>
      <c r="H1273" s="1764"/>
      <c r="I1273" s="1764"/>
      <c r="J1273" s="1764"/>
      <c r="K1273" s="1764"/>
      <c r="L1273" s="1764"/>
      <c r="M1273" s="1765"/>
      <c r="N1273" s="1765"/>
      <c r="O1273" s="1765"/>
      <c r="P1273" s="1765"/>
      <c r="Q1273" s="1765"/>
      <c r="W1273" t="s">
        <v>2089</v>
      </c>
    </row>
    <row r="1274" spans="1:23" ht="13.15" customHeight="1" x14ac:dyDescent="0.2">
      <c r="A1274" s="2" t="s">
        <v>2241</v>
      </c>
      <c r="B1274" s="2">
        <f t="shared" si="38"/>
        <v>2019</v>
      </c>
      <c r="C1274" s="2" t="str">
        <f t="shared" si="39"/>
        <v>EC101</v>
      </c>
      <c r="D1274" s="2">
        <v>656</v>
      </c>
      <c r="F1274" s="1764"/>
      <c r="G1274" s="1764"/>
      <c r="H1274" s="1764"/>
      <c r="I1274" s="1764"/>
      <c r="J1274" s="1764"/>
      <c r="K1274" s="1764"/>
      <c r="L1274" s="1764"/>
      <c r="M1274" s="1765"/>
      <c r="N1274" s="1765"/>
      <c r="O1274" s="1765"/>
      <c r="P1274" s="1765"/>
      <c r="Q1274" s="1765"/>
      <c r="W1274" t="s">
        <v>2089</v>
      </c>
    </row>
    <row r="1275" spans="1:23" ht="13.15" customHeight="1" x14ac:dyDescent="0.2">
      <c r="A1275" s="2" t="s">
        <v>2241</v>
      </c>
      <c r="B1275" s="2">
        <f t="shared" si="38"/>
        <v>2019</v>
      </c>
      <c r="C1275" s="2" t="str">
        <f t="shared" si="39"/>
        <v>EC101</v>
      </c>
      <c r="D1275" s="2">
        <v>657</v>
      </c>
      <c r="F1275" s="1764"/>
      <c r="G1275" s="1764"/>
      <c r="H1275" s="1764"/>
      <c r="I1275" s="1764"/>
      <c r="J1275" s="1764"/>
      <c r="K1275" s="1764"/>
      <c r="L1275" s="1764"/>
      <c r="M1275" s="1765"/>
      <c r="N1275" s="1765"/>
      <c r="O1275" s="1765"/>
      <c r="P1275" s="1765"/>
      <c r="Q1275" s="1765"/>
      <c r="W1275" t="s">
        <v>2089</v>
      </c>
    </row>
    <row r="1276" spans="1:23" ht="13.15" customHeight="1" x14ac:dyDescent="0.2">
      <c r="A1276" s="2" t="s">
        <v>2241</v>
      </c>
      <c r="B1276" s="2">
        <f t="shared" si="38"/>
        <v>2019</v>
      </c>
      <c r="C1276" s="2" t="str">
        <f t="shared" si="39"/>
        <v>EC101</v>
      </c>
      <c r="D1276" s="2">
        <v>658</v>
      </c>
      <c r="F1276" s="1764"/>
      <c r="G1276" s="1764"/>
      <c r="H1276" s="1764"/>
      <c r="I1276" s="1764"/>
      <c r="J1276" s="1764"/>
      <c r="K1276" s="1764"/>
      <c r="L1276" s="1764"/>
      <c r="M1276" s="1765"/>
      <c r="N1276" s="1765"/>
      <c r="O1276" s="1765"/>
      <c r="P1276" s="1765"/>
      <c r="Q1276" s="1765"/>
      <c r="W1276" t="s">
        <v>2089</v>
      </c>
    </row>
    <row r="1277" spans="1:23" ht="13.15" customHeight="1" x14ac:dyDescent="0.2">
      <c r="A1277" s="2" t="s">
        <v>2241</v>
      </c>
      <c r="B1277" s="2">
        <f t="shared" si="38"/>
        <v>2019</v>
      </c>
      <c r="C1277" s="2" t="str">
        <f t="shared" si="39"/>
        <v>EC101</v>
      </c>
      <c r="D1277" s="2">
        <v>659</v>
      </c>
      <c r="F1277" s="1764"/>
      <c r="G1277" s="1764"/>
      <c r="H1277" s="1764"/>
      <c r="I1277" s="1764"/>
      <c r="J1277" s="1764"/>
      <c r="K1277" s="1764"/>
      <c r="L1277" s="1764"/>
      <c r="M1277" s="1765"/>
      <c r="N1277" s="1765"/>
      <c r="O1277" s="1765"/>
      <c r="P1277" s="1765"/>
      <c r="Q1277" s="1765"/>
      <c r="W1277" t="s">
        <v>2089</v>
      </c>
    </row>
    <row r="1278" spans="1:23" ht="13.15" customHeight="1" x14ac:dyDescent="0.2">
      <c r="A1278" s="2" t="s">
        <v>2241</v>
      </c>
      <c r="B1278" s="2">
        <f t="shared" si="38"/>
        <v>2019</v>
      </c>
      <c r="C1278" s="2" t="str">
        <f t="shared" si="39"/>
        <v>EC101</v>
      </c>
      <c r="D1278" s="2">
        <v>660</v>
      </c>
      <c r="F1278" s="1764"/>
      <c r="G1278" s="1764"/>
      <c r="H1278" s="1764"/>
      <c r="I1278" s="1764"/>
      <c r="J1278" s="1764"/>
      <c r="K1278" s="1764"/>
      <c r="L1278" s="1764"/>
      <c r="M1278" s="1765"/>
      <c r="N1278" s="1765"/>
      <c r="O1278" s="1765"/>
      <c r="P1278" s="1765"/>
      <c r="Q1278" s="1765"/>
      <c r="W1278" t="s">
        <v>2089</v>
      </c>
    </row>
    <row r="1279" spans="1:23" ht="13.15" customHeight="1" x14ac:dyDescent="0.2">
      <c r="A1279" s="2" t="s">
        <v>2241</v>
      </c>
      <c r="B1279" s="2">
        <f t="shared" si="38"/>
        <v>2019</v>
      </c>
      <c r="C1279" s="2" t="str">
        <f t="shared" si="39"/>
        <v>EC101</v>
      </c>
      <c r="D1279" s="2">
        <v>661</v>
      </c>
      <c r="F1279" s="1764"/>
      <c r="G1279" s="1764"/>
      <c r="H1279" s="1764"/>
      <c r="I1279" s="1764"/>
      <c r="J1279" s="1764"/>
      <c r="K1279" s="1764"/>
      <c r="L1279" s="1764"/>
      <c r="M1279" s="1765"/>
      <c r="N1279" s="1765"/>
      <c r="O1279" s="1765"/>
      <c r="P1279" s="1765"/>
      <c r="Q1279" s="1765"/>
      <c r="W1279" t="s">
        <v>2089</v>
      </c>
    </row>
    <row r="1280" spans="1:23" ht="13.15" customHeight="1" x14ac:dyDescent="0.2">
      <c r="A1280" s="2" t="s">
        <v>2241</v>
      </c>
      <c r="B1280" s="2">
        <f t="shared" si="38"/>
        <v>2019</v>
      </c>
      <c r="C1280" s="2" t="str">
        <f t="shared" si="39"/>
        <v>EC101</v>
      </c>
      <c r="D1280" s="2">
        <v>662</v>
      </c>
      <c r="F1280" s="1764"/>
      <c r="G1280" s="1764"/>
      <c r="H1280" s="1764"/>
      <c r="I1280" s="1764"/>
      <c r="J1280" s="1764"/>
      <c r="K1280" s="1764"/>
      <c r="L1280" s="1764"/>
      <c r="M1280" s="1765"/>
      <c r="N1280" s="1765"/>
      <c r="O1280" s="1765"/>
      <c r="P1280" s="1765"/>
      <c r="Q1280" s="1765"/>
      <c r="W1280" t="s">
        <v>2089</v>
      </c>
    </row>
    <row r="1281" spans="1:23" ht="13.15" customHeight="1" x14ac:dyDescent="0.2">
      <c r="A1281" s="2" t="s">
        <v>2241</v>
      </c>
      <c r="B1281" s="2">
        <f t="shared" si="38"/>
        <v>2019</v>
      </c>
      <c r="C1281" s="2" t="str">
        <f t="shared" si="39"/>
        <v>EC101</v>
      </c>
      <c r="D1281" s="2">
        <v>663</v>
      </c>
      <c r="F1281" s="1764"/>
      <c r="G1281" s="1764"/>
      <c r="H1281" s="1764"/>
      <c r="I1281" s="1764"/>
      <c r="J1281" s="1764"/>
      <c r="K1281" s="1764"/>
      <c r="L1281" s="1764"/>
      <c r="M1281" s="1765"/>
      <c r="N1281" s="1765"/>
      <c r="O1281" s="1765"/>
      <c r="P1281" s="1765"/>
      <c r="Q1281" s="1765"/>
      <c r="W1281" t="s">
        <v>2089</v>
      </c>
    </row>
    <row r="1282" spans="1:23" ht="13.15" customHeight="1" x14ac:dyDescent="0.2">
      <c r="A1282" s="2" t="s">
        <v>2241</v>
      </c>
      <c r="B1282" s="2">
        <f t="shared" ref="B1282:B1345" si="40">+MTREF</f>
        <v>2019</v>
      </c>
      <c r="C1282" s="2" t="str">
        <f t="shared" ref="C1282:C1345" si="41">LEFT(muni,(FIND(" ",muni,1)-1))</f>
        <v>EC101</v>
      </c>
      <c r="D1282" s="2">
        <v>664</v>
      </c>
      <c r="F1282" s="1764"/>
      <c r="G1282" s="1764"/>
      <c r="H1282" s="1764"/>
      <c r="I1282" s="1764"/>
      <c r="J1282" s="1764"/>
      <c r="K1282" s="1764"/>
      <c r="L1282" s="1764"/>
      <c r="M1282" s="1765"/>
      <c r="N1282" s="1765"/>
      <c r="O1282" s="1765"/>
      <c r="P1282" s="1765"/>
      <c r="Q1282" s="1765"/>
      <c r="W1282" t="s">
        <v>2089</v>
      </c>
    </row>
    <row r="1283" spans="1:23" ht="13.15" customHeight="1" x14ac:dyDescent="0.2">
      <c r="A1283" s="2" t="s">
        <v>2241</v>
      </c>
      <c r="B1283" s="2">
        <f t="shared" si="40"/>
        <v>2019</v>
      </c>
      <c r="C1283" s="2" t="str">
        <f t="shared" si="41"/>
        <v>EC101</v>
      </c>
      <c r="D1283" s="2">
        <v>665</v>
      </c>
      <c r="F1283" s="1764"/>
      <c r="G1283" s="1764"/>
      <c r="H1283" s="1764"/>
      <c r="I1283" s="1764"/>
      <c r="J1283" s="1764"/>
      <c r="K1283" s="1764"/>
      <c r="L1283" s="1764"/>
      <c r="M1283" s="1765"/>
      <c r="N1283" s="1765"/>
      <c r="O1283" s="1765"/>
      <c r="P1283" s="1765"/>
      <c r="Q1283" s="1765"/>
      <c r="W1283" t="s">
        <v>2089</v>
      </c>
    </row>
    <row r="1284" spans="1:23" ht="13.15" customHeight="1" x14ac:dyDescent="0.2">
      <c r="A1284" s="2" t="s">
        <v>2241</v>
      </c>
      <c r="B1284" s="2">
        <f t="shared" si="40"/>
        <v>2019</v>
      </c>
      <c r="C1284" s="2" t="str">
        <f t="shared" si="41"/>
        <v>EC101</v>
      </c>
      <c r="D1284" s="2">
        <v>666</v>
      </c>
      <c r="F1284" s="1764"/>
      <c r="G1284" s="1764"/>
      <c r="H1284" s="1764"/>
      <c r="I1284" s="1764"/>
      <c r="J1284" s="1764"/>
      <c r="K1284" s="1764"/>
      <c r="L1284" s="1764"/>
      <c r="M1284" s="1765"/>
      <c r="N1284" s="1765"/>
      <c r="O1284" s="1765"/>
      <c r="P1284" s="1765"/>
      <c r="Q1284" s="1765"/>
      <c r="W1284" t="s">
        <v>2089</v>
      </c>
    </row>
    <row r="1285" spans="1:23" ht="13.15" customHeight="1" x14ac:dyDescent="0.2">
      <c r="A1285" s="2" t="s">
        <v>2241</v>
      </c>
      <c r="B1285" s="2">
        <f t="shared" si="40"/>
        <v>2019</v>
      </c>
      <c r="C1285" s="2" t="str">
        <f t="shared" si="41"/>
        <v>EC101</v>
      </c>
      <c r="D1285" s="2">
        <v>667</v>
      </c>
      <c r="F1285" s="1764"/>
      <c r="G1285" s="1764"/>
      <c r="H1285" s="1764"/>
      <c r="I1285" s="1764"/>
      <c r="J1285" s="1764"/>
      <c r="K1285" s="1764"/>
      <c r="L1285" s="1764"/>
      <c r="M1285" s="1765"/>
      <c r="N1285" s="1765"/>
      <c r="O1285" s="1765"/>
      <c r="P1285" s="1765"/>
      <c r="Q1285" s="1765"/>
      <c r="W1285" t="s">
        <v>2089</v>
      </c>
    </row>
    <row r="1286" spans="1:23" ht="13.15" customHeight="1" x14ac:dyDescent="0.2">
      <c r="A1286" s="2" t="s">
        <v>2241</v>
      </c>
      <c r="B1286" s="2">
        <f t="shared" si="40"/>
        <v>2019</v>
      </c>
      <c r="C1286" s="2" t="str">
        <f t="shared" si="41"/>
        <v>EC101</v>
      </c>
      <c r="D1286" s="2">
        <v>668</v>
      </c>
      <c r="F1286" s="1764"/>
      <c r="G1286" s="1764"/>
      <c r="H1286" s="1764"/>
      <c r="I1286" s="1764"/>
      <c r="J1286" s="1764"/>
      <c r="K1286" s="1764"/>
      <c r="L1286" s="1764"/>
      <c r="M1286" s="1765"/>
      <c r="N1286" s="1765"/>
      <c r="O1286" s="1765"/>
      <c r="P1286" s="1765"/>
      <c r="Q1286" s="1765"/>
      <c r="W1286" t="s">
        <v>2089</v>
      </c>
    </row>
    <row r="1287" spans="1:23" ht="13.15" customHeight="1" x14ac:dyDescent="0.2">
      <c r="A1287" s="2" t="s">
        <v>2241</v>
      </c>
      <c r="B1287" s="2">
        <f t="shared" si="40"/>
        <v>2019</v>
      </c>
      <c r="C1287" s="2" t="str">
        <f t="shared" si="41"/>
        <v>EC101</v>
      </c>
      <c r="D1287" s="2">
        <v>669</v>
      </c>
      <c r="F1287" s="1764"/>
      <c r="G1287" s="1764"/>
      <c r="H1287" s="1764"/>
      <c r="I1287" s="1764"/>
      <c r="J1287" s="1764"/>
      <c r="K1287" s="1764"/>
      <c r="L1287" s="1764"/>
      <c r="M1287" s="1765"/>
      <c r="N1287" s="1765"/>
      <c r="O1287" s="1765"/>
      <c r="P1287" s="1765"/>
      <c r="Q1287" s="1765"/>
      <c r="W1287" t="s">
        <v>2089</v>
      </c>
    </row>
    <row r="1288" spans="1:23" ht="13.15" customHeight="1" x14ac:dyDescent="0.2">
      <c r="A1288" s="2" t="s">
        <v>2241</v>
      </c>
      <c r="B1288" s="2">
        <f t="shared" si="40"/>
        <v>2019</v>
      </c>
      <c r="C1288" s="2" t="str">
        <f t="shared" si="41"/>
        <v>EC101</v>
      </c>
      <c r="D1288" s="2">
        <v>670</v>
      </c>
      <c r="F1288" s="1764"/>
      <c r="G1288" s="1764"/>
      <c r="H1288" s="1764"/>
      <c r="I1288" s="1764"/>
      <c r="J1288" s="1764"/>
      <c r="K1288" s="1764"/>
      <c r="L1288" s="1764"/>
      <c r="M1288" s="1765"/>
      <c r="N1288" s="1765"/>
      <c r="O1288" s="1765"/>
      <c r="P1288" s="1765"/>
      <c r="Q1288" s="1765"/>
      <c r="W1288" t="s">
        <v>2089</v>
      </c>
    </row>
    <row r="1289" spans="1:23" ht="13.15" customHeight="1" x14ac:dyDescent="0.2">
      <c r="A1289" s="2" t="s">
        <v>2241</v>
      </c>
      <c r="B1289" s="2">
        <f t="shared" si="40"/>
        <v>2019</v>
      </c>
      <c r="C1289" s="2" t="str">
        <f t="shared" si="41"/>
        <v>EC101</v>
      </c>
      <c r="D1289" s="2">
        <v>671</v>
      </c>
      <c r="F1289" s="1764"/>
      <c r="G1289" s="1764"/>
      <c r="H1289" s="1764"/>
      <c r="I1289" s="1764"/>
      <c r="J1289" s="1764"/>
      <c r="K1289" s="1764"/>
      <c r="L1289" s="1764"/>
      <c r="M1289" s="1765"/>
      <c r="N1289" s="1765"/>
      <c r="O1289" s="1765"/>
      <c r="P1289" s="1765"/>
      <c r="Q1289" s="1765"/>
      <c r="W1289" t="s">
        <v>2089</v>
      </c>
    </row>
    <row r="1290" spans="1:23" ht="13.15" customHeight="1" x14ac:dyDescent="0.2">
      <c r="A1290" s="2" t="s">
        <v>2241</v>
      </c>
      <c r="B1290" s="2">
        <f t="shared" si="40"/>
        <v>2019</v>
      </c>
      <c r="C1290" s="2" t="str">
        <f t="shared" si="41"/>
        <v>EC101</v>
      </c>
      <c r="D1290" s="2">
        <v>672</v>
      </c>
      <c r="F1290" s="1764"/>
      <c r="G1290" s="1764"/>
      <c r="H1290" s="1764"/>
      <c r="I1290" s="1764"/>
      <c r="J1290" s="1764"/>
      <c r="K1290" s="1764"/>
      <c r="L1290" s="1764"/>
      <c r="M1290" s="1765"/>
      <c r="N1290" s="1765"/>
      <c r="O1290" s="1765"/>
      <c r="P1290" s="1765"/>
      <c r="Q1290" s="1765"/>
      <c r="W1290" t="s">
        <v>2089</v>
      </c>
    </row>
    <row r="1291" spans="1:23" ht="13.15" customHeight="1" x14ac:dyDescent="0.2">
      <c r="A1291" s="2" t="s">
        <v>2241</v>
      </c>
      <c r="B1291" s="2">
        <f t="shared" si="40"/>
        <v>2019</v>
      </c>
      <c r="C1291" s="2" t="str">
        <f t="shared" si="41"/>
        <v>EC101</v>
      </c>
      <c r="D1291" s="2">
        <v>673</v>
      </c>
      <c r="F1291" s="1764"/>
      <c r="G1291" s="1764"/>
      <c r="H1291" s="1764"/>
      <c r="I1291" s="1764"/>
      <c r="J1291" s="1764"/>
      <c r="K1291" s="1764"/>
      <c r="L1291" s="1764"/>
      <c r="M1291" s="1765"/>
      <c r="N1291" s="1765"/>
      <c r="O1291" s="1765"/>
      <c r="P1291" s="1765"/>
      <c r="Q1291" s="1765"/>
      <c r="W1291" t="s">
        <v>2089</v>
      </c>
    </row>
    <row r="1292" spans="1:23" ht="13.15" customHeight="1" x14ac:dyDescent="0.2">
      <c r="A1292" s="2" t="s">
        <v>2241</v>
      </c>
      <c r="B1292" s="2">
        <f t="shared" si="40"/>
        <v>2019</v>
      </c>
      <c r="C1292" s="2" t="str">
        <f t="shared" si="41"/>
        <v>EC101</v>
      </c>
      <c r="D1292" s="2">
        <v>674</v>
      </c>
      <c r="F1292" s="1764"/>
      <c r="G1292" s="1764"/>
      <c r="H1292" s="1764"/>
      <c r="I1292" s="1764"/>
      <c r="J1292" s="1764"/>
      <c r="K1292" s="1764"/>
      <c r="L1292" s="1764"/>
      <c r="M1292" s="1765"/>
      <c r="N1292" s="1765"/>
      <c r="O1292" s="1765"/>
      <c r="P1292" s="1765"/>
      <c r="Q1292" s="1765"/>
      <c r="W1292" t="s">
        <v>2089</v>
      </c>
    </row>
    <row r="1293" spans="1:23" ht="13.15" customHeight="1" x14ac:dyDescent="0.2">
      <c r="A1293" s="2" t="s">
        <v>2241</v>
      </c>
      <c r="B1293" s="2">
        <f t="shared" si="40"/>
        <v>2019</v>
      </c>
      <c r="C1293" s="2" t="str">
        <f t="shared" si="41"/>
        <v>EC101</v>
      </c>
      <c r="D1293" s="2">
        <v>675</v>
      </c>
      <c r="F1293" s="1764"/>
      <c r="G1293" s="1764"/>
      <c r="H1293" s="1764"/>
      <c r="I1293" s="1764"/>
      <c r="J1293" s="1764"/>
      <c r="K1293" s="1764"/>
      <c r="L1293" s="1764"/>
      <c r="M1293" s="1765"/>
      <c r="N1293" s="1765"/>
      <c r="O1293" s="1765"/>
      <c r="P1293" s="1765"/>
      <c r="Q1293" s="1765"/>
      <c r="W1293" t="s">
        <v>2089</v>
      </c>
    </row>
    <row r="1294" spans="1:23" ht="13.15" customHeight="1" x14ac:dyDescent="0.2">
      <c r="A1294" s="2" t="s">
        <v>2241</v>
      </c>
      <c r="B1294" s="2">
        <f t="shared" si="40"/>
        <v>2019</v>
      </c>
      <c r="C1294" s="2" t="str">
        <f t="shared" si="41"/>
        <v>EC101</v>
      </c>
      <c r="D1294" s="2">
        <v>676</v>
      </c>
      <c r="F1294" s="1764"/>
      <c r="G1294" s="1764"/>
      <c r="H1294" s="1764"/>
      <c r="I1294" s="1764"/>
      <c r="J1294" s="1764"/>
      <c r="K1294" s="1764"/>
      <c r="L1294" s="1764"/>
      <c r="M1294" s="1765"/>
      <c r="N1294" s="1765"/>
      <c r="O1294" s="1765"/>
      <c r="P1294" s="1765"/>
      <c r="Q1294" s="1765"/>
      <c r="W1294" t="s">
        <v>2089</v>
      </c>
    </row>
    <row r="1295" spans="1:23" ht="13.15" customHeight="1" x14ac:dyDescent="0.2">
      <c r="A1295" s="2" t="s">
        <v>2241</v>
      </c>
      <c r="B1295" s="2">
        <f t="shared" si="40"/>
        <v>2019</v>
      </c>
      <c r="C1295" s="2" t="str">
        <f t="shared" si="41"/>
        <v>EC101</v>
      </c>
      <c r="D1295" s="2">
        <v>677</v>
      </c>
      <c r="F1295" s="1764"/>
      <c r="G1295" s="1764"/>
      <c r="H1295" s="1764"/>
      <c r="I1295" s="1764"/>
      <c r="J1295" s="1764"/>
      <c r="K1295" s="1764"/>
      <c r="L1295" s="1764"/>
      <c r="M1295" s="1765"/>
      <c r="N1295" s="1765"/>
      <c r="O1295" s="1765"/>
      <c r="P1295" s="1765"/>
      <c r="Q1295" s="1765"/>
      <c r="W1295" t="s">
        <v>2089</v>
      </c>
    </row>
    <row r="1296" spans="1:23" ht="13.15" customHeight="1" x14ac:dyDescent="0.2">
      <c r="A1296" s="2" t="s">
        <v>2241</v>
      </c>
      <c r="B1296" s="2">
        <f t="shared" si="40"/>
        <v>2019</v>
      </c>
      <c r="C1296" s="2" t="str">
        <f t="shared" si="41"/>
        <v>EC101</v>
      </c>
      <c r="D1296" s="2">
        <v>678</v>
      </c>
      <c r="F1296" s="1764"/>
      <c r="G1296" s="1764"/>
      <c r="H1296" s="1764"/>
      <c r="I1296" s="1764"/>
      <c r="J1296" s="1764"/>
      <c r="K1296" s="1764"/>
      <c r="L1296" s="1764"/>
      <c r="M1296" s="1765"/>
      <c r="N1296" s="1765"/>
      <c r="O1296" s="1765"/>
      <c r="P1296" s="1765"/>
      <c r="Q1296" s="1765"/>
      <c r="W1296" t="s">
        <v>2089</v>
      </c>
    </row>
    <row r="1297" spans="1:23" ht="13.15" customHeight="1" x14ac:dyDescent="0.2">
      <c r="A1297" s="2" t="s">
        <v>2241</v>
      </c>
      <c r="B1297" s="2">
        <f t="shared" si="40"/>
        <v>2019</v>
      </c>
      <c r="C1297" s="2" t="str">
        <f t="shared" si="41"/>
        <v>EC101</v>
      </c>
      <c r="D1297" s="2">
        <v>679</v>
      </c>
      <c r="F1297" s="1764"/>
      <c r="G1297" s="1764"/>
      <c r="H1297" s="1764"/>
      <c r="I1297" s="1764"/>
      <c r="J1297" s="1764"/>
      <c r="K1297" s="1764"/>
      <c r="L1297" s="1764"/>
      <c r="M1297" s="1765"/>
      <c r="N1297" s="1765"/>
      <c r="O1297" s="1765"/>
      <c r="P1297" s="1765"/>
      <c r="Q1297" s="1765"/>
      <c r="W1297" t="s">
        <v>2089</v>
      </c>
    </row>
    <row r="1298" spans="1:23" ht="13.15" customHeight="1" x14ac:dyDescent="0.2">
      <c r="A1298" s="2" t="s">
        <v>2241</v>
      </c>
      <c r="B1298" s="2">
        <f t="shared" si="40"/>
        <v>2019</v>
      </c>
      <c r="C1298" s="2" t="str">
        <f t="shared" si="41"/>
        <v>EC101</v>
      </c>
      <c r="D1298" s="2">
        <v>680</v>
      </c>
      <c r="F1298" s="1764"/>
      <c r="G1298" s="1764"/>
      <c r="H1298" s="1764"/>
      <c r="I1298" s="1764"/>
      <c r="J1298" s="1764"/>
      <c r="K1298" s="1764"/>
      <c r="L1298" s="1764"/>
      <c r="M1298" s="1765"/>
      <c r="N1298" s="1765"/>
      <c r="O1298" s="1765"/>
      <c r="P1298" s="1765"/>
      <c r="Q1298" s="1765"/>
      <c r="W1298" t="s">
        <v>2089</v>
      </c>
    </row>
    <row r="1299" spans="1:23" ht="13.15" customHeight="1" x14ac:dyDescent="0.2">
      <c r="A1299" s="2" t="s">
        <v>2241</v>
      </c>
      <c r="B1299" s="2">
        <f t="shared" si="40"/>
        <v>2019</v>
      </c>
      <c r="C1299" s="2" t="str">
        <f t="shared" si="41"/>
        <v>EC101</v>
      </c>
      <c r="D1299" s="2">
        <v>681</v>
      </c>
      <c r="F1299" s="1764"/>
      <c r="G1299" s="1764"/>
      <c r="H1299" s="1764"/>
      <c r="I1299" s="1764"/>
      <c r="J1299" s="1764"/>
      <c r="K1299" s="1764"/>
      <c r="L1299" s="1764"/>
      <c r="M1299" s="1765"/>
      <c r="N1299" s="1765"/>
      <c r="O1299" s="1765"/>
      <c r="P1299" s="1765"/>
      <c r="Q1299" s="1765"/>
      <c r="W1299" t="s">
        <v>2089</v>
      </c>
    </row>
    <row r="1300" spans="1:23" ht="13.15" customHeight="1" x14ac:dyDescent="0.2">
      <c r="A1300" s="2" t="s">
        <v>2241</v>
      </c>
      <c r="B1300" s="2">
        <f t="shared" si="40"/>
        <v>2019</v>
      </c>
      <c r="C1300" s="2" t="str">
        <f t="shared" si="41"/>
        <v>EC101</v>
      </c>
      <c r="D1300" s="2">
        <v>682</v>
      </c>
      <c r="F1300" s="1764"/>
      <c r="G1300" s="1764"/>
      <c r="H1300" s="1764"/>
      <c r="I1300" s="1764"/>
      <c r="J1300" s="1764"/>
      <c r="K1300" s="1764"/>
      <c r="L1300" s="1764"/>
      <c r="M1300" s="1765"/>
      <c r="N1300" s="1765"/>
      <c r="O1300" s="1765"/>
      <c r="P1300" s="1765"/>
      <c r="Q1300" s="1765"/>
      <c r="W1300" t="s">
        <v>2089</v>
      </c>
    </row>
    <row r="1301" spans="1:23" ht="13.15" customHeight="1" x14ac:dyDescent="0.2">
      <c r="A1301" s="2" t="s">
        <v>2241</v>
      </c>
      <c r="B1301" s="2">
        <f t="shared" si="40"/>
        <v>2019</v>
      </c>
      <c r="C1301" s="2" t="str">
        <f t="shared" si="41"/>
        <v>EC101</v>
      </c>
      <c r="D1301" s="2">
        <v>683</v>
      </c>
      <c r="F1301" s="1764"/>
      <c r="G1301" s="1764"/>
      <c r="H1301" s="1764"/>
      <c r="I1301" s="1764"/>
      <c r="J1301" s="1764"/>
      <c r="K1301" s="1764"/>
      <c r="L1301" s="1764"/>
      <c r="M1301" s="1765"/>
      <c r="N1301" s="1765"/>
      <c r="O1301" s="1765"/>
      <c r="P1301" s="1765"/>
      <c r="Q1301" s="1765"/>
      <c r="W1301" t="s">
        <v>2089</v>
      </c>
    </row>
    <row r="1302" spans="1:23" ht="13.15" customHeight="1" x14ac:dyDescent="0.2">
      <c r="A1302" s="2" t="s">
        <v>2241</v>
      </c>
      <c r="B1302" s="2">
        <f t="shared" si="40"/>
        <v>2019</v>
      </c>
      <c r="C1302" s="2" t="str">
        <f t="shared" si="41"/>
        <v>EC101</v>
      </c>
      <c r="D1302" s="2">
        <v>684</v>
      </c>
      <c r="F1302" s="1764"/>
      <c r="G1302" s="1764"/>
      <c r="H1302" s="1764"/>
      <c r="I1302" s="1764"/>
      <c r="J1302" s="1764"/>
      <c r="K1302" s="1764"/>
      <c r="L1302" s="1764"/>
      <c r="M1302" s="1765"/>
      <c r="N1302" s="1765"/>
      <c r="O1302" s="1765"/>
      <c r="P1302" s="1765"/>
      <c r="Q1302" s="1765"/>
      <c r="W1302" t="s">
        <v>2089</v>
      </c>
    </row>
    <row r="1303" spans="1:23" ht="13.15" customHeight="1" x14ac:dyDescent="0.2">
      <c r="A1303" s="2" t="s">
        <v>2241</v>
      </c>
      <c r="B1303" s="2">
        <f t="shared" si="40"/>
        <v>2019</v>
      </c>
      <c r="C1303" s="2" t="str">
        <f t="shared" si="41"/>
        <v>EC101</v>
      </c>
      <c r="D1303" s="2">
        <v>685</v>
      </c>
      <c r="F1303" s="1764"/>
      <c r="G1303" s="1764"/>
      <c r="H1303" s="1764"/>
      <c r="I1303" s="1764"/>
      <c r="J1303" s="1764"/>
      <c r="K1303" s="1764"/>
      <c r="L1303" s="1764"/>
      <c r="M1303" s="1765"/>
      <c r="N1303" s="1765"/>
      <c r="O1303" s="1765"/>
      <c r="P1303" s="1765"/>
      <c r="Q1303" s="1765"/>
      <c r="W1303" t="s">
        <v>2089</v>
      </c>
    </row>
    <row r="1304" spans="1:23" ht="13.15" customHeight="1" x14ac:dyDescent="0.2">
      <c r="A1304" s="2" t="s">
        <v>2241</v>
      </c>
      <c r="B1304" s="2">
        <f t="shared" si="40"/>
        <v>2019</v>
      </c>
      <c r="C1304" s="2" t="str">
        <f t="shared" si="41"/>
        <v>EC101</v>
      </c>
      <c r="D1304" s="2">
        <v>686</v>
      </c>
      <c r="F1304" s="1764"/>
      <c r="G1304" s="1764"/>
      <c r="H1304" s="1764"/>
      <c r="I1304" s="1764"/>
      <c r="J1304" s="1764"/>
      <c r="K1304" s="1764"/>
      <c r="L1304" s="1764"/>
      <c r="M1304" s="1765"/>
      <c r="N1304" s="1765"/>
      <c r="O1304" s="1765"/>
      <c r="P1304" s="1765"/>
      <c r="Q1304" s="1765"/>
      <c r="W1304" t="s">
        <v>2089</v>
      </c>
    </row>
    <row r="1305" spans="1:23" ht="13.15" customHeight="1" x14ac:dyDescent="0.2">
      <c r="A1305" s="2" t="s">
        <v>2241</v>
      </c>
      <c r="B1305" s="2">
        <f t="shared" si="40"/>
        <v>2019</v>
      </c>
      <c r="C1305" s="2" t="str">
        <f t="shared" si="41"/>
        <v>EC101</v>
      </c>
      <c r="D1305" s="2">
        <v>687</v>
      </c>
      <c r="F1305" s="1764"/>
      <c r="G1305" s="1764"/>
      <c r="H1305" s="1764"/>
      <c r="I1305" s="1764"/>
      <c r="J1305" s="1764"/>
      <c r="K1305" s="1764"/>
      <c r="L1305" s="1764"/>
      <c r="M1305" s="1765"/>
      <c r="N1305" s="1765"/>
      <c r="O1305" s="1765"/>
      <c r="P1305" s="1765"/>
      <c r="Q1305" s="1765"/>
      <c r="W1305" t="s">
        <v>2089</v>
      </c>
    </row>
    <row r="1306" spans="1:23" ht="13.15" customHeight="1" x14ac:dyDescent="0.2">
      <c r="A1306" s="2" t="s">
        <v>2241</v>
      </c>
      <c r="B1306" s="2">
        <f t="shared" si="40"/>
        <v>2019</v>
      </c>
      <c r="C1306" s="2" t="str">
        <f t="shared" si="41"/>
        <v>EC101</v>
      </c>
      <c r="D1306" s="2">
        <v>688</v>
      </c>
      <c r="F1306" s="1764"/>
      <c r="G1306" s="1764"/>
      <c r="H1306" s="1764"/>
      <c r="I1306" s="1764"/>
      <c r="J1306" s="1764"/>
      <c r="K1306" s="1764"/>
      <c r="L1306" s="1764"/>
      <c r="M1306" s="1765"/>
      <c r="N1306" s="1765"/>
      <c r="O1306" s="1765"/>
      <c r="P1306" s="1765"/>
      <c r="Q1306" s="1765"/>
      <c r="W1306" t="s">
        <v>2089</v>
      </c>
    </row>
    <row r="1307" spans="1:23" ht="13.15" customHeight="1" x14ac:dyDescent="0.2">
      <c r="A1307" s="2" t="s">
        <v>2241</v>
      </c>
      <c r="B1307" s="2">
        <f t="shared" si="40"/>
        <v>2019</v>
      </c>
      <c r="C1307" s="2" t="str">
        <f t="shared" si="41"/>
        <v>EC101</v>
      </c>
      <c r="D1307" s="2">
        <v>689</v>
      </c>
      <c r="F1307" s="1764"/>
      <c r="G1307" s="1764"/>
      <c r="H1307" s="1764"/>
      <c r="I1307" s="1764"/>
      <c r="J1307" s="1764"/>
      <c r="K1307" s="1764"/>
      <c r="L1307" s="1764"/>
      <c r="M1307" s="1765"/>
      <c r="N1307" s="1765"/>
      <c r="O1307" s="1765"/>
      <c r="P1307" s="1765"/>
      <c r="Q1307" s="1765"/>
      <c r="W1307" t="s">
        <v>2089</v>
      </c>
    </row>
    <row r="1308" spans="1:23" ht="13.15" customHeight="1" x14ac:dyDescent="0.2">
      <c r="A1308" s="2" t="s">
        <v>2241</v>
      </c>
      <c r="B1308" s="2">
        <f t="shared" si="40"/>
        <v>2019</v>
      </c>
      <c r="C1308" s="2" t="str">
        <f t="shared" si="41"/>
        <v>EC101</v>
      </c>
      <c r="D1308" s="2">
        <v>690</v>
      </c>
      <c r="F1308" s="1764"/>
      <c r="G1308" s="1764"/>
      <c r="H1308" s="1764"/>
      <c r="I1308" s="1764"/>
      <c r="J1308" s="1764"/>
      <c r="K1308" s="1764"/>
      <c r="L1308" s="1764"/>
      <c r="M1308" s="1765"/>
      <c r="N1308" s="1765"/>
      <c r="O1308" s="1765"/>
      <c r="P1308" s="1765"/>
      <c r="Q1308" s="1765"/>
      <c r="W1308" t="s">
        <v>2089</v>
      </c>
    </row>
    <row r="1309" spans="1:23" ht="13.15" customHeight="1" x14ac:dyDescent="0.2">
      <c r="A1309" s="2" t="s">
        <v>2241</v>
      </c>
      <c r="B1309" s="2">
        <f t="shared" si="40"/>
        <v>2019</v>
      </c>
      <c r="C1309" s="2" t="str">
        <f t="shared" si="41"/>
        <v>EC101</v>
      </c>
      <c r="D1309" s="2">
        <v>691</v>
      </c>
      <c r="F1309" s="1764"/>
      <c r="G1309" s="1764"/>
      <c r="H1309" s="1764"/>
      <c r="I1309" s="1764"/>
      <c r="J1309" s="1764"/>
      <c r="K1309" s="1764"/>
      <c r="L1309" s="1764"/>
      <c r="M1309" s="1765"/>
      <c r="N1309" s="1765"/>
      <c r="O1309" s="1765"/>
      <c r="P1309" s="1765"/>
      <c r="Q1309" s="1765"/>
      <c r="W1309" t="s">
        <v>2089</v>
      </c>
    </row>
    <row r="1310" spans="1:23" ht="13.15" customHeight="1" x14ac:dyDescent="0.2">
      <c r="A1310" s="2" t="s">
        <v>2241</v>
      </c>
      <c r="B1310" s="2">
        <f t="shared" si="40"/>
        <v>2019</v>
      </c>
      <c r="C1310" s="2" t="str">
        <f t="shared" si="41"/>
        <v>EC101</v>
      </c>
      <c r="D1310" s="2">
        <v>692</v>
      </c>
      <c r="F1310" s="1764"/>
      <c r="G1310" s="1764"/>
      <c r="H1310" s="1764"/>
      <c r="I1310" s="1764"/>
      <c r="J1310" s="1764"/>
      <c r="K1310" s="1764"/>
      <c r="L1310" s="1764"/>
      <c r="M1310" s="1765"/>
      <c r="N1310" s="1765"/>
      <c r="O1310" s="1765"/>
      <c r="P1310" s="1765"/>
      <c r="Q1310" s="1765"/>
      <c r="W1310" t="s">
        <v>2089</v>
      </c>
    </row>
    <row r="1311" spans="1:23" ht="13.15" customHeight="1" x14ac:dyDescent="0.2">
      <c r="A1311" s="2" t="s">
        <v>2241</v>
      </c>
      <c r="B1311" s="2">
        <f t="shared" si="40"/>
        <v>2019</v>
      </c>
      <c r="C1311" s="2" t="str">
        <f t="shared" si="41"/>
        <v>EC101</v>
      </c>
      <c r="D1311" s="2">
        <v>693</v>
      </c>
      <c r="F1311" s="1764"/>
      <c r="G1311" s="1764"/>
      <c r="H1311" s="1764"/>
      <c r="I1311" s="1764"/>
      <c r="J1311" s="1764"/>
      <c r="K1311" s="1764"/>
      <c r="L1311" s="1764"/>
      <c r="M1311" s="1765"/>
      <c r="N1311" s="1765"/>
      <c r="O1311" s="1765"/>
      <c r="P1311" s="1765"/>
      <c r="Q1311" s="1765"/>
      <c r="W1311" t="s">
        <v>2089</v>
      </c>
    </row>
    <row r="1312" spans="1:23" ht="13.15" customHeight="1" x14ac:dyDescent="0.2">
      <c r="A1312" s="2" t="s">
        <v>2241</v>
      </c>
      <c r="B1312" s="2">
        <f t="shared" si="40"/>
        <v>2019</v>
      </c>
      <c r="C1312" s="2" t="str">
        <f t="shared" si="41"/>
        <v>EC101</v>
      </c>
      <c r="D1312" s="2">
        <v>694</v>
      </c>
      <c r="F1312" s="1764"/>
      <c r="G1312" s="1764"/>
      <c r="H1312" s="1764"/>
      <c r="I1312" s="1764"/>
      <c r="J1312" s="1764"/>
      <c r="K1312" s="1764"/>
      <c r="L1312" s="1764"/>
      <c r="M1312" s="1765"/>
      <c r="N1312" s="1765"/>
      <c r="O1312" s="1765"/>
      <c r="P1312" s="1765"/>
      <c r="Q1312" s="1765"/>
      <c r="W1312" t="s">
        <v>2089</v>
      </c>
    </row>
    <row r="1313" spans="1:23" ht="13.15" customHeight="1" x14ac:dyDescent="0.2">
      <c r="A1313" s="2" t="s">
        <v>2241</v>
      </c>
      <c r="B1313" s="2">
        <f t="shared" si="40"/>
        <v>2019</v>
      </c>
      <c r="C1313" s="2" t="str">
        <f t="shared" si="41"/>
        <v>EC101</v>
      </c>
      <c r="D1313" s="2">
        <v>695</v>
      </c>
      <c r="F1313" s="1764"/>
      <c r="G1313" s="1764"/>
      <c r="H1313" s="1764"/>
      <c r="I1313" s="1764"/>
      <c r="J1313" s="1764"/>
      <c r="K1313" s="1764"/>
      <c r="L1313" s="1764"/>
      <c r="M1313" s="1765"/>
      <c r="N1313" s="1765"/>
      <c r="O1313" s="1765"/>
      <c r="P1313" s="1765"/>
      <c r="Q1313" s="1765"/>
      <c r="W1313" t="s">
        <v>2089</v>
      </c>
    </row>
    <row r="1314" spans="1:23" ht="13.15" customHeight="1" x14ac:dyDescent="0.2">
      <c r="A1314" s="2" t="s">
        <v>2241</v>
      </c>
      <c r="B1314" s="2">
        <f t="shared" si="40"/>
        <v>2019</v>
      </c>
      <c r="C1314" s="2" t="str">
        <f t="shared" si="41"/>
        <v>EC101</v>
      </c>
      <c r="D1314" s="2">
        <v>696</v>
      </c>
      <c r="F1314" s="1764"/>
      <c r="G1314" s="1764"/>
      <c r="H1314" s="1764"/>
      <c r="I1314" s="1764"/>
      <c r="J1314" s="1764"/>
      <c r="K1314" s="1764"/>
      <c r="L1314" s="1764"/>
      <c r="M1314" s="1765"/>
      <c r="N1314" s="1765"/>
      <c r="O1314" s="1765"/>
      <c r="P1314" s="1765"/>
      <c r="Q1314" s="1765"/>
      <c r="W1314" t="s">
        <v>2089</v>
      </c>
    </row>
    <row r="1315" spans="1:23" ht="13.15" customHeight="1" x14ac:dyDescent="0.2">
      <c r="A1315" s="2" t="s">
        <v>2241</v>
      </c>
      <c r="B1315" s="2">
        <f t="shared" si="40"/>
        <v>2019</v>
      </c>
      <c r="C1315" s="2" t="str">
        <f t="shared" si="41"/>
        <v>EC101</v>
      </c>
      <c r="D1315" s="2">
        <v>697</v>
      </c>
      <c r="F1315" s="1764"/>
      <c r="G1315" s="1764"/>
      <c r="H1315" s="1764"/>
      <c r="I1315" s="1764"/>
      <c r="J1315" s="1764"/>
      <c r="K1315" s="1764"/>
      <c r="L1315" s="1764"/>
      <c r="M1315" s="1765"/>
      <c r="N1315" s="1765"/>
      <c r="O1315" s="1765"/>
      <c r="P1315" s="1765"/>
      <c r="Q1315" s="1765"/>
      <c r="W1315" t="s">
        <v>2089</v>
      </c>
    </row>
    <row r="1316" spans="1:23" ht="13.15" customHeight="1" x14ac:dyDescent="0.2">
      <c r="A1316" s="2" t="s">
        <v>2241</v>
      </c>
      <c r="B1316" s="2">
        <f t="shared" si="40"/>
        <v>2019</v>
      </c>
      <c r="C1316" s="2" t="str">
        <f t="shared" si="41"/>
        <v>EC101</v>
      </c>
      <c r="D1316" s="2">
        <v>698</v>
      </c>
      <c r="F1316" s="1764"/>
      <c r="G1316" s="1764"/>
      <c r="H1316" s="1764"/>
      <c r="I1316" s="1764"/>
      <c r="J1316" s="1764"/>
      <c r="K1316" s="1764"/>
      <c r="L1316" s="1764"/>
      <c r="M1316" s="1765"/>
      <c r="N1316" s="1765"/>
      <c r="O1316" s="1765"/>
      <c r="P1316" s="1765"/>
      <c r="Q1316" s="1765"/>
      <c r="W1316" t="s">
        <v>2089</v>
      </c>
    </row>
    <row r="1317" spans="1:23" ht="13.15" customHeight="1" x14ac:dyDescent="0.2">
      <c r="A1317" s="2" t="s">
        <v>2241</v>
      </c>
      <c r="B1317" s="2">
        <f t="shared" si="40"/>
        <v>2019</v>
      </c>
      <c r="C1317" s="2" t="str">
        <f t="shared" si="41"/>
        <v>EC101</v>
      </c>
      <c r="D1317" s="2">
        <v>699</v>
      </c>
      <c r="F1317" s="1764"/>
      <c r="G1317" s="1764"/>
      <c r="H1317" s="1764"/>
      <c r="I1317" s="1764"/>
      <c r="J1317" s="1764"/>
      <c r="K1317" s="1764"/>
      <c r="L1317" s="1764"/>
      <c r="M1317" s="1765"/>
      <c r="N1317" s="1765"/>
      <c r="O1317" s="1765"/>
      <c r="P1317" s="1765"/>
      <c r="Q1317" s="1765"/>
      <c r="W1317" t="s">
        <v>2089</v>
      </c>
    </row>
    <row r="1318" spans="1:23" ht="13.15" customHeight="1" x14ac:dyDescent="0.2">
      <c r="A1318" s="2" t="s">
        <v>2241</v>
      </c>
      <c r="B1318" s="2">
        <f t="shared" si="40"/>
        <v>2019</v>
      </c>
      <c r="C1318" s="2" t="str">
        <f t="shared" si="41"/>
        <v>EC101</v>
      </c>
      <c r="D1318" s="2">
        <v>700</v>
      </c>
      <c r="F1318" s="1764"/>
      <c r="G1318" s="1764"/>
      <c r="H1318" s="1764"/>
      <c r="I1318" s="1764"/>
      <c r="J1318" s="1764"/>
      <c r="K1318" s="1764"/>
      <c r="L1318" s="1764"/>
      <c r="M1318" s="1765"/>
      <c r="N1318" s="1765"/>
      <c r="O1318" s="1765"/>
      <c r="P1318" s="1765"/>
      <c r="Q1318" s="1765"/>
      <c r="W1318" t="s">
        <v>2089</v>
      </c>
    </row>
    <row r="1319" spans="1:23" ht="13.15" customHeight="1" x14ac:dyDescent="0.2">
      <c r="A1319" s="2" t="s">
        <v>2241</v>
      </c>
      <c r="B1319" s="2">
        <f t="shared" si="40"/>
        <v>2019</v>
      </c>
      <c r="C1319" s="2" t="str">
        <f t="shared" si="41"/>
        <v>EC101</v>
      </c>
      <c r="D1319" s="2">
        <v>701</v>
      </c>
      <c r="F1319" s="1764"/>
      <c r="G1319" s="1764"/>
      <c r="H1319" s="1764"/>
      <c r="I1319" s="1764"/>
      <c r="J1319" s="1764"/>
      <c r="K1319" s="1764"/>
      <c r="L1319" s="1764"/>
      <c r="M1319" s="1765"/>
      <c r="N1319" s="1765"/>
      <c r="O1319" s="1765"/>
      <c r="P1319" s="1765"/>
      <c r="Q1319" s="1765"/>
      <c r="W1319" t="s">
        <v>2089</v>
      </c>
    </row>
    <row r="1320" spans="1:23" ht="13.15" customHeight="1" x14ac:dyDescent="0.2">
      <c r="A1320" s="2" t="s">
        <v>2241</v>
      </c>
      <c r="B1320" s="2">
        <f t="shared" si="40"/>
        <v>2019</v>
      </c>
      <c r="C1320" s="2" t="str">
        <f t="shared" si="41"/>
        <v>EC101</v>
      </c>
      <c r="D1320" s="2">
        <v>702</v>
      </c>
      <c r="F1320" s="1764"/>
      <c r="G1320" s="1764"/>
      <c r="H1320" s="1764"/>
      <c r="I1320" s="1764"/>
      <c r="J1320" s="1764"/>
      <c r="K1320" s="1764"/>
      <c r="L1320" s="1764"/>
      <c r="M1320" s="1765"/>
      <c r="N1320" s="1765"/>
      <c r="O1320" s="1765"/>
      <c r="P1320" s="1765"/>
      <c r="Q1320" s="1765"/>
      <c r="W1320" t="s">
        <v>2089</v>
      </c>
    </row>
    <row r="1321" spans="1:23" ht="13.15" customHeight="1" x14ac:dyDescent="0.2">
      <c r="A1321" s="2" t="s">
        <v>2241</v>
      </c>
      <c r="B1321" s="2">
        <f t="shared" si="40"/>
        <v>2019</v>
      </c>
      <c r="C1321" s="2" t="str">
        <f t="shared" si="41"/>
        <v>EC101</v>
      </c>
      <c r="D1321" s="2">
        <v>703</v>
      </c>
      <c r="F1321" s="1764"/>
      <c r="G1321" s="1764"/>
      <c r="H1321" s="1764"/>
      <c r="I1321" s="1764"/>
      <c r="J1321" s="1764"/>
      <c r="K1321" s="1764"/>
      <c r="L1321" s="1764"/>
      <c r="M1321" s="1765"/>
      <c r="N1321" s="1765"/>
      <c r="O1321" s="1765"/>
      <c r="P1321" s="1765"/>
      <c r="Q1321" s="1765"/>
      <c r="W1321" t="s">
        <v>2089</v>
      </c>
    </row>
    <row r="1322" spans="1:23" ht="13.15" customHeight="1" x14ac:dyDescent="0.2">
      <c r="A1322" s="2" t="s">
        <v>2241</v>
      </c>
      <c r="B1322" s="2">
        <f t="shared" si="40"/>
        <v>2019</v>
      </c>
      <c r="C1322" s="2" t="str">
        <f t="shared" si="41"/>
        <v>EC101</v>
      </c>
      <c r="D1322" s="2">
        <v>704</v>
      </c>
      <c r="F1322" s="1764"/>
      <c r="G1322" s="1764"/>
      <c r="H1322" s="1764"/>
      <c r="I1322" s="1764"/>
      <c r="J1322" s="1764"/>
      <c r="K1322" s="1764"/>
      <c r="L1322" s="1764"/>
      <c r="M1322" s="1765"/>
      <c r="N1322" s="1765"/>
      <c r="O1322" s="1765"/>
      <c r="P1322" s="1765"/>
      <c r="Q1322" s="1765"/>
      <c r="W1322" t="s">
        <v>2089</v>
      </c>
    </row>
    <row r="1323" spans="1:23" ht="13.15" customHeight="1" x14ac:dyDescent="0.2">
      <c r="A1323" s="2" t="s">
        <v>2241</v>
      </c>
      <c r="B1323" s="2">
        <f t="shared" si="40"/>
        <v>2019</v>
      </c>
      <c r="C1323" s="2" t="str">
        <f t="shared" si="41"/>
        <v>EC101</v>
      </c>
      <c r="D1323" s="2">
        <v>705</v>
      </c>
      <c r="F1323" s="1764"/>
      <c r="G1323" s="1764"/>
      <c r="H1323" s="1764"/>
      <c r="I1323" s="1764"/>
      <c r="J1323" s="1764"/>
      <c r="K1323" s="1764"/>
      <c r="L1323" s="1764"/>
      <c r="M1323" s="1765"/>
      <c r="N1323" s="1765"/>
      <c r="O1323" s="1765"/>
      <c r="P1323" s="1765"/>
      <c r="Q1323" s="1765"/>
      <c r="W1323" t="s">
        <v>2089</v>
      </c>
    </row>
    <row r="1324" spans="1:23" ht="13.15" customHeight="1" x14ac:dyDescent="0.2">
      <c r="A1324" s="2" t="s">
        <v>2241</v>
      </c>
      <c r="B1324" s="2">
        <f t="shared" si="40"/>
        <v>2019</v>
      </c>
      <c r="C1324" s="2" t="str">
        <f t="shared" si="41"/>
        <v>EC101</v>
      </c>
      <c r="D1324" s="2">
        <v>706</v>
      </c>
      <c r="F1324" s="1764"/>
      <c r="G1324" s="1764"/>
      <c r="H1324" s="1764"/>
      <c r="I1324" s="1764"/>
      <c r="J1324" s="1764"/>
      <c r="K1324" s="1764"/>
      <c r="L1324" s="1764"/>
      <c r="M1324" s="1765"/>
      <c r="N1324" s="1765"/>
      <c r="O1324" s="1765"/>
      <c r="P1324" s="1765"/>
      <c r="Q1324" s="1765"/>
      <c r="W1324" t="s">
        <v>2089</v>
      </c>
    </row>
    <row r="1325" spans="1:23" ht="13.15" customHeight="1" x14ac:dyDescent="0.2">
      <c r="A1325" s="2" t="s">
        <v>2241</v>
      </c>
      <c r="B1325" s="2">
        <f t="shared" si="40"/>
        <v>2019</v>
      </c>
      <c r="C1325" s="2" t="str">
        <f t="shared" si="41"/>
        <v>EC101</v>
      </c>
      <c r="D1325" s="2">
        <v>707</v>
      </c>
      <c r="F1325" s="1764"/>
      <c r="G1325" s="1764"/>
      <c r="H1325" s="1764"/>
      <c r="I1325" s="1764"/>
      <c r="J1325" s="1764"/>
      <c r="K1325" s="1764"/>
      <c r="L1325" s="1764"/>
      <c r="M1325" s="1765"/>
      <c r="N1325" s="1765"/>
      <c r="O1325" s="1765"/>
      <c r="P1325" s="1765"/>
      <c r="Q1325" s="1765"/>
      <c r="W1325" t="s">
        <v>2089</v>
      </c>
    </row>
    <row r="1326" spans="1:23" ht="13.15" customHeight="1" x14ac:dyDescent="0.2">
      <c r="A1326" s="2" t="s">
        <v>2241</v>
      </c>
      <c r="B1326" s="2">
        <f t="shared" si="40"/>
        <v>2019</v>
      </c>
      <c r="C1326" s="2" t="str">
        <f t="shared" si="41"/>
        <v>EC101</v>
      </c>
      <c r="D1326" s="2">
        <v>708</v>
      </c>
      <c r="F1326" s="1764"/>
      <c r="G1326" s="1764"/>
      <c r="H1326" s="1764"/>
      <c r="I1326" s="1764"/>
      <c r="J1326" s="1764"/>
      <c r="K1326" s="1764"/>
      <c r="L1326" s="1764"/>
      <c r="M1326" s="1765"/>
      <c r="N1326" s="1765"/>
      <c r="O1326" s="1765"/>
      <c r="P1326" s="1765"/>
      <c r="Q1326" s="1765"/>
      <c r="W1326" t="s">
        <v>2089</v>
      </c>
    </row>
    <row r="1327" spans="1:23" ht="13.15" customHeight="1" x14ac:dyDescent="0.2">
      <c r="A1327" s="2" t="s">
        <v>2241</v>
      </c>
      <c r="B1327" s="2">
        <f t="shared" si="40"/>
        <v>2019</v>
      </c>
      <c r="C1327" s="2" t="str">
        <f t="shared" si="41"/>
        <v>EC101</v>
      </c>
      <c r="D1327" s="2">
        <v>709</v>
      </c>
      <c r="F1327" s="1764"/>
      <c r="G1327" s="1764"/>
      <c r="H1327" s="1764"/>
      <c r="I1327" s="1764"/>
      <c r="J1327" s="1764"/>
      <c r="K1327" s="1764"/>
      <c r="L1327" s="1764"/>
      <c r="M1327" s="1765"/>
      <c r="N1327" s="1765"/>
      <c r="O1327" s="1765"/>
      <c r="P1327" s="1765"/>
      <c r="Q1327" s="1765"/>
      <c r="W1327" t="s">
        <v>2089</v>
      </c>
    </row>
    <row r="1328" spans="1:23" ht="13.15" customHeight="1" x14ac:dyDescent="0.2">
      <c r="A1328" s="2" t="s">
        <v>2241</v>
      </c>
      <c r="B1328" s="2">
        <f t="shared" si="40"/>
        <v>2019</v>
      </c>
      <c r="C1328" s="2" t="str">
        <f t="shared" si="41"/>
        <v>EC101</v>
      </c>
      <c r="D1328" s="2">
        <v>710</v>
      </c>
      <c r="F1328" s="1764"/>
      <c r="G1328" s="1764"/>
      <c r="H1328" s="1764"/>
      <c r="I1328" s="1764"/>
      <c r="J1328" s="1764"/>
      <c r="K1328" s="1764"/>
      <c r="L1328" s="1764"/>
      <c r="M1328" s="1765"/>
      <c r="N1328" s="1765"/>
      <c r="O1328" s="1765"/>
      <c r="P1328" s="1765"/>
      <c r="Q1328" s="1765"/>
      <c r="W1328" t="s">
        <v>2089</v>
      </c>
    </row>
    <row r="1329" spans="1:23" ht="13.15" customHeight="1" x14ac:dyDescent="0.2">
      <c r="A1329" s="2" t="s">
        <v>2241</v>
      </c>
      <c r="B1329" s="2">
        <f t="shared" si="40"/>
        <v>2019</v>
      </c>
      <c r="C1329" s="2" t="str">
        <f t="shared" si="41"/>
        <v>EC101</v>
      </c>
      <c r="D1329" s="2">
        <v>711</v>
      </c>
      <c r="F1329" s="1764"/>
      <c r="G1329" s="1764"/>
      <c r="H1329" s="1764"/>
      <c r="I1329" s="1764"/>
      <c r="J1329" s="1764"/>
      <c r="K1329" s="1764"/>
      <c r="L1329" s="1764"/>
      <c r="M1329" s="1765"/>
      <c r="N1329" s="1765"/>
      <c r="O1329" s="1765"/>
      <c r="P1329" s="1765"/>
      <c r="Q1329" s="1765"/>
      <c r="W1329" t="s">
        <v>2089</v>
      </c>
    </row>
    <row r="1330" spans="1:23" ht="13.15" customHeight="1" x14ac:dyDescent="0.2">
      <c r="A1330" s="2" t="s">
        <v>2241</v>
      </c>
      <c r="B1330" s="2">
        <f t="shared" si="40"/>
        <v>2019</v>
      </c>
      <c r="C1330" s="2" t="str">
        <f t="shared" si="41"/>
        <v>EC101</v>
      </c>
      <c r="D1330" s="2">
        <v>712</v>
      </c>
      <c r="F1330" s="1764"/>
      <c r="G1330" s="1764"/>
      <c r="H1330" s="1764"/>
      <c r="I1330" s="1764"/>
      <c r="J1330" s="1764"/>
      <c r="K1330" s="1764"/>
      <c r="L1330" s="1764"/>
      <c r="M1330" s="1765"/>
      <c r="N1330" s="1765"/>
      <c r="O1330" s="1765"/>
      <c r="P1330" s="1765"/>
      <c r="Q1330" s="1765"/>
      <c r="W1330" t="s">
        <v>2089</v>
      </c>
    </row>
    <row r="1331" spans="1:23" ht="13.15" customHeight="1" x14ac:dyDescent="0.2">
      <c r="A1331" s="2" t="s">
        <v>2241</v>
      </c>
      <c r="B1331" s="2">
        <f t="shared" si="40"/>
        <v>2019</v>
      </c>
      <c r="C1331" s="2" t="str">
        <f t="shared" si="41"/>
        <v>EC101</v>
      </c>
      <c r="D1331" s="2">
        <v>713</v>
      </c>
      <c r="F1331" s="1764"/>
      <c r="G1331" s="1764"/>
      <c r="H1331" s="1764"/>
      <c r="I1331" s="1764"/>
      <c r="J1331" s="1764"/>
      <c r="K1331" s="1764"/>
      <c r="L1331" s="1764"/>
      <c r="M1331" s="1765"/>
      <c r="N1331" s="1765"/>
      <c r="O1331" s="1765"/>
      <c r="P1331" s="1765"/>
      <c r="Q1331" s="1765"/>
      <c r="W1331" t="s">
        <v>2089</v>
      </c>
    </row>
    <row r="1332" spans="1:23" ht="13.15" customHeight="1" x14ac:dyDescent="0.2">
      <c r="A1332" s="2" t="s">
        <v>2241</v>
      </c>
      <c r="B1332" s="2">
        <f t="shared" si="40"/>
        <v>2019</v>
      </c>
      <c r="C1332" s="2" t="str">
        <f t="shared" si="41"/>
        <v>EC101</v>
      </c>
      <c r="D1332" s="2">
        <v>714</v>
      </c>
      <c r="F1332" s="1764"/>
      <c r="G1332" s="1764"/>
      <c r="H1332" s="1764"/>
      <c r="I1332" s="1764"/>
      <c r="J1332" s="1764"/>
      <c r="K1332" s="1764"/>
      <c r="L1332" s="1764"/>
      <c r="M1332" s="1765"/>
      <c r="N1332" s="1765"/>
      <c r="O1332" s="1765"/>
      <c r="P1332" s="1765"/>
      <c r="Q1332" s="1765"/>
      <c r="W1332" t="s">
        <v>2089</v>
      </c>
    </row>
    <row r="1333" spans="1:23" ht="13.15" customHeight="1" x14ac:dyDescent="0.2">
      <c r="A1333" s="2" t="s">
        <v>2241</v>
      </c>
      <c r="B1333" s="2">
        <f t="shared" si="40"/>
        <v>2019</v>
      </c>
      <c r="C1333" s="2" t="str">
        <f t="shared" si="41"/>
        <v>EC101</v>
      </c>
      <c r="D1333" s="2">
        <v>715</v>
      </c>
      <c r="F1333" s="1764"/>
      <c r="G1333" s="1764"/>
      <c r="H1333" s="1764"/>
      <c r="I1333" s="1764"/>
      <c r="J1333" s="1764"/>
      <c r="K1333" s="1764"/>
      <c r="L1333" s="1764"/>
      <c r="M1333" s="1765"/>
      <c r="N1333" s="1765"/>
      <c r="O1333" s="1765"/>
      <c r="P1333" s="1765"/>
      <c r="Q1333" s="1765"/>
      <c r="W1333" t="s">
        <v>2089</v>
      </c>
    </row>
    <row r="1334" spans="1:23" ht="13.15" customHeight="1" x14ac:dyDescent="0.2">
      <c r="A1334" s="2" t="s">
        <v>2241</v>
      </c>
      <c r="B1334" s="2">
        <f t="shared" si="40"/>
        <v>2019</v>
      </c>
      <c r="C1334" s="2" t="str">
        <f t="shared" si="41"/>
        <v>EC101</v>
      </c>
      <c r="D1334" s="2">
        <v>716</v>
      </c>
      <c r="F1334" s="1764"/>
      <c r="G1334" s="1764"/>
      <c r="H1334" s="1764"/>
      <c r="I1334" s="1764"/>
      <c r="J1334" s="1764"/>
      <c r="K1334" s="1764"/>
      <c r="L1334" s="1764"/>
      <c r="M1334" s="1765"/>
      <c r="N1334" s="1765"/>
      <c r="O1334" s="1765"/>
      <c r="P1334" s="1765"/>
      <c r="Q1334" s="1765"/>
      <c r="W1334" t="s">
        <v>2089</v>
      </c>
    </row>
    <row r="1335" spans="1:23" ht="13.15" customHeight="1" x14ac:dyDescent="0.2">
      <c r="A1335" s="2" t="s">
        <v>2241</v>
      </c>
      <c r="B1335" s="2">
        <f t="shared" si="40"/>
        <v>2019</v>
      </c>
      <c r="C1335" s="2" t="str">
        <f t="shared" si="41"/>
        <v>EC101</v>
      </c>
      <c r="D1335" s="2">
        <v>717</v>
      </c>
      <c r="F1335" s="1764"/>
      <c r="G1335" s="1764"/>
      <c r="H1335" s="1764"/>
      <c r="I1335" s="1764"/>
      <c r="J1335" s="1764"/>
      <c r="K1335" s="1764"/>
      <c r="L1335" s="1764"/>
      <c r="M1335" s="1765"/>
      <c r="N1335" s="1765"/>
      <c r="O1335" s="1765"/>
      <c r="P1335" s="1765"/>
      <c r="Q1335" s="1765"/>
      <c r="W1335" t="s">
        <v>2089</v>
      </c>
    </row>
    <row r="1336" spans="1:23" ht="13.15" customHeight="1" x14ac:dyDescent="0.2">
      <c r="A1336" s="2" t="s">
        <v>2241</v>
      </c>
      <c r="B1336" s="2">
        <f t="shared" si="40"/>
        <v>2019</v>
      </c>
      <c r="C1336" s="2" t="str">
        <f t="shared" si="41"/>
        <v>EC101</v>
      </c>
      <c r="D1336" s="2">
        <v>718</v>
      </c>
      <c r="F1336" s="1764"/>
      <c r="G1336" s="1764"/>
      <c r="H1336" s="1764"/>
      <c r="I1336" s="1764"/>
      <c r="J1336" s="1764"/>
      <c r="K1336" s="1764"/>
      <c r="L1336" s="1764"/>
      <c r="M1336" s="1765"/>
      <c r="N1336" s="1765"/>
      <c r="O1336" s="1765"/>
      <c r="P1336" s="1765"/>
      <c r="Q1336" s="1765"/>
      <c r="W1336" t="s">
        <v>2089</v>
      </c>
    </row>
    <row r="1337" spans="1:23" ht="13.15" customHeight="1" x14ac:dyDescent="0.2">
      <c r="A1337" s="2" t="s">
        <v>2241</v>
      </c>
      <c r="B1337" s="2">
        <f t="shared" si="40"/>
        <v>2019</v>
      </c>
      <c r="C1337" s="2" t="str">
        <f t="shared" si="41"/>
        <v>EC101</v>
      </c>
      <c r="D1337" s="2">
        <v>719</v>
      </c>
      <c r="F1337" s="1764"/>
      <c r="G1337" s="1764"/>
      <c r="H1337" s="1764"/>
      <c r="I1337" s="1764"/>
      <c r="J1337" s="1764"/>
      <c r="K1337" s="1764"/>
      <c r="L1337" s="1764"/>
      <c r="M1337" s="1765"/>
      <c r="N1337" s="1765"/>
      <c r="O1337" s="1765"/>
      <c r="P1337" s="1765"/>
      <c r="Q1337" s="1765"/>
      <c r="W1337" t="s">
        <v>2089</v>
      </c>
    </row>
    <row r="1338" spans="1:23" ht="13.15" customHeight="1" x14ac:dyDescent="0.2">
      <c r="A1338" s="2" t="s">
        <v>2241</v>
      </c>
      <c r="B1338" s="2">
        <f t="shared" si="40"/>
        <v>2019</v>
      </c>
      <c r="C1338" s="2" t="str">
        <f t="shared" si="41"/>
        <v>EC101</v>
      </c>
      <c r="D1338" s="2">
        <v>720</v>
      </c>
      <c r="F1338" s="1764"/>
      <c r="G1338" s="1764"/>
      <c r="H1338" s="1764"/>
      <c r="I1338" s="1764"/>
      <c r="J1338" s="1764"/>
      <c r="K1338" s="1764"/>
      <c r="L1338" s="1764"/>
      <c r="M1338" s="1765"/>
      <c r="N1338" s="1765"/>
      <c r="O1338" s="1765"/>
      <c r="P1338" s="1765"/>
      <c r="Q1338" s="1765"/>
      <c r="W1338" t="s">
        <v>2089</v>
      </c>
    </row>
    <row r="1339" spans="1:23" ht="13.15" customHeight="1" x14ac:dyDescent="0.2">
      <c r="A1339" s="2" t="s">
        <v>2241</v>
      </c>
      <c r="B1339" s="2">
        <f t="shared" si="40"/>
        <v>2019</v>
      </c>
      <c r="C1339" s="2" t="str">
        <f t="shared" si="41"/>
        <v>EC101</v>
      </c>
      <c r="D1339" s="2">
        <v>721</v>
      </c>
      <c r="F1339" s="1764"/>
      <c r="G1339" s="1764"/>
      <c r="H1339" s="1764"/>
      <c r="I1339" s="1764"/>
      <c r="J1339" s="1764"/>
      <c r="K1339" s="1764"/>
      <c r="L1339" s="1764"/>
      <c r="M1339" s="1765"/>
      <c r="N1339" s="1765"/>
      <c r="O1339" s="1765"/>
      <c r="P1339" s="1765"/>
      <c r="Q1339" s="1765"/>
      <c r="W1339" t="s">
        <v>2089</v>
      </c>
    </row>
    <row r="1340" spans="1:23" ht="13.15" customHeight="1" x14ac:dyDescent="0.2">
      <c r="A1340" s="2" t="s">
        <v>2241</v>
      </c>
      <c r="B1340" s="2">
        <f t="shared" si="40"/>
        <v>2019</v>
      </c>
      <c r="C1340" s="2" t="str">
        <f t="shared" si="41"/>
        <v>EC101</v>
      </c>
      <c r="D1340" s="2">
        <v>722</v>
      </c>
      <c r="F1340" s="1764"/>
      <c r="G1340" s="1764"/>
      <c r="H1340" s="1764"/>
      <c r="I1340" s="1764"/>
      <c r="J1340" s="1764"/>
      <c r="K1340" s="1764"/>
      <c r="L1340" s="1764"/>
      <c r="M1340" s="1765"/>
      <c r="N1340" s="1765"/>
      <c r="O1340" s="1765"/>
      <c r="P1340" s="1765"/>
      <c r="Q1340" s="1765"/>
      <c r="W1340" t="s">
        <v>2089</v>
      </c>
    </row>
    <row r="1341" spans="1:23" ht="13.15" customHeight="1" x14ac:dyDescent="0.2">
      <c r="A1341" s="2" t="s">
        <v>2241</v>
      </c>
      <c r="B1341" s="2">
        <f t="shared" si="40"/>
        <v>2019</v>
      </c>
      <c r="C1341" s="2" t="str">
        <f t="shared" si="41"/>
        <v>EC101</v>
      </c>
      <c r="D1341" s="2">
        <v>723</v>
      </c>
      <c r="F1341" s="1764"/>
      <c r="G1341" s="1764"/>
      <c r="H1341" s="1764"/>
      <c r="I1341" s="1764"/>
      <c r="J1341" s="1764"/>
      <c r="K1341" s="1764"/>
      <c r="L1341" s="1764"/>
      <c r="M1341" s="1765"/>
      <c r="N1341" s="1765"/>
      <c r="O1341" s="1765"/>
      <c r="P1341" s="1765"/>
      <c r="Q1341" s="1765"/>
      <c r="W1341" t="s">
        <v>2089</v>
      </c>
    </row>
    <row r="1342" spans="1:23" ht="13.15" customHeight="1" x14ac:dyDescent="0.2">
      <c r="A1342" s="2" t="s">
        <v>2241</v>
      </c>
      <c r="B1342" s="2">
        <f t="shared" si="40"/>
        <v>2019</v>
      </c>
      <c r="C1342" s="2" t="str">
        <f t="shared" si="41"/>
        <v>EC101</v>
      </c>
      <c r="D1342" s="2">
        <v>724</v>
      </c>
      <c r="F1342" s="1764"/>
      <c r="G1342" s="1764"/>
      <c r="H1342" s="1764"/>
      <c r="I1342" s="1764"/>
      <c r="J1342" s="1764"/>
      <c r="K1342" s="1764"/>
      <c r="L1342" s="1764"/>
      <c r="M1342" s="1765"/>
      <c r="N1342" s="1765"/>
      <c r="O1342" s="1765"/>
      <c r="P1342" s="1765"/>
      <c r="Q1342" s="1765"/>
      <c r="W1342" t="s">
        <v>2089</v>
      </c>
    </row>
    <row r="1343" spans="1:23" ht="13.15" customHeight="1" x14ac:dyDescent="0.2">
      <c r="A1343" s="2" t="s">
        <v>2241</v>
      </c>
      <c r="B1343" s="2">
        <f t="shared" si="40"/>
        <v>2019</v>
      </c>
      <c r="C1343" s="2" t="str">
        <f t="shared" si="41"/>
        <v>EC101</v>
      </c>
      <c r="D1343" s="2">
        <v>725</v>
      </c>
      <c r="F1343" s="1764"/>
      <c r="G1343" s="1764"/>
      <c r="H1343" s="1764"/>
      <c r="I1343" s="1764"/>
      <c r="J1343" s="1764"/>
      <c r="K1343" s="1764"/>
      <c r="L1343" s="1764"/>
      <c r="M1343" s="1765"/>
      <c r="N1343" s="1765"/>
      <c r="O1343" s="1765"/>
      <c r="P1343" s="1765"/>
      <c r="Q1343" s="1765"/>
      <c r="W1343" t="s">
        <v>2089</v>
      </c>
    </row>
    <row r="1344" spans="1:23" ht="13.15" customHeight="1" x14ac:dyDescent="0.2">
      <c r="A1344" s="2" t="s">
        <v>2241</v>
      </c>
      <c r="B1344" s="2">
        <f t="shared" si="40"/>
        <v>2019</v>
      </c>
      <c r="C1344" s="2" t="str">
        <f t="shared" si="41"/>
        <v>EC101</v>
      </c>
      <c r="D1344" s="2">
        <v>726</v>
      </c>
      <c r="F1344" s="1764"/>
      <c r="G1344" s="1764"/>
      <c r="H1344" s="1764"/>
      <c r="I1344" s="1764"/>
      <c r="J1344" s="1764"/>
      <c r="K1344" s="1764"/>
      <c r="L1344" s="1764"/>
      <c r="M1344" s="1765"/>
      <c r="N1344" s="1765"/>
      <c r="O1344" s="1765"/>
      <c r="P1344" s="1765"/>
      <c r="Q1344" s="1765"/>
      <c r="W1344" t="s">
        <v>2089</v>
      </c>
    </row>
    <row r="1345" spans="1:23" ht="13.15" customHeight="1" x14ac:dyDescent="0.2">
      <c r="A1345" s="2" t="s">
        <v>2241</v>
      </c>
      <c r="B1345" s="2">
        <f t="shared" si="40"/>
        <v>2019</v>
      </c>
      <c r="C1345" s="2" t="str">
        <f t="shared" si="41"/>
        <v>EC101</v>
      </c>
      <c r="D1345" s="2">
        <v>727</v>
      </c>
      <c r="F1345" s="1764"/>
      <c r="G1345" s="1764"/>
      <c r="H1345" s="1764"/>
      <c r="I1345" s="1764"/>
      <c r="J1345" s="1764"/>
      <c r="K1345" s="1764"/>
      <c r="L1345" s="1764"/>
      <c r="M1345" s="1765"/>
      <c r="N1345" s="1765"/>
      <c r="O1345" s="1765"/>
      <c r="P1345" s="1765"/>
      <c r="Q1345" s="1765"/>
      <c r="W1345" t="s">
        <v>2089</v>
      </c>
    </row>
    <row r="1346" spans="1:23" ht="13.15" customHeight="1" x14ac:dyDescent="0.2">
      <c r="A1346" s="2" t="s">
        <v>2241</v>
      </c>
      <c r="B1346" s="2">
        <f t="shared" ref="B1346:B1409" si="42">+MTREF</f>
        <v>2019</v>
      </c>
      <c r="C1346" s="2" t="str">
        <f t="shared" ref="C1346:C1409" si="43">LEFT(muni,(FIND(" ",muni,1)-1))</f>
        <v>EC101</v>
      </c>
      <c r="D1346" s="2">
        <v>728</v>
      </c>
      <c r="F1346" s="1764"/>
      <c r="G1346" s="1764"/>
      <c r="H1346" s="1764"/>
      <c r="I1346" s="1764"/>
      <c r="J1346" s="1764"/>
      <c r="K1346" s="1764"/>
      <c r="L1346" s="1764"/>
      <c r="M1346" s="1765"/>
      <c r="N1346" s="1765"/>
      <c r="O1346" s="1765"/>
      <c r="P1346" s="1765"/>
      <c r="Q1346" s="1765"/>
      <c r="W1346" t="s">
        <v>2089</v>
      </c>
    </row>
    <row r="1347" spans="1:23" ht="13.15" customHeight="1" x14ac:dyDescent="0.2">
      <c r="A1347" s="2" t="s">
        <v>2241</v>
      </c>
      <c r="B1347" s="2">
        <f t="shared" si="42"/>
        <v>2019</v>
      </c>
      <c r="C1347" s="2" t="str">
        <f t="shared" si="43"/>
        <v>EC101</v>
      </c>
      <c r="D1347" s="2">
        <v>729</v>
      </c>
      <c r="F1347" s="1764"/>
      <c r="G1347" s="1764"/>
      <c r="H1347" s="1764"/>
      <c r="I1347" s="1764"/>
      <c r="J1347" s="1764"/>
      <c r="K1347" s="1764"/>
      <c r="L1347" s="1764"/>
      <c r="M1347" s="1765"/>
      <c r="N1347" s="1765"/>
      <c r="O1347" s="1765"/>
      <c r="P1347" s="1765"/>
      <c r="Q1347" s="1765"/>
      <c r="W1347" t="s">
        <v>2089</v>
      </c>
    </row>
    <row r="1348" spans="1:23" ht="13.15" customHeight="1" x14ac:dyDescent="0.2">
      <c r="A1348" s="2" t="s">
        <v>2241</v>
      </c>
      <c r="B1348" s="2">
        <f t="shared" si="42"/>
        <v>2019</v>
      </c>
      <c r="C1348" s="2" t="str">
        <f t="shared" si="43"/>
        <v>EC101</v>
      </c>
      <c r="D1348" s="2">
        <v>730</v>
      </c>
      <c r="F1348" s="1764"/>
      <c r="G1348" s="1764"/>
      <c r="H1348" s="1764"/>
      <c r="I1348" s="1764"/>
      <c r="J1348" s="1764"/>
      <c r="K1348" s="1764"/>
      <c r="L1348" s="1764"/>
      <c r="M1348" s="1765"/>
      <c r="N1348" s="1765"/>
      <c r="O1348" s="1765"/>
      <c r="P1348" s="1765"/>
      <c r="Q1348" s="1765"/>
      <c r="W1348" t="s">
        <v>2089</v>
      </c>
    </row>
    <row r="1349" spans="1:23" ht="13.15" customHeight="1" x14ac:dyDescent="0.2">
      <c r="A1349" s="2" t="s">
        <v>2241</v>
      </c>
      <c r="B1349" s="2">
        <f t="shared" si="42"/>
        <v>2019</v>
      </c>
      <c r="C1349" s="2" t="str">
        <f t="shared" si="43"/>
        <v>EC101</v>
      </c>
      <c r="D1349" s="2">
        <v>731</v>
      </c>
      <c r="F1349" s="1764"/>
      <c r="G1349" s="1764"/>
      <c r="H1349" s="1764"/>
      <c r="I1349" s="1764"/>
      <c r="J1349" s="1764"/>
      <c r="K1349" s="1764"/>
      <c r="L1349" s="1764"/>
      <c r="M1349" s="1765"/>
      <c r="N1349" s="1765"/>
      <c r="O1349" s="1765"/>
      <c r="P1349" s="1765"/>
      <c r="Q1349" s="1765"/>
      <c r="W1349" t="s">
        <v>2089</v>
      </c>
    </row>
    <row r="1350" spans="1:23" ht="13.15" customHeight="1" x14ac:dyDescent="0.2">
      <c r="A1350" s="2" t="s">
        <v>2241</v>
      </c>
      <c r="B1350" s="2">
        <f t="shared" si="42"/>
        <v>2019</v>
      </c>
      <c r="C1350" s="2" t="str">
        <f t="shared" si="43"/>
        <v>EC101</v>
      </c>
      <c r="D1350" s="2">
        <v>732</v>
      </c>
      <c r="F1350" s="1764"/>
      <c r="G1350" s="1764"/>
      <c r="H1350" s="1764"/>
      <c r="I1350" s="1764"/>
      <c r="J1350" s="1764"/>
      <c r="K1350" s="1764"/>
      <c r="L1350" s="1764"/>
      <c r="M1350" s="1765"/>
      <c r="N1350" s="1765"/>
      <c r="O1350" s="1765"/>
      <c r="P1350" s="1765"/>
      <c r="Q1350" s="1765"/>
      <c r="W1350" t="s">
        <v>2089</v>
      </c>
    </row>
    <row r="1351" spans="1:23" ht="13.15" customHeight="1" x14ac:dyDescent="0.2">
      <c r="A1351" s="2" t="s">
        <v>2241</v>
      </c>
      <c r="B1351" s="2">
        <f t="shared" si="42"/>
        <v>2019</v>
      </c>
      <c r="C1351" s="2" t="str">
        <f t="shared" si="43"/>
        <v>EC101</v>
      </c>
      <c r="D1351" s="2">
        <v>733</v>
      </c>
      <c r="F1351" s="1764"/>
      <c r="G1351" s="1764"/>
      <c r="H1351" s="1764"/>
      <c r="I1351" s="1764"/>
      <c r="J1351" s="1764"/>
      <c r="K1351" s="1764"/>
      <c r="L1351" s="1764"/>
      <c r="M1351" s="1765"/>
      <c r="N1351" s="1765"/>
      <c r="O1351" s="1765"/>
      <c r="P1351" s="1765"/>
      <c r="Q1351" s="1765"/>
      <c r="W1351" t="s">
        <v>2089</v>
      </c>
    </row>
    <row r="1352" spans="1:23" ht="13.15" customHeight="1" x14ac:dyDescent="0.2">
      <c r="A1352" s="2" t="s">
        <v>2241</v>
      </c>
      <c r="B1352" s="2">
        <f t="shared" si="42"/>
        <v>2019</v>
      </c>
      <c r="C1352" s="2" t="str">
        <f t="shared" si="43"/>
        <v>EC101</v>
      </c>
      <c r="D1352" s="2">
        <v>734</v>
      </c>
      <c r="F1352" s="1764"/>
      <c r="G1352" s="1764"/>
      <c r="H1352" s="1764"/>
      <c r="I1352" s="1764"/>
      <c r="J1352" s="1764"/>
      <c r="K1352" s="1764"/>
      <c r="L1352" s="1764"/>
      <c r="M1352" s="1765"/>
      <c r="N1352" s="1765"/>
      <c r="O1352" s="1765"/>
      <c r="P1352" s="1765"/>
      <c r="Q1352" s="1765"/>
      <c r="W1352" t="s">
        <v>2089</v>
      </c>
    </row>
    <row r="1353" spans="1:23" ht="13.15" customHeight="1" x14ac:dyDescent="0.2">
      <c r="A1353" s="2" t="s">
        <v>2241</v>
      </c>
      <c r="B1353" s="2">
        <f t="shared" si="42"/>
        <v>2019</v>
      </c>
      <c r="C1353" s="2" t="str">
        <f t="shared" si="43"/>
        <v>EC101</v>
      </c>
      <c r="D1353" s="2">
        <v>735</v>
      </c>
      <c r="F1353" s="1764"/>
      <c r="G1353" s="1764"/>
      <c r="H1353" s="1764"/>
      <c r="I1353" s="1764"/>
      <c r="J1353" s="1764"/>
      <c r="K1353" s="1764"/>
      <c r="L1353" s="1764"/>
      <c r="M1353" s="1765"/>
      <c r="N1353" s="1765"/>
      <c r="O1353" s="1765"/>
      <c r="P1353" s="1765"/>
      <c r="Q1353" s="1765"/>
      <c r="W1353" t="s">
        <v>2089</v>
      </c>
    </row>
    <row r="1354" spans="1:23" ht="13.15" customHeight="1" x14ac:dyDescent="0.2">
      <c r="A1354" s="2" t="s">
        <v>2241</v>
      </c>
      <c r="B1354" s="2">
        <f t="shared" si="42"/>
        <v>2019</v>
      </c>
      <c r="C1354" s="2" t="str">
        <f t="shared" si="43"/>
        <v>EC101</v>
      </c>
      <c r="D1354" s="2">
        <v>736</v>
      </c>
      <c r="F1354" s="1764"/>
      <c r="G1354" s="1764"/>
      <c r="H1354" s="1764"/>
      <c r="I1354" s="1764"/>
      <c r="J1354" s="1764"/>
      <c r="K1354" s="1764"/>
      <c r="L1354" s="1764"/>
      <c r="M1354" s="1765"/>
      <c r="N1354" s="1765"/>
      <c r="O1354" s="1765"/>
      <c r="P1354" s="1765"/>
      <c r="Q1354" s="1765"/>
      <c r="W1354" t="s">
        <v>2089</v>
      </c>
    </row>
    <row r="1355" spans="1:23" ht="13.15" customHeight="1" x14ac:dyDescent="0.2">
      <c r="A1355" s="2" t="s">
        <v>2241</v>
      </c>
      <c r="B1355" s="2">
        <f t="shared" si="42"/>
        <v>2019</v>
      </c>
      <c r="C1355" s="2" t="str">
        <f t="shared" si="43"/>
        <v>EC101</v>
      </c>
      <c r="D1355" s="2">
        <v>737</v>
      </c>
      <c r="F1355" s="1764"/>
      <c r="G1355" s="1764"/>
      <c r="H1355" s="1764"/>
      <c r="I1355" s="1764"/>
      <c r="J1355" s="1764"/>
      <c r="K1355" s="1764"/>
      <c r="L1355" s="1764"/>
      <c r="M1355" s="1765"/>
      <c r="N1355" s="1765"/>
      <c r="O1355" s="1765"/>
      <c r="P1355" s="1765"/>
      <c r="Q1355" s="1765"/>
      <c r="W1355" t="s">
        <v>2089</v>
      </c>
    </row>
    <row r="1356" spans="1:23" ht="13.15" customHeight="1" x14ac:dyDescent="0.2">
      <c r="A1356" s="2" t="s">
        <v>2241</v>
      </c>
      <c r="B1356" s="2">
        <f t="shared" si="42"/>
        <v>2019</v>
      </c>
      <c r="C1356" s="2" t="str">
        <f t="shared" si="43"/>
        <v>EC101</v>
      </c>
      <c r="D1356" s="2">
        <v>738</v>
      </c>
      <c r="F1356" s="1764"/>
      <c r="G1356" s="1764"/>
      <c r="H1356" s="1764"/>
      <c r="I1356" s="1764"/>
      <c r="J1356" s="1764"/>
      <c r="K1356" s="1764"/>
      <c r="L1356" s="1764"/>
      <c r="M1356" s="1765"/>
      <c r="N1356" s="1765"/>
      <c r="O1356" s="1765"/>
      <c r="P1356" s="1765"/>
      <c r="Q1356" s="1765"/>
      <c r="W1356" t="s">
        <v>2089</v>
      </c>
    </row>
    <row r="1357" spans="1:23" ht="13.15" customHeight="1" x14ac:dyDescent="0.2">
      <c r="A1357" s="2" t="s">
        <v>2241</v>
      </c>
      <c r="B1357" s="2">
        <f t="shared" si="42"/>
        <v>2019</v>
      </c>
      <c r="C1357" s="2" t="str">
        <f t="shared" si="43"/>
        <v>EC101</v>
      </c>
      <c r="D1357" s="2">
        <v>739</v>
      </c>
      <c r="F1357" s="1764"/>
      <c r="G1357" s="1764"/>
      <c r="H1357" s="1764"/>
      <c r="I1357" s="1764"/>
      <c r="J1357" s="1764"/>
      <c r="K1357" s="1764"/>
      <c r="L1357" s="1764"/>
      <c r="M1357" s="1765"/>
      <c r="N1357" s="1765"/>
      <c r="O1357" s="1765"/>
      <c r="P1357" s="1765"/>
      <c r="Q1357" s="1765"/>
      <c r="W1357" t="s">
        <v>2089</v>
      </c>
    </row>
    <row r="1358" spans="1:23" ht="13.15" customHeight="1" x14ac:dyDescent="0.2">
      <c r="A1358" s="2" t="s">
        <v>2241</v>
      </c>
      <c r="B1358" s="2">
        <f t="shared" si="42"/>
        <v>2019</v>
      </c>
      <c r="C1358" s="2" t="str">
        <f t="shared" si="43"/>
        <v>EC101</v>
      </c>
      <c r="D1358" s="2">
        <v>740</v>
      </c>
      <c r="F1358" s="1764"/>
      <c r="G1358" s="1764"/>
      <c r="H1358" s="1764"/>
      <c r="I1358" s="1764"/>
      <c r="J1358" s="1764"/>
      <c r="K1358" s="1764"/>
      <c r="L1358" s="1764"/>
      <c r="M1358" s="1765"/>
      <c r="N1358" s="1765"/>
      <c r="O1358" s="1765"/>
      <c r="P1358" s="1765"/>
      <c r="Q1358" s="1765"/>
      <c r="W1358" t="s">
        <v>2089</v>
      </c>
    </row>
    <row r="1359" spans="1:23" ht="13.15" customHeight="1" x14ac:dyDescent="0.2">
      <c r="A1359" s="2" t="s">
        <v>2241</v>
      </c>
      <c r="B1359" s="2">
        <f t="shared" si="42"/>
        <v>2019</v>
      </c>
      <c r="C1359" s="2" t="str">
        <f t="shared" si="43"/>
        <v>EC101</v>
      </c>
      <c r="D1359" s="2">
        <v>741</v>
      </c>
      <c r="F1359" s="1764"/>
      <c r="G1359" s="1764"/>
      <c r="H1359" s="1764"/>
      <c r="I1359" s="1764"/>
      <c r="J1359" s="1764"/>
      <c r="K1359" s="1764"/>
      <c r="L1359" s="1764"/>
      <c r="M1359" s="1765"/>
      <c r="N1359" s="1765"/>
      <c r="O1359" s="1765"/>
      <c r="P1359" s="1765"/>
      <c r="Q1359" s="1765"/>
      <c r="W1359" t="s">
        <v>2089</v>
      </c>
    </row>
    <row r="1360" spans="1:23" ht="13.15" customHeight="1" x14ac:dyDescent="0.2">
      <c r="A1360" s="2" t="s">
        <v>2241</v>
      </c>
      <c r="B1360" s="2">
        <f t="shared" si="42"/>
        <v>2019</v>
      </c>
      <c r="C1360" s="2" t="str">
        <f t="shared" si="43"/>
        <v>EC101</v>
      </c>
      <c r="D1360" s="2">
        <v>742</v>
      </c>
      <c r="F1360" s="1764"/>
      <c r="G1360" s="1764"/>
      <c r="H1360" s="1764"/>
      <c r="I1360" s="1764"/>
      <c r="J1360" s="1764"/>
      <c r="K1360" s="1764"/>
      <c r="L1360" s="1764"/>
      <c r="M1360" s="1765"/>
      <c r="N1360" s="1765"/>
      <c r="O1360" s="1765"/>
      <c r="P1360" s="1765"/>
      <c r="Q1360" s="1765"/>
      <c r="W1360" t="s">
        <v>2089</v>
      </c>
    </row>
    <row r="1361" spans="1:23" ht="13.15" customHeight="1" x14ac:dyDescent="0.2">
      <c r="A1361" s="2" t="s">
        <v>2241</v>
      </c>
      <c r="B1361" s="2">
        <f t="shared" si="42"/>
        <v>2019</v>
      </c>
      <c r="C1361" s="2" t="str">
        <f t="shared" si="43"/>
        <v>EC101</v>
      </c>
      <c r="D1361" s="2">
        <v>743</v>
      </c>
      <c r="F1361" s="1764"/>
      <c r="G1361" s="1764"/>
      <c r="H1361" s="1764"/>
      <c r="I1361" s="1764"/>
      <c r="J1361" s="1764"/>
      <c r="K1361" s="1764"/>
      <c r="L1361" s="1764"/>
      <c r="M1361" s="1765"/>
      <c r="N1361" s="1765"/>
      <c r="O1361" s="1765"/>
      <c r="P1361" s="1765"/>
      <c r="Q1361" s="1765"/>
      <c r="W1361" t="s">
        <v>2089</v>
      </c>
    </row>
    <row r="1362" spans="1:23" ht="13.15" customHeight="1" x14ac:dyDescent="0.2">
      <c r="A1362" s="2" t="s">
        <v>2241</v>
      </c>
      <c r="B1362" s="2">
        <f t="shared" si="42"/>
        <v>2019</v>
      </c>
      <c r="C1362" s="2" t="str">
        <f t="shared" si="43"/>
        <v>EC101</v>
      </c>
      <c r="D1362" s="2">
        <v>744</v>
      </c>
      <c r="F1362" s="1764"/>
      <c r="G1362" s="1764"/>
      <c r="H1362" s="1764"/>
      <c r="I1362" s="1764"/>
      <c r="J1362" s="1764"/>
      <c r="K1362" s="1764"/>
      <c r="L1362" s="1764"/>
      <c r="M1362" s="1765"/>
      <c r="N1362" s="1765"/>
      <c r="O1362" s="1765"/>
      <c r="P1362" s="1765"/>
      <c r="Q1362" s="1765"/>
      <c r="W1362" t="s">
        <v>2089</v>
      </c>
    </row>
    <row r="1363" spans="1:23" ht="13.15" customHeight="1" x14ac:dyDescent="0.2">
      <c r="A1363" s="2" t="s">
        <v>2241</v>
      </c>
      <c r="B1363" s="2">
        <f t="shared" si="42"/>
        <v>2019</v>
      </c>
      <c r="C1363" s="2" t="str">
        <f t="shared" si="43"/>
        <v>EC101</v>
      </c>
      <c r="D1363" s="2">
        <v>745</v>
      </c>
      <c r="F1363" s="1764"/>
      <c r="G1363" s="1764"/>
      <c r="H1363" s="1764"/>
      <c r="I1363" s="1764"/>
      <c r="J1363" s="1764"/>
      <c r="K1363" s="1764"/>
      <c r="L1363" s="1764"/>
      <c r="M1363" s="1765"/>
      <c r="N1363" s="1765"/>
      <c r="O1363" s="1765"/>
      <c r="P1363" s="1765"/>
      <c r="Q1363" s="1765"/>
      <c r="W1363" t="s">
        <v>2089</v>
      </c>
    </row>
    <row r="1364" spans="1:23" ht="13.15" customHeight="1" x14ac:dyDescent="0.2">
      <c r="A1364" s="2" t="s">
        <v>2241</v>
      </c>
      <c r="B1364" s="2">
        <f t="shared" si="42"/>
        <v>2019</v>
      </c>
      <c r="C1364" s="2" t="str">
        <f t="shared" si="43"/>
        <v>EC101</v>
      </c>
      <c r="D1364" s="2">
        <v>746</v>
      </c>
      <c r="F1364" s="1764"/>
      <c r="G1364" s="1764"/>
      <c r="H1364" s="1764"/>
      <c r="I1364" s="1764"/>
      <c r="J1364" s="1764"/>
      <c r="K1364" s="1764"/>
      <c r="L1364" s="1764"/>
      <c r="M1364" s="1765"/>
      <c r="N1364" s="1765"/>
      <c r="O1364" s="1765"/>
      <c r="P1364" s="1765"/>
      <c r="Q1364" s="1765"/>
      <c r="W1364" t="s">
        <v>2089</v>
      </c>
    </row>
    <row r="1365" spans="1:23" ht="13.15" customHeight="1" x14ac:dyDescent="0.2">
      <c r="A1365" s="2" t="s">
        <v>2241</v>
      </c>
      <c r="B1365" s="2">
        <f t="shared" si="42"/>
        <v>2019</v>
      </c>
      <c r="C1365" s="2" t="str">
        <f t="shared" si="43"/>
        <v>EC101</v>
      </c>
      <c r="D1365" s="2">
        <v>747</v>
      </c>
      <c r="F1365" s="1764"/>
      <c r="G1365" s="1764"/>
      <c r="H1365" s="1764"/>
      <c r="I1365" s="1764"/>
      <c r="J1365" s="1764"/>
      <c r="K1365" s="1764"/>
      <c r="L1365" s="1764"/>
      <c r="M1365" s="1765"/>
      <c r="N1365" s="1765"/>
      <c r="O1365" s="1765"/>
      <c r="P1365" s="1765"/>
      <c r="Q1365" s="1765"/>
      <c r="W1365" t="s">
        <v>2089</v>
      </c>
    </row>
    <row r="1366" spans="1:23" ht="13.15" customHeight="1" x14ac:dyDescent="0.2">
      <c r="A1366" s="2" t="s">
        <v>2241</v>
      </c>
      <c r="B1366" s="2">
        <f t="shared" si="42"/>
        <v>2019</v>
      </c>
      <c r="C1366" s="2" t="str">
        <f t="shared" si="43"/>
        <v>EC101</v>
      </c>
      <c r="D1366" s="2">
        <v>748</v>
      </c>
      <c r="F1366" s="1764"/>
      <c r="G1366" s="1764"/>
      <c r="H1366" s="1764"/>
      <c r="I1366" s="1764"/>
      <c r="J1366" s="1764"/>
      <c r="K1366" s="1764"/>
      <c r="L1366" s="1764"/>
      <c r="M1366" s="1765"/>
      <c r="N1366" s="1765"/>
      <c r="O1366" s="1765"/>
      <c r="P1366" s="1765"/>
      <c r="Q1366" s="1765"/>
      <c r="W1366" t="s">
        <v>2089</v>
      </c>
    </row>
    <row r="1367" spans="1:23" ht="13.15" customHeight="1" x14ac:dyDescent="0.2">
      <c r="A1367" s="2" t="s">
        <v>2241</v>
      </c>
      <c r="B1367" s="2">
        <f t="shared" si="42"/>
        <v>2019</v>
      </c>
      <c r="C1367" s="2" t="str">
        <f t="shared" si="43"/>
        <v>EC101</v>
      </c>
      <c r="D1367" s="2">
        <v>749</v>
      </c>
      <c r="F1367" s="1764"/>
      <c r="G1367" s="1764"/>
      <c r="H1367" s="1764"/>
      <c r="I1367" s="1764"/>
      <c r="J1367" s="1764"/>
      <c r="K1367" s="1764"/>
      <c r="L1367" s="1764"/>
      <c r="M1367" s="1765"/>
      <c r="N1367" s="1765"/>
      <c r="O1367" s="1765"/>
      <c r="P1367" s="1765"/>
      <c r="Q1367" s="1765"/>
      <c r="W1367" t="s">
        <v>2089</v>
      </c>
    </row>
    <row r="1368" spans="1:23" ht="13.15" customHeight="1" x14ac:dyDescent="0.2">
      <c r="A1368" s="2" t="s">
        <v>2241</v>
      </c>
      <c r="B1368" s="2">
        <f t="shared" si="42"/>
        <v>2019</v>
      </c>
      <c r="C1368" s="2" t="str">
        <f t="shared" si="43"/>
        <v>EC101</v>
      </c>
      <c r="D1368" s="2">
        <v>750</v>
      </c>
      <c r="F1368" s="1764"/>
      <c r="G1368" s="1764"/>
      <c r="H1368" s="1764"/>
      <c r="I1368" s="1764"/>
      <c r="J1368" s="1764"/>
      <c r="K1368" s="1764"/>
      <c r="L1368" s="1764"/>
      <c r="M1368" s="1765"/>
      <c r="N1368" s="1765"/>
      <c r="O1368" s="1765"/>
      <c r="P1368" s="1765"/>
      <c r="Q1368" s="1765"/>
      <c r="W1368" t="s">
        <v>2089</v>
      </c>
    </row>
    <row r="1369" spans="1:23" ht="13.15" customHeight="1" x14ac:dyDescent="0.2">
      <c r="A1369" s="2" t="s">
        <v>2241</v>
      </c>
      <c r="B1369" s="2">
        <f t="shared" si="42"/>
        <v>2019</v>
      </c>
      <c r="C1369" s="2" t="str">
        <f t="shared" si="43"/>
        <v>EC101</v>
      </c>
      <c r="D1369" s="2">
        <v>751</v>
      </c>
      <c r="F1369" s="1764"/>
      <c r="G1369" s="1764"/>
      <c r="H1369" s="1764"/>
      <c r="I1369" s="1764"/>
      <c r="J1369" s="1764"/>
      <c r="K1369" s="1764"/>
      <c r="L1369" s="1764"/>
      <c r="M1369" s="1765"/>
      <c r="N1369" s="1765"/>
      <c r="O1369" s="1765"/>
      <c r="P1369" s="1765"/>
      <c r="Q1369" s="1765"/>
      <c r="W1369" t="s">
        <v>2089</v>
      </c>
    </row>
    <row r="1370" spans="1:23" ht="13.15" customHeight="1" x14ac:dyDescent="0.2">
      <c r="A1370" s="2" t="s">
        <v>2241</v>
      </c>
      <c r="B1370" s="2">
        <f t="shared" si="42"/>
        <v>2019</v>
      </c>
      <c r="C1370" s="2" t="str">
        <f t="shared" si="43"/>
        <v>EC101</v>
      </c>
      <c r="D1370" s="2">
        <v>752</v>
      </c>
      <c r="F1370" s="1764"/>
      <c r="G1370" s="1764"/>
      <c r="H1370" s="1764"/>
      <c r="I1370" s="1764"/>
      <c r="J1370" s="1764"/>
      <c r="K1370" s="1764"/>
      <c r="L1370" s="1764"/>
      <c r="M1370" s="1765"/>
      <c r="N1370" s="1765"/>
      <c r="O1370" s="1765"/>
      <c r="P1370" s="1765"/>
      <c r="Q1370" s="1765"/>
      <c r="W1370" t="s">
        <v>2089</v>
      </c>
    </row>
    <row r="1371" spans="1:23" ht="13.15" customHeight="1" x14ac:dyDescent="0.2">
      <c r="A1371" s="2" t="s">
        <v>2241</v>
      </c>
      <c r="B1371" s="2">
        <f t="shared" si="42"/>
        <v>2019</v>
      </c>
      <c r="C1371" s="2" t="str">
        <f t="shared" si="43"/>
        <v>EC101</v>
      </c>
      <c r="D1371" s="2">
        <v>753</v>
      </c>
      <c r="F1371" s="1764"/>
      <c r="G1371" s="1764"/>
      <c r="H1371" s="1764"/>
      <c r="I1371" s="1764"/>
      <c r="J1371" s="1764"/>
      <c r="K1371" s="1764"/>
      <c r="L1371" s="1764"/>
      <c r="M1371" s="1765"/>
      <c r="N1371" s="1765"/>
      <c r="O1371" s="1765"/>
      <c r="P1371" s="1765"/>
      <c r="Q1371" s="1765"/>
      <c r="W1371" t="s">
        <v>2089</v>
      </c>
    </row>
    <row r="1372" spans="1:23" ht="13.15" customHeight="1" x14ac:dyDescent="0.2">
      <c r="A1372" s="2" t="s">
        <v>2241</v>
      </c>
      <c r="B1372" s="2">
        <f t="shared" si="42"/>
        <v>2019</v>
      </c>
      <c r="C1372" s="2" t="str">
        <f t="shared" si="43"/>
        <v>EC101</v>
      </c>
      <c r="D1372" s="2">
        <v>754</v>
      </c>
      <c r="F1372" s="1764"/>
      <c r="G1372" s="1764"/>
      <c r="H1372" s="1764"/>
      <c r="I1372" s="1764"/>
      <c r="J1372" s="1764"/>
      <c r="K1372" s="1764"/>
      <c r="L1372" s="1764"/>
      <c r="M1372" s="1765"/>
      <c r="N1372" s="1765"/>
      <c r="O1372" s="1765"/>
      <c r="P1372" s="1765"/>
      <c r="Q1372" s="1765"/>
      <c r="W1372" t="s">
        <v>2089</v>
      </c>
    </row>
    <row r="1373" spans="1:23" ht="13.15" customHeight="1" x14ac:dyDescent="0.2">
      <c r="A1373" s="2" t="s">
        <v>2241</v>
      </c>
      <c r="B1373" s="2">
        <f t="shared" si="42"/>
        <v>2019</v>
      </c>
      <c r="C1373" s="2" t="str">
        <f t="shared" si="43"/>
        <v>EC101</v>
      </c>
      <c r="D1373" s="2">
        <v>755</v>
      </c>
      <c r="F1373" s="1764"/>
      <c r="G1373" s="1764"/>
      <c r="H1373" s="1764"/>
      <c r="I1373" s="1764"/>
      <c r="J1373" s="1764"/>
      <c r="K1373" s="1764"/>
      <c r="L1373" s="1764"/>
      <c r="M1373" s="1765"/>
      <c r="N1373" s="1765"/>
      <c r="O1373" s="1765"/>
      <c r="P1373" s="1765"/>
      <c r="Q1373" s="1765"/>
      <c r="W1373" t="s">
        <v>2089</v>
      </c>
    </row>
    <row r="1374" spans="1:23" ht="13.15" customHeight="1" x14ac:dyDescent="0.2">
      <c r="A1374" s="2" t="s">
        <v>2241</v>
      </c>
      <c r="B1374" s="2">
        <f t="shared" si="42"/>
        <v>2019</v>
      </c>
      <c r="C1374" s="2" t="str">
        <f t="shared" si="43"/>
        <v>EC101</v>
      </c>
      <c r="D1374" s="2">
        <v>756</v>
      </c>
      <c r="F1374" s="1764"/>
      <c r="G1374" s="1764"/>
      <c r="H1374" s="1764"/>
      <c r="I1374" s="1764"/>
      <c r="J1374" s="1764"/>
      <c r="K1374" s="1764"/>
      <c r="L1374" s="1764"/>
      <c r="M1374" s="1765"/>
      <c r="N1374" s="1765"/>
      <c r="O1374" s="1765"/>
      <c r="P1374" s="1765"/>
      <c r="Q1374" s="1765"/>
      <c r="W1374" t="s">
        <v>2089</v>
      </c>
    </row>
    <row r="1375" spans="1:23" ht="13.15" customHeight="1" x14ac:dyDescent="0.2">
      <c r="A1375" s="2" t="s">
        <v>2241</v>
      </c>
      <c r="B1375" s="2">
        <f t="shared" si="42"/>
        <v>2019</v>
      </c>
      <c r="C1375" s="2" t="str">
        <f t="shared" si="43"/>
        <v>EC101</v>
      </c>
      <c r="D1375" s="2">
        <v>757</v>
      </c>
      <c r="F1375" s="1764"/>
      <c r="G1375" s="1764"/>
      <c r="H1375" s="1764"/>
      <c r="I1375" s="1764"/>
      <c r="J1375" s="1764"/>
      <c r="K1375" s="1764"/>
      <c r="L1375" s="1764"/>
      <c r="M1375" s="1765"/>
      <c r="N1375" s="1765"/>
      <c r="O1375" s="1765"/>
      <c r="P1375" s="1765"/>
      <c r="Q1375" s="1765"/>
      <c r="W1375" t="s">
        <v>2089</v>
      </c>
    </row>
    <row r="1376" spans="1:23" ht="13.15" customHeight="1" x14ac:dyDescent="0.2">
      <c r="A1376" s="2" t="s">
        <v>2241</v>
      </c>
      <c r="B1376" s="2">
        <f t="shared" si="42"/>
        <v>2019</v>
      </c>
      <c r="C1376" s="2" t="str">
        <f t="shared" si="43"/>
        <v>EC101</v>
      </c>
      <c r="D1376" s="2">
        <v>758</v>
      </c>
      <c r="F1376" s="1764"/>
      <c r="G1376" s="1764"/>
      <c r="H1376" s="1764"/>
      <c r="I1376" s="1764"/>
      <c r="J1376" s="1764"/>
      <c r="K1376" s="1764"/>
      <c r="L1376" s="1764"/>
      <c r="M1376" s="1765"/>
      <c r="N1376" s="1765"/>
      <c r="O1376" s="1765"/>
      <c r="P1376" s="1765"/>
      <c r="Q1376" s="1765"/>
      <c r="W1376" t="s">
        <v>2089</v>
      </c>
    </row>
    <row r="1377" spans="1:23" ht="13.15" customHeight="1" x14ac:dyDescent="0.2">
      <c r="A1377" s="2" t="s">
        <v>2241</v>
      </c>
      <c r="B1377" s="2">
        <f t="shared" si="42"/>
        <v>2019</v>
      </c>
      <c r="C1377" s="2" t="str">
        <f t="shared" si="43"/>
        <v>EC101</v>
      </c>
      <c r="D1377" s="2">
        <v>759</v>
      </c>
      <c r="F1377" s="1764"/>
      <c r="G1377" s="1764"/>
      <c r="H1377" s="1764"/>
      <c r="I1377" s="1764"/>
      <c r="J1377" s="1764"/>
      <c r="K1377" s="1764"/>
      <c r="L1377" s="1764"/>
      <c r="M1377" s="1765"/>
      <c r="N1377" s="1765"/>
      <c r="O1377" s="1765"/>
      <c r="P1377" s="1765"/>
      <c r="Q1377" s="1765"/>
      <c r="W1377" t="s">
        <v>2089</v>
      </c>
    </row>
    <row r="1378" spans="1:23" ht="13.15" customHeight="1" x14ac:dyDescent="0.2">
      <c r="A1378" s="2" t="s">
        <v>2241</v>
      </c>
      <c r="B1378" s="2">
        <f t="shared" si="42"/>
        <v>2019</v>
      </c>
      <c r="C1378" s="2" t="str">
        <f t="shared" si="43"/>
        <v>EC101</v>
      </c>
      <c r="D1378" s="2">
        <v>760</v>
      </c>
      <c r="F1378" s="1764"/>
      <c r="G1378" s="1764"/>
      <c r="H1378" s="1764"/>
      <c r="I1378" s="1764"/>
      <c r="J1378" s="1764"/>
      <c r="K1378" s="1764"/>
      <c r="L1378" s="1764"/>
      <c r="M1378" s="1765"/>
      <c r="N1378" s="1765"/>
      <c r="O1378" s="1765"/>
      <c r="P1378" s="1765"/>
      <c r="Q1378" s="1765"/>
      <c r="W1378" t="s">
        <v>2089</v>
      </c>
    </row>
    <row r="1379" spans="1:23" ht="13.15" customHeight="1" x14ac:dyDescent="0.2">
      <c r="A1379" s="2" t="s">
        <v>2241</v>
      </c>
      <c r="B1379" s="2">
        <f t="shared" si="42"/>
        <v>2019</v>
      </c>
      <c r="C1379" s="2" t="str">
        <f t="shared" si="43"/>
        <v>EC101</v>
      </c>
      <c r="D1379" s="2">
        <v>761</v>
      </c>
      <c r="F1379" s="1764"/>
      <c r="G1379" s="1764"/>
      <c r="H1379" s="1764"/>
      <c r="I1379" s="1764"/>
      <c r="J1379" s="1764"/>
      <c r="K1379" s="1764"/>
      <c r="L1379" s="1764"/>
      <c r="M1379" s="1765"/>
      <c r="N1379" s="1765"/>
      <c r="O1379" s="1765"/>
      <c r="P1379" s="1765"/>
      <c r="Q1379" s="1765"/>
      <c r="W1379" t="s">
        <v>2089</v>
      </c>
    </row>
    <row r="1380" spans="1:23" ht="13.15" customHeight="1" x14ac:dyDescent="0.2">
      <c r="A1380" s="2" t="s">
        <v>2241</v>
      </c>
      <c r="B1380" s="2">
        <f t="shared" si="42"/>
        <v>2019</v>
      </c>
      <c r="C1380" s="2" t="str">
        <f t="shared" si="43"/>
        <v>EC101</v>
      </c>
      <c r="D1380" s="2">
        <v>762</v>
      </c>
      <c r="F1380" s="1764"/>
      <c r="G1380" s="1764"/>
      <c r="H1380" s="1764"/>
      <c r="I1380" s="1764"/>
      <c r="J1380" s="1764"/>
      <c r="K1380" s="1764"/>
      <c r="L1380" s="1764"/>
      <c r="M1380" s="1765"/>
      <c r="N1380" s="1765"/>
      <c r="O1380" s="1765"/>
      <c r="P1380" s="1765"/>
      <c r="Q1380" s="1765"/>
      <c r="W1380" t="s">
        <v>2089</v>
      </c>
    </row>
    <row r="1381" spans="1:23" ht="13.15" customHeight="1" x14ac:dyDescent="0.2">
      <c r="A1381" s="2" t="s">
        <v>2241</v>
      </c>
      <c r="B1381" s="2">
        <f t="shared" si="42"/>
        <v>2019</v>
      </c>
      <c r="C1381" s="2" t="str">
        <f t="shared" si="43"/>
        <v>EC101</v>
      </c>
      <c r="D1381" s="2">
        <v>763</v>
      </c>
      <c r="F1381" s="1764"/>
      <c r="G1381" s="1764"/>
      <c r="H1381" s="1764"/>
      <c r="I1381" s="1764"/>
      <c r="J1381" s="1764"/>
      <c r="K1381" s="1764"/>
      <c r="L1381" s="1764"/>
      <c r="M1381" s="1765"/>
      <c r="N1381" s="1765"/>
      <c r="O1381" s="1765"/>
      <c r="P1381" s="1765"/>
      <c r="Q1381" s="1765"/>
      <c r="W1381" t="s">
        <v>2089</v>
      </c>
    </row>
    <row r="1382" spans="1:23" ht="13.15" customHeight="1" x14ac:dyDescent="0.2">
      <c r="A1382" s="2" t="s">
        <v>2241</v>
      </c>
      <c r="B1382" s="2">
        <f t="shared" si="42"/>
        <v>2019</v>
      </c>
      <c r="C1382" s="2" t="str">
        <f t="shared" si="43"/>
        <v>EC101</v>
      </c>
      <c r="D1382" s="2">
        <v>764</v>
      </c>
      <c r="F1382" s="1764"/>
      <c r="G1382" s="1764"/>
      <c r="H1382" s="1764"/>
      <c r="I1382" s="1764"/>
      <c r="J1382" s="1764"/>
      <c r="K1382" s="1764"/>
      <c r="L1382" s="1764"/>
      <c r="M1382" s="1765"/>
      <c r="N1382" s="1765"/>
      <c r="O1382" s="1765"/>
      <c r="P1382" s="1765"/>
      <c r="Q1382" s="1765"/>
      <c r="W1382" t="s">
        <v>2089</v>
      </c>
    </row>
    <row r="1383" spans="1:23" ht="13.15" customHeight="1" x14ac:dyDescent="0.2">
      <c r="A1383" s="2" t="s">
        <v>2241</v>
      </c>
      <c r="B1383" s="2">
        <f t="shared" si="42"/>
        <v>2019</v>
      </c>
      <c r="C1383" s="2" t="str">
        <f t="shared" si="43"/>
        <v>EC101</v>
      </c>
      <c r="D1383" s="2">
        <v>765</v>
      </c>
      <c r="F1383" s="1764"/>
      <c r="G1383" s="1764"/>
      <c r="H1383" s="1764"/>
      <c r="I1383" s="1764"/>
      <c r="J1383" s="1764"/>
      <c r="K1383" s="1764"/>
      <c r="L1383" s="1764"/>
      <c r="M1383" s="1765"/>
      <c r="N1383" s="1765"/>
      <c r="O1383" s="1765"/>
      <c r="P1383" s="1765"/>
      <c r="Q1383" s="1765"/>
      <c r="W1383" t="s">
        <v>2089</v>
      </c>
    </row>
    <row r="1384" spans="1:23" ht="13.15" customHeight="1" x14ac:dyDescent="0.2">
      <c r="A1384" s="2" t="s">
        <v>2241</v>
      </c>
      <c r="B1384" s="2">
        <f t="shared" si="42"/>
        <v>2019</v>
      </c>
      <c r="C1384" s="2" t="str">
        <f t="shared" si="43"/>
        <v>EC101</v>
      </c>
      <c r="D1384" s="2">
        <v>766</v>
      </c>
      <c r="F1384" s="1764"/>
      <c r="G1384" s="1764"/>
      <c r="H1384" s="1764"/>
      <c r="I1384" s="1764"/>
      <c r="J1384" s="1764"/>
      <c r="K1384" s="1764"/>
      <c r="L1384" s="1764"/>
      <c r="M1384" s="1765"/>
      <c r="N1384" s="1765"/>
      <c r="O1384" s="1765"/>
      <c r="P1384" s="1765"/>
      <c r="Q1384" s="1765"/>
      <c r="W1384" t="s">
        <v>2089</v>
      </c>
    </row>
    <row r="1385" spans="1:23" ht="13.15" customHeight="1" x14ac:dyDescent="0.2">
      <c r="A1385" s="2" t="s">
        <v>2241</v>
      </c>
      <c r="B1385" s="2">
        <f t="shared" si="42"/>
        <v>2019</v>
      </c>
      <c r="C1385" s="2" t="str">
        <f t="shared" si="43"/>
        <v>EC101</v>
      </c>
      <c r="D1385" s="2">
        <v>767</v>
      </c>
      <c r="F1385" s="1764"/>
      <c r="G1385" s="1764"/>
      <c r="H1385" s="1764"/>
      <c r="I1385" s="1764"/>
      <c r="J1385" s="1764"/>
      <c r="K1385" s="1764"/>
      <c r="L1385" s="1764"/>
      <c r="M1385" s="1765"/>
      <c r="N1385" s="1765"/>
      <c r="O1385" s="1765"/>
      <c r="P1385" s="1765"/>
      <c r="Q1385" s="1765"/>
      <c r="W1385" t="s">
        <v>2089</v>
      </c>
    </row>
    <row r="1386" spans="1:23" ht="13.15" customHeight="1" x14ac:dyDescent="0.2">
      <c r="A1386" s="2" t="s">
        <v>2241</v>
      </c>
      <c r="B1386" s="2">
        <f t="shared" si="42"/>
        <v>2019</v>
      </c>
      <c r="C1386" s="2" t="str">
        <f t="shared" si="43"/>
        <v>EC101</v>
      </c>
      <c r="D1386" s="2">
        <v>768</v>
      </c>
      <c r="F1386" s="1764"/>
      <c r="G1386" s="1764"/>
      <c r="H1386" s="1764"/>
      <c r="I1386" s="1764"/>
      <c r="J1386" s="1764"/>
      <c r="K1386" s="1764"/>
      <c r="L1386" s="1764"/>
      <c r="M1386" s="1765"/>
      <c r="N1386" s="1765"/>
      <c r="O1386" s="1765"/>
      <c r="P1386" s="1765"/>
      <c r="Q1386" s="1765"/>
      <c r="W1386" t="s">
        <v>2089</v>
      </c>
    </row>
    <row r="1387" spans="1:23" ht="13.15" customHeight="1" x14ac:dyDescent="0.2">
      <c r="A1387" s="2" t="s">
        <v>2241</v>
      </c>
      <c r="B1387" s="2">
        <f t="shared" si="42"/>
        <v>2019</v>
      </c>
      <c r="C1387" s="2" t="str">
        <f t="shared" si="43"/>
        <v>EC101</v>
      </c>
      <c r="D1387" s="2">
        <v>769</v>
      </c>
      <c r="F1387" s="1764"/>
      <c r="G1387" s="1764"/>
      <c r="H1387" s="1764"/>
      <c r="I1387" s="1764"/>
      <c r="J1387" s="1764"/>
      <c r="K1387" s="1764"/>
      <c r="L1387" s="1764"/>
      <c r="M1387" s="1765"/>
      <c r="N1387" s="1765"/>
      <c r="O1387" s="1765"/>
      <c r="P1387" s="1765"/>
      <c r="Q1387" s="1765"/>
      <c r="W1387" t="s">
        <v>2089</v>
      </c>
    </row>
    <row r="1388" spans="1:23" ht="13.15" customHeight="1" x14ac:dyDescent="0.2">
      <c r="A1388" s="2" t="s">
        <v>2241</v>
      </c>
      <c r="B1388" s="2">
        <f t="shared" si="42"/>
        <v>2019</v>
      </c>
      <c r="C1388" s="2" t="str">
        <f t="shared" si="43"/>
        <v>EC101</v>
      </c>
      <c r="D1388" s="2">
        <v>770</v>
      </c>
      <c r="F1388" s="1764"/>
      <c r="G1388" s="1764"/>
      <c r="H1388" s="1764"/>
      <c r="I1388" s="1764"/>
      <c r="J1388" s="1764"/>
      <c r="K1388" s="1764"/>
      <c r="L1388" s="1764"/>
      <c r="M1388" s="1765"/>
      <c r="N1388" s="1765"/>
      <c r="O1388" s="1765"/>
      <c r="P1388" s="1765"/>
      <c r="Q1388" s="1765"/>
      <c r="W1388" t="s">
        <v>2089</v>
      </c>
    </row>
    <row r="1389" spans="1:23" ht="13.15" customHeight="1" x14ac:dyDescent="0.2">
      <c r="A1389" s="2" t="s">
        <v>2241</v>
      </c>
      <c r="B1389" s="2">
        <f t="shared" si="42"/>
        <v>2019</v>
      </c>
      <c r="C1389" s="2" t="str">
        <f t="shared" si="43"/>
        <v>EC101</v>
      </c>
      <c r="D1389" s="2">
        <v>771</v>
      </c>
      <c r="F1389" s="1764"/>
      <c r="G1389" s="1764"/>
      <c r="H1389" s="1764"/>
      <c r="I1389" s="1764"/>
      <c r="J1389" s="1764"/>
      <c r="K1389" s="1764"/>
      <c r="L1389" s="1764"/>
      <c r="M1389" s="1765"/>
      <c r="N1389" s="1765"/>
      <c r="O1389" s="1765"/>
      <c r="P1389" s="1765"/>
      <c r="Q1389" s="1765"/>
      <c r="W1389" t="s">
        <v>2089</v>
      </c>
    </row>
    <row r="1390" spans="1:23" ht="13.15" customHeight="1" x14ac:dyDescent="0.2">
      <c r="A1390" s="2" t="s">
        <v>2241</v>
      </c>
      <c r="B1390" s="2">
        <f t="shared" si="42"/>
        <v>2019</v>
      </c>
      <c r="C1390" s="2" t="str">
        <f t="shared" si="43"/>
        <v>EC101</v>
      </c>
      <c r="D1390" s="2">
        <v>772</v>
      </c>
      <c r="F1390" s="1764"/>
      <c r="G1390" s="1764"/>
      <c r="H1390" s="1764"/>
      <c r="I1390" s="1764"/>
      <c r="J1390" s="1764"/>
      <c r="K1390" s="1764"/>
      <c r="L1390" s="1764"/>
      <c r="M1390" s="1765"/>
      <c r="N1390" s="1765"/>
      <c r="O1390" s="1765"/>
      <c r="P1390" s="1765"/>
      <c r="Q1390" s="1765"/>
      <c r="W1390" t="s">
        <v>2089</v>
      </c>
    </row>
    <row r="1391" spans="1:23" ht="13.15" customHeight="1" x14ac:dyDescent="0.2">
      <c r="A1391" s="2" t="s">
        <v>2241</v>
      </c>
      <c r="B1391" s="2">
        <f t="shared" si="42"/>
        <v>2019</v>
      </c>
      <c r="C1391" s="2" t="str">
        <f t="shared" si="43"/>
        <v>EC101</v>
      </c>
      <c r="D1391" s="2">
        <v>773</v>
      </c>
      <c r="F1391" s="1764"/>
      <c r="G1391" s="1764"/>
      <c r="H1391" s="1764"/>
      <c r="I1391" s="1764"/>
      <c r="J1391" s="1764"/>
      <c r="K1391" s="1764"/>
      <c r="L1391" s="1764"/>
      <c r="M1391" s="1765"/>
      <c r="N1391" s="1765"/>
      <c r="O1391" s="1765"/>
      <c r="P1391" s="1765"/>
      <c r="Q1391" s="1765"/>
      <c r="W1391" t="s">
        <v>2089</v>
      </c>
    </row>
    <row r="1392" spans="1:23" ht="13.15" customHeight="1" x14ac:dyDescent="0.2">
      <c r="A1392" s="2" t="s">
        <v>2241</v>
      </c>
      <c r="B1392" s="2">
        <f t="shared" si="42"/>
        <v>2019</v>
      </c>
      <c r="C1392" s="2" t="str">
        <f t="shared" si="43"/>
        <v>EC101</v>
      </c>
      <c r="D1392" s="2">
        <v>774</v>
      </c>
      <c r="F1392" s="1764"/>
      <c r="G1392" s="1764"/>
      <c r="H1392" s="1764"/>
      <c r="I1392" s="1764"/>
      <c r="J1392" s="1764"/>
      <c r="K1392" s="1764"/>
      <c r="L1392" s="1764"/>
      <c r="M1392" s="1765"/>
      <c r="N1392" s="1765"/>
      <c r="O1392" s="1765"/>
      <c r="P1392" s="1765"/>
      <c r="Q1392" s="1765"/>
      <c r="W1392" t="s">
        <v>2089</v>
      </c>
    </row>
    <row r="1393" spans="1:23" ht="13.15" customHeight="1" x14ac:dyDescent="0.2">
      <c r="A1393" s="2" t="s">
        <v>2241</v>
      </c>
      <c r="B1393" s="2">
        <f t="shared" si="42"/>
        <v>2019</v>
      </c>
      <c r="C1393" s="2" t="str">
        <f t="shared" si="43"/>
        <v>EC101</v>
      </c>
      <c r="D1393" s="2">
        <v>775</v>
      </c>
      <c r="F1393" s="1764"/>
      <c r="G1393" s="1764"/>
      <c r="H1393" s="1764"/>
      <c r="I1393" s="1764"/>
      <c r="J1393" s="1764"/>
      <c r="K1393" s="1764"/>
      <c r="L1393" s="1764"/>
      <c r="M1393" s="1765"/>
      <c r="N1393" s="1765"/>
      <c r="O1393" s="1765"/>
      <c r="P1393" s="1765"/>
      <c r="Q1393" s="1765"/>
      <c r="W1393" t="s">
        <v>2089</v>
      </c>
    </row>
    <row r="1394" spans="1:23" ht="13.15" customHeight="1" x14ac:dyDescent="0.2">
      <c r="A1394" s="2" t="s">
        <v>2241</v>
      </c>
      <c r="B1394" s="2">
        <f t="shared" si="42"/>
        <v>2019</v>
      </c>
      <c r="C1394" s="2" t="str">
        <f t="shared" si="43"/>
        <v>EC101</v>
      </c>
      <c r="D1394" s="2">
        <v>776</v>
      </c>
      <c r="F1394" s="1764"/>
      <c r="G1394" s="1764"/>
      <c r="H1394" s="1764"/>
      <c r="I1394" s="1764"/>
      <c r="J1394" s="1764"/>
      <c r="K1394" s="1764"/>
      <c r="L1394" s="1764"/>
      <c r="M1394" s="1765"/>
      <c r="N1394" s="1765"/>
      <c r="O1394" s="1765"/>
      <c r="P1394" s="1765"/>
      <c r="Q1394" s="1765"/>
      <c r="W1394" t="s">
        <v>2089</v>
      </c>
    </row>
    <row r="1395" spans="1:23" ht="13.15" customHeight="1" x14ac:dyDescent="0.2">
      <c r="A1395" s="2" t="s">
        <v>2241</v>
      </c>
      <c r="B1395" s="2">
        <f t="shared" si="42"/>
        <v>2019</v>
      </c>
      <c r="C1395" s="2" t="str">
        <f t="shared" si="43"/>
        <v>EC101</v>
      </c>
      <c r="D1395" s="2">
        <v>777</v>
      </c>
      <c r="F1395" s="1764"/>
      <c r="G1395" s="1764"/>
      <c r="H1395" s="1764"/>
      <c r="I1395" s="1764"/>
      <c r="J1395" s="1764"/>
      <c r="K1395" s="1764"/>
      <c r="L1395" s="1764"/>
      <c r="M1395" s="1765"/>
      <c r="N1395" s="1765"/>
      <c r="O1395" s="1765"/>
      <c r="P1395" s="1765"/>
      <c r="Q1395" s="1765"/>
      <c r="W1395" t="s">
        <v>2089</v>
      </c>
    </row>
    <row r="1396" spans="1:23" ht="13.15" customHeight="1" x14ac:dyDescent="0.2">
      <c r="A1396" s="2" t="s">
        <v>2241</v>
      </c>
      <c r="B1396" s="2">
        <f t="shared" si="42"/>
        <v>2019</v>
      </c>
      <c r="C1396" s="2" t="str">
        <f t="shared" si="43"/>
        <v>EC101</v>
      </c>
      <c r="D1396" s="2">
        <v>778</v>
      </c>
      <c r="F1396" s="1764"/>
      <c r="G1396" s="1764"/>
      <c r="H1396" s="1764"/>
      <c r="I1396" s="1764"/>
      <c r="J1396" s="1764"/>
      <c r="K1396" s="1764"/>
      <c r="L1396" s="1764"/>
      <c r="M1396" s="1765"/>
      <c r="N1396" s="1765"/>
      <c r="O1396" s="1765"/>
      <c r="P1396" s="1765"/>
      <c r="Q1396" s="1765"/>
      <c r="W1396" t="s">
        <v>2089</v>
      </c>
    </row>
    <row r="1397" spans="1:23" ht="13.15" customHeight="1" x14ac:dyDescent="0.2">
      <c r="A1397" s="2" t="s">
        <v>2241</v>
      </c>
      <c r="B1397" s="2">
        <f t="shared" si="42"/>
        <v>2019</v>
      </c>
      <c r="C1397" s="2" t="str">
        <f t="shared" si="43"/>
        <v>EC101</v>
      </c>
      <c r="D1397" s="2">
        <v>779</v>
      </c>
      <c r="F1397" s="1764"/>
      <c r="G1397" s="1764"/>
      <c r="H1397" s="1764"/>
      <c r="I1397" s="1764"/>
      <c r="J1397" s="1764"/>
      <c r="K1397" s="1764"/>
      <c r="L1397" s="1764"/>
      <c r="M1397" s="1765"/>
      <c r="N1397" s="1765"/>
      <c r="O1397" s="1765"/>
      <c r="P1397" s="1765"/>
      <c r="Q1397" s="1765"/>
      <c r="W1397" t="s">
        <v>2089</v>
      </c>
    </row>
    <row r="1398" spans="1:23" ht="13.15" customHeight="1" x14ac:dyDescent="0.2">
      <c r="A1398" s="2" t="s">
        <v>2241</v>
      </c>
      <c r="B1398" s="2">
        <f t="shared" si="42"/>
        <v>2019</v>
      </c>
      <c r="C1398" s="2" t="str">
        <f t="shared" si="43"/>
        <v>EC101</v>
      </c>
      <c r="D1398" s="2">
        <v>780</v>
      </c>
      <c r="F1398" s="1764"/>
      <c r="G1398" s="1764"/>
      <c r="H1398" s="1764"/>
      <c r="I1398" s="1764"/>
      <c r="J1398" s="1764"/>
      <c r="K1398" s="1764"/>
      <c r="L1398" s="1764"/>
      <c r="M1398" s="1765"/>
      <c r="N1398" s="1765"/>
      <c r="O1398" s="1765"/>
      <c r="P1398" s="1765"/>
      <c r="Q1398" s="1765"/>
      <c r="W1398" t="s">
        <v>2089</v>
      </c>
    </row>
    <row r="1399" spans="1:23" ht="13.15" customHeight="1" x14ac:dyDescent="0.2">
      <c r="A1399" s="2" t="s">
        <v>2241</v>
      </c>
      <c r="B1399" s="2">
        <f t="shared" si="42"/>
        <v>2019</v>
      </c>
      <c r="C1399" s="2" t="str">
        <f t="shared" si="43"/>
        <v>EC101</v>
      </c>
      <c r="D1399" s="2">
        <v>781</v>
      </c>
      <c r="F1399" s="1764"/>
      <c r="G1399" s="1764"/>
      <c r="H1399" s="1764"/>
      <c r="I1399" s="1764"/>
      <c r="J1399" s="1764"/>
      <c r="K1399" s="1764"/>
      <c r="L1399" s="1764"/>
      <c r="M1399" s="1765"/>
      <c r="N1399" s="1765"/>
      <c r="O1399" s="1765"/>
      <c r="P1399" s="1765"/>
      <c r="Q1399" s="1765"/>
      <c r="W1399" t="s">
        <v>2089</v>
      </c>
    </row>
    <row r="1400" spans="1:23" ht="13.15" customHeight="1" x14ac:dyDescent="0.2">
      <c r="A1400" s="2" t="s">
        <v>2241</v>
      </c>
      <c r="B1400" s="2">
        <f t="shared" si="42"/>
        <v>2019</v>
      </c>
      <c r="C1400" s="2" t="str">
        <f t="shared" si="43"/>
        <v>EC101</v>
      </c>
      <c r="D1400" s="2">
        <v>782</v>
      </c>
      <c r="F1400" s="1764"/>
      <c r="G1400" s="1764"/>
      <c r="H1400" s="1764"/>
      <c r="I1400" s="1764"/>
      <c r="J1400" s="1764"/>
      <c r="K1400" s="1764"/>
      <c r="L1400" s="1764"/>
      <c r="M1400" s="1765"/>
      <c r="N1400" s="1765"/>
      <c r="O1400" s="1765"/>
      <c r="P1400" s="1765"/>
      <c r="Q1400" s="1765"/>
      <c r="W1400" t="s">
        <v>2089</v>
      </c>
    </row>
    <row r="1401" spans="1:23" ht="13.15" customHeight="1" x14ac:dyDescent="0.2">
      <c r="A1401" s="2" t="s">
        <v>2241</v>
      </c>
      <c r="B1401" s="2">
        <f t="shared" si="42"/>
        <v>2019</v>
      </c>
      <c r="C1401" s="2" t="str">
        <f t="shared" si="43"/>
        <v>EC101</v>
      </c>
      <c r="D1401" s="2">
        <v>783</v>
      </c>
      <c r="F1401" s="1764"/>
      <c r="G1401" s="1764"/>
      <c r="H1401" s="1764"/>
      <c r="I1401" s="1764"/>
      <c r="J1401" s="1764"/>
      <c r="K1401" s="1764"/>
      <c r="L1401" s="1764"/>
      <c r="M1401" s="1765"/>
      <c r="N1401" s="1765"/>
      <c r="O1401" s="1765"/>
      <c r="P1401" s="1765"/>
      <c r="Q1401" s="1765"/>
      <c r="W1401" t="s">
        <v>2089</v>
      </c>
    </row>
    <row r="1402" spans="1:23" ht="13.15" customHeight="1" x14ac:dyDescent="0.2">
      <c r="A1402" s="2" t="s">
        <v>2241</v>
      </c>
      <c r="B1402" s="2">
        <f t="shared" si="42"/>
        <v>2019</v>
      </c>
      <c r="C1402" s="2" t="str">
        <f t="shared" si="43"/>
        <v>EC101</v>
      </c>
      <c r="D1402" s="2">
        <v>784</v>
      </c>
      <c r="F1402" s="1764"/>
      <c r="G1402" s="1764"/>
      <c r="H1402" s="1764"/>
      <c r="I1402" s="1764"/>
      <c r="J1402" s="1764"/>
      <c r="K1402" s="1764"/>
      <c r="L1402" s="1764"/>
      <c r="M1402" s="1765"/>
      <c r="N1402" s="1765"/>
      <c r="O1402" s="1765"/>
      <c r="P1402" s="1765"/>
      <c r="Q1402" s="1765"/>
      <c r="W1402" t="s">
        <v>2089</v>
      </c>
    </row>
    <row r="1403" spans="1:23" ht="13.15" customHeight="1" x14ac:dyDescent="0.2">
      <c r="A1403" s="2" t="s">
        <v>2241</v>
      </c>
      <c r="B1403" s="2">
        <f t="shared" si="42"/>
        <v>2019</v>
      </c>
      <c r="C1403" s="2" t="str">
        <f t="shared" si="43"/>
        <v>EC101</v>
      </c>
      <c r="D1403" s="2">
        <v>785</v>
      </c>
      <c r="F1403" s="1764"/>
      <c r="G1403" s="1764"/>
      <c r="H1403" s="1764"/>
      <c r="I1403" s="1764"/>
      <c r="J1403" s="1764"/>
      <c r="K1403" s="1764"/>
      <c r="L1403" s="1764"/>
      <c r="M1403" s="1765"/>
      <c r="N1403" s="1765"/>
      <c r="O1403" s="1765"/>
      <c r="P1403" s="1765"/>
      <c r="Q1403" s="1765"/>
      <c r="W1403" t="s">
        <v>2089</v>
      </c>
    </row>
    <row r="1404" spans="1:23" ht="13.15" customHeight="1" x14ac:dyDescent="0.2">
      <c r="A1404" s="2" t="s">
        <v>2241</v>
      </c>
      <c r="B1404" s="2">
        <f t="shared" si="42"/>
        <v>2019</v>
      </c>
      <c r="C1404" s="2" t="str">
        <f t="shared" si="43"/>
        <v>EC101</v>
      </c>
      <c r="D1404" s="2">
        <v>786</v>
      </c>
      <c r="F1404" s="1764"/>
      <c r="G1404" s="1764"/>
      <c r="H1404" s="1764"/>
      <c r="I1404" s="1764"/>
      <c r="J1404" s="1764"/>
      <c r="K1404" s="1764"/>
      <c r="L1404" s="1764"/>
      <c r="M1404" s="1765"/>
      <c r="N1404" s="1765"/>
      <c r="O1404" s="1765"/>
      <c r="P1404" s="1765"/>
      <c r="Q1404" s="1765"/>
      <c r="W1404" t="s">
        <v>2089</v>
      </c>
    </row>
    <row r="1405" spans="1:23" ht="13.15" customHeight="1" x14ac:dyDescent="0.2">
      <c r="A1405" s="2" t="s">
        <v>2241</v>
      </c>
      <c r="B1405" s="2">
        <f t="shared" si="42"/>
        <v>2019</v>
      </c>
      <c r="C1405" s="2" t="str">
        <f t="shared" si="43"/>
        <v>EC101</v>
      </c>
      <c r="D1405" s="2">
        <v>787</v>
      </c>
      <c r="F1405" s="1764"/>
      <c r="G1405" s="1764"/>
      <c r="H1405" s="1764"/>
      <c r="I1405" s="1764"/>
      <c r="J1405" s="1764"/>
      <c r="K1405" s="1764"/>
      <c r="L1405" s="1764"/>
      <c r="M1405" s="1765"/>
      <c r="N1405" s="1765"/>
      <c r="O1405" s="1765"/>
      <c r="P1405" s="1765"/>
      <c r="Q1405" s="1765"/>
      <c r="W1405" t="s">
        <v>2089</v>
      </c>
    </row>
    <row r="1406" spans="1:23" ht="13.15" customHeight="1" x14ac:dyDescent="0.2">
      <c r="A1406" s="2" t="s">
        <v>2241</v>
      </c>
      <c r="B1406" s="2">
        <f t="shared" si="42"/>
        <v>2019</v>
      </c>
      <c r="C1406" s="2" t="str">
        <f t="shared" si="43"/>
        <v>EC101</v>
      </c>
      <c r="D1406" s="2">
        <v>788</v>
      </c>
      <c r="F1406" s="1764"/>
      <c r="G1406" s="1764"/>
      <c r="H1406" s="1764"/>
      <c r="I1406" s="1764"/>
      <c r="J1406" s="1764"/>
      <c r="K1406" s="1764"/>
      <c r="L1406" s="1764"/>
      <c r="M1406" s="1765"/>
      <c r="N1406" s="1765"/>
      <c r="O1406" s="1765"/>
      <c r="P1406" s="1765"/>
      <c r="Q1406" s="1765"/>
      <c r="W1406" t="s">
        <v>2089</v>
      </c>
    </row>
    <row r="1407" spans="1:23" ht="13.15" customHeight="1" x14ac:dyDescent="0.2">
      <c r="A1407" s="2" t="s">
        <v>2241</v>
      </c>
      <c r="B1407" s="2">
        <f t="shared" si="42"/>
        <v>2019</v>
      </c>
      <c r="C1407" s="2" t="str">
        <f t="shared" si="43"/>
        <v>EC101</v>
      </c>
      <c r="D1407" s="2">
        <v>789</v>
      </c>
      <c r="F1407" s="1764"/>
      <c r="G1407" s="1764"/>
      <c r="H1407" s="1764"/>
      <c r="I1407" s="1764"/>
      <c r="J1407" s="1764"/>
      <c r="K1407" s="1764"/>
      <c r="L1407" s="1764"/>
      <c r="M1407" s="1765"/>
      <c r="N1407" s="1765"/>
      <c r="O1407" s="1765"/>
      <c r="P1407" s="1765"/>
      <c r="Q1407" s="1765"/>
      <c r="W1407" t="s">
        <v>2089</v>
      </c>
    </row>
    <row r="1408" spans="1:23" ht="13.15" customHeight="1" x14ac:dyDescent="0.2">
      <c r="A1408" s="2" t="s">
        <v>2241</v>
      </c>
      <c r="B1408" s="2">
        <f t="shared" si="42"/>
        <v>2019</v>
      </c>
      <c r="C1408" s="2" t="str">
        <f t="shared" si="43"/>
        <v>EC101</v>
      </c>
      <c r="D1408" s="2">
        <v>790</v>
      </c>
      <c r="F1408" s="1764"/>
      <c r="G1408" s="1764"/>
      <c r="H1408" s="1764"/>
      <c r="I1408" s="1764"/>
      <c r="J1408" s="1764"/>
      <c r="K1408" s="1764"/>
      <c r="L1408" s="1764"/>
      <c r="M1408" s="1765"/>
      <c r="N1408" s="1765"/>
      <c r="O1408" s="1765"/>
      <c r="P1408" s="1765"/>
      <c r="Q1408" s="1765"/>
      <c r="W1408" t="s">
        <v>2089</v>
      </c>
    </row>
    <row r="1409" spans="1:23" ht="13.15" customHeight="1" x14ac:dyDescent="0.2">
      <c r="A1409" s="2" t="s">
        <v>2241</v>
      </c>
      <c r="B1409" s="2">
        <f t="shared" si="42"/>
        <v>2019</v>
      </c>
      <c r="C1409" s="2" t="str">
        <f t="shared" si="43"/>
        <v>EC101</v>
      </c>
      <c r="D1409" s="2">
        <v>791</v>
      </c>
      <c r="F1409" s="1764"/>
      <c r="G1409" s="1764"/>
      <c r="H1409" s="1764"/>
      <c r="I1409" s="1764"/>
      <c r="J1409" s="1764"/>
      <c r="K1409" s="1764"/>
      <c r="L1409" s="1764"/>
      <c r="M1409" s="1765"/>
      <c r="N1409" s="1765"/>
      <c r="O1409" s="1765"/>
      <c r="P1409" s="1765"/>
      <c r="Q1409" s="1765"/>
      <c r="W1409" t="s">
        <v>2089</v>
      </c>
    </row>
    <row r="1410" spans="1:23" ht="13.15" customHeight="1" x14ac:dyDescent="0.2">
      <c r="A1410" s="2" t="s">
        <v>2241</v>
      </c>
      <c r="B1410" s="2">
        <f t="shared" ref="B1410:B1473" si="44">+MTREF</f>
        <v>2019</v>
      </c>
      <c r="C1410" s="2" t="str">
        <f t="shared" ref="C1410:C1473" si="45">LEFT(muni,(FIND(" ",muni,1)-1))</f>
        <v>EC101</v>
      </c>
      <c r="D1410" s="2">
        <v>792</v>
      </c>
      <c r="F1410" s="1764"/>
      <c r="G1410" s="1764"/>
      <c r="H1410" s="1764"/>
      <c r="I1410" s="1764"/>
      <c r="J1410" s="1764"/>
      <c r="K1410" s="1764"/>
      <c r="L1410" s="1764"/>
      <c r="M1410" s="1765"/>
      <c r="N1410" s="1765"/>
      <c r="O1410" s="1765"/>
      <c r="P1410" s="1765"/>
      <c r="Q1410" s="1765"/>
      <c r="W1410" t="s">
        <v>2089</v>
      </c>
    </row>
    <row r="1411" spans="1:23" ht="13.15" customHeight="1" x14ac:dyDescent="0.2">
      <c r="A1411" s="2" t="s">
        <v>2241</v>
      </c>
      <c r="B1411" s="2">
        <f t="shared" si="44"/>
        <v>2019</v>
      </c>
      <c r="C1411" s="2" t="str">
        <f t="shared" si="45"/>
        <v>EC101</v>
      </c>
      <c r="D1411" s="2">
        <v>793</v>
      </c>
      <c r="F1411" s="1764"/>
      <c r="G1411" s="1764"/>
      <c r="H1411" s="1764"/>
      <c r="I1411" s="1764"/>
      <c r="J1411" s="1764"/>
      <c r="K1411" s="1764"/>
      <c r="L1411" s="1764"/>
      <c r="M1411" s="1765"/>
      <c r="N1411" s="1765"/>
      <c r="O1411" s="1765"/>
      <c r="P1411" s="1765"/>
      <c r="Q1411" s="1765"/>
      <c r="W1411" t="s">
        <v>2089</v>
      </c>
    </row>
    <row r="1412" spans="1:23" ht="13.15" customHeight="1" x14ac:dyDescent="0.2">
      <c r="A1412" s="2" t="s">
        <v>2241</v>
      </c>
      <c r="B1412" s="2">
        <f t="shared" si="44"/>
        <v>2019</v>
      </c>
      <c r="C1412" s="2" t="str">
        <f t="shared" si="45"/>
        <v>EC101</v>
      </c>
      <c r="D1412" s="2">
        <v>794</v>
      </c>
      <c r="F1412" s="1764"/>
      <c r="G1412" s="1764"/>
      <c r="H1412" s="1764"/>
      <c r="I1412" s="1764"/>
      <c r="J1412" s="1764"/>
      <c r="K1412" s="1764"/>
      <c r="L1412" s="1764"/>
      <c r="M1412" s="1765"/>
      <c r="N1412" s="1765"/>
      <c r="O1412" s="1765"/>
      <c r="P1412" s="1765"/>
      <c r="Q1412" s="1765"/>
      <c r="W1412" t="s">
        <v>2089</v>
      </c>
    </row>
    <row r="1413" spans="1:23" ht="13.15" customHeight="1" x14ac:dyDescent="0.2">
      <c r="A1413" s="2" t="s">
        <v>2241</v>
      </c>
      <c r="B1413" s="2">
        <f t="shared" si="44"/>
        <v>2019</v>
      </c>
      <c r="C1413" s="2" t="str">
        <f t="shared" si="45"/>
        <v>EC101</v>
      </c>
      <c r="D1413" s="2">
        <v>795</v>
      </c>
      <c r="F1413" s="1764"/>
      <c r="G1413" s="1764"/>
      <c r="H1413" s="1764"/>
      <c r="I1413" s="1764"/>
      <c r="J1413" s="1764"/>
      <c r="K1413" s="1764"/>
      <c r="L1413" s="1764"/>
      <c r="M1413" s="1765"/>
      <c r="N1413" s="1765"/>
      <c r="O1413" s="1765"/>
      <c r="P1413" s="1765"/>
      <c r="Q1413" s="1765"/>
      <c r="W1413" t="s">
        <v>2089</v>
      </c>
    </row>
    <row r="1414" spans="1:23" ht="13.15" customHeight="1" x14ac:dyDescent="0.2">
      <c r="A1414" s="2" t="s">
        <v>2241</v>
      </c>
      <c r="B1414" s="2">
        <f t="shared" si="44"/>
        <v>2019</v>
      </c>
      <c r="C1414" s="2" t="str">
        <f t="shared" si="45"/>
        <v>EC101</v>
      </c>
      <c r="D1414" s="2">
        <v>796</v>
      </c>
      <c r="F1414" s="1764"/>
      <c r="G1414" s="1764"/>
      <c r="H1414" s="1764"/>
      <c r="I1414" s="1764"/>
      <c r="J1414" s="1764"/>
      <c r="K1414" s="1764"/>
      <c r="L1414" s="1764"/>
      <c r="M1414" s="1765"/>
      <c r="N1414" s="1765"/>
      <c r="O1414" s="1765"/>
      <c r="P1414" s="1765"/>
      <c r="Q1414" s="1765"/>
      <c r="W1414" t="s">
        <v>2089</v>
      </c>
    </row>
    <row r="1415" spans="1:23" ht="13.15" customHeight="1" x14ac:dyDescent="0.2">
      <c r="A1415" s="2" t="s">
        <v>2241</v>
      </c>
      <c r="B1415" s="2">
        <f t="shared" si="44"/>
        <v>2019</v>
      </c>
      <c r="C1415" s="2" t="str">
        <f t="shared" si="45"/>
        <v>EC101</v>
      </c>
      <c r="D1415" s="2">
        <v>797</v>
      </c>
      <c r="F1415" s="1764"/>
      <c r="G1415" s="1764"/>
      <c r="H1415" s="1764"/>
      <c r="I1415" s="1764"/>
      <c r="J1415" s="1764"/>
      <c r="K1415" s="1764"/>
      <c r="L1415" s="1764"/>
      <c r="M1415" s="1765"/>
      <c r="N1415" s="1765"/>
      <c r="O1415" s="1765"/>
      <c r="P1415" s="1765"/>
      <c r="Q1415" s="1765"/>
      <c r="W1415" t="s">
        <v>2089</v>
      </c>
    </row>
    <row r="1416" spans="1:23" ht="13.15" customHeight="1" x14ac:dyDescent="0.2">
      <c r="A1416" s="2" t="s">
        <v>2241</v>
      </c>
      <c r="B1416" s="2">
        <f t="shared" si="44"/>
        <v>2019</v>
      </c>
      <c r="C1416" s="2" t="str">
        <f t="shared" si="45"/>
        <v>EC101</v>
      </c>
      <c r="D1416" s="2">
        <v>798</v>
      </c>
      <c r="F1416" s="1764"/>
      <c r="G1416" s="1764"/>
      <c r="H1416" s="1764"/>
      <c r="I1416" s="1764"/>
      <c r="J1416" s="1764"/>
      <c r="K1416" s="1764"/>
      <c r="L1416" s="1764"/>
      <c r="M1416" s="1765"/>
      <c r="N1416" s="1765"/>
      <c r="O1416" s="1765"/>
      <c r="P1416" s="1765"/>
      <c r="Q1416" s="1765"/>
      <c r="W1416" t="s">
        <v>2089</v>
      </c>
    </row>
    <row r="1417" spans="1:23" ht="13.15" customHeight="1" x14ac:dyDescent="0.2">
      <c r="A1417" s="2" t="s">
        <v>2241</v>
      </c>
      <c r="B1417" s="2">
        <f t="shared" si="44"/>
        <v>2019</v>
      </c>
      <c r="C1417" s="2" t="str">
        <f t="shared" si="45"/>
        <v>EC101</v>
      </c>
      <c r="D1417" s="2">
        <v>799</v>
      </c>
      <c r="F1417" s="1764"/>
      <c r="G1417" s="1764"/>
      <c r="H1417" s="1764"/>
      <c r="I1417" s="1764"/>
      <c r="J1417" s="1764"/>
      <c r="K1417" s="1764"/>
      <c r="L1417" s="1764"/>
      <c r="M1417" s="1765"/>
      <c r="N1417" s="1765"/>
      <c r="O1417" s="1765"/>
      <c r="P1417" s="1765"/>
      <c r="Q1417" s="1765"/>
      <c r="W1417" t="s">
        <v>2089</v>
      </c>
    </row>
    <row r="1418" spans="1:23" ht="13.15" customHeight="1" x14ac:dyDescent="0.2">
      <c r="A1418" s="2" t="s">
        <v>2241</v>
      </c>
      <c r="B1418" s="2">
        <f t="shared" si="44"/>
        <v>2019</v>
      </c>
      <c r="C1418" s="2" t="str">
        <f t="shared" si="45"/>
        <v>EC101</v>
      </c>
      <c r="D1418" s="2">
        <v>800</v>
      </c>
      <c r="F1418" s="1764"/>
      <c r="G1418" s="1764"/>
      <c r="H1418" s="1764"/>
      <c r="I1418" s="1764"/>
      <c r="J1418" s="1764"/>
      <c r="K1418" s="1764"/>
      <c r="L1418" s="1764"/>
      <c r="M1418" s="1765"/>
      <c r="N1418" s="1765"/>
      <c r="O1418" s="1765"/>
      <c r="P1418" s="1765"/>
      <c r="Q1418" s="1765"/>
      <c r="W1418" t="s">
        <v>2089</v>
      </c>
    </row>
    <row r="1419" spans="1:23" ht="13.15" customHeight="1" x14ac:dyDescent="0.2">
      <c r="A1419" s="2" t="s">
        <v>2241</v>
      </c>
      <c r="B1419" s="2">
        <f t="shared" si="44"/>
        <v>2019</v>
      </c>
      <c r="C1419" s="2" t="str">
        <f t="shared" si="45"/>
        <v>EC101</v>
      </c>
      <c r="D1419" s="2">
        <v>801</v>
      </c>
      <c r="F1419" s="1764"/>
      <c r="G1419" s="1764"/>
      <c r="H1419" s="1764"/>
      <c r="I1419" s="1764"/>
      <c r="J1419" s="1764"/>
      <c r="K1419" s="1764"/>
      <c r="L1419" s="1764"/>
      <c r="M1419" s="1765"/>
      <c r="N1419" s="1765"/>
      <c r="O1419" s="1765"/>
      <c r="P1419" s="1765"/>
      <c r="Q1419" s="1765"/>
      <c r="W1419" t="s">
        <v>2089</v>
      </c>
    </row>
    <row r="1420" spans="1:23" ht="13.15" customHeight="1" x14ac:dyDescent="0.2">
      <c r="A1420" s="2" t="s">
        <v>2241</v>
      </c>
      <c r="B1420" s="2">
        <f t="shared" si="44"/>
        <v>2019</v>
      </c>
      <c r="C1420" s="2" t="str">
        <f t="shared" si="45"/>
        <v>EC101</v>
      </c>
      <c r="D1420" s="2">
        <v>802</v>
      </c>
      <c r="F1420" s="1764"/>
      <c r="G1420" s="1764"/>
      <c r="H1420" s="1764"/>
      <c r="I1420" s="1764"/>
      <c r="J1420" s="1764"/>
      <c r="K1420" s="1764"/>
      <c r="L1420" s="1764"/>
      <c r="M1420" s="1765"/>
      <c r="N1420" s="1765"/>
      <c r="O1420" s="1765"/>
      <c r="P1420" s="1765"/>
      <c r="Q1420" s="1765"/>
      <c r="W1420" t="s">
        <v>2089</v>
      </c>
    </row>
    <row r="1421" spans="1:23" ht="13.15" customHeight="1" x14ac:dyDescent="0.2">
      <c r="A1421" s="2" t="s">
        <v>2241</v>
      </c>
      <c r="B1421" s="2">
        <f t="shared" si="44"/>
        <v>2019</v>
      </c>
      <c r="C1421" s="2" t="str">
        <f t="shared" si="45"/>
        <v>EC101</v>
      </c>
      <c r="D1421" s="2">
        <v>803</v>
      </c>
      <c r="F1421" s="1764"/>
      <c r="G1421" s="1764"/>
      <c r="H1421" s="1764"/>
      <c r="I1421" s="1764"/>
      <c r="J1421" s="1764"/>
      <c r="K1421" s="1764"/>
      <c r="L1421" s="1764"/>
      <c r="M1421" s="1765"/>
      <c r="N1421" s="1765"/>
      <c r="O1421" s="1765"/>
      <c r="P1421" s="1765"/>
      <c r="Q1421" s="1765"/>
      <c r="W1421" t="s">
        <v>2089</v>
      </c>
    </row>
    <row r="1422" spans="1:23" ht="13.15" customHeight="1" x14ac:dyDescent="0.2">
      <c r="A1422" s="2" t="s">
        <v>2241</v>
      </c>
      <c r="B1422" s="2">
        <f t="shared" si="44"/>
        <v>2019</v>
      </c>
      <c r="C1422" s="2" t="str">
        <f t="shared" si="45"/>
        <v>EC101</v>
      </c>
      <c r="D1422" s="2">
        <v>804</v>
      </c>
      <c r="F1422" s="1764"/>
      <c r="G1422" s="1764"/>
      <c r="H1422" s="1764"/>
      <c r="I1422" s="1764"/>
      <c r="J1422" s="1764"/>
      <c r="K1422" s="1764"/>
      <c r="L1422" s="1764"/>
      <c r="M1422" s="1765"/>
      <c r="N1422" s="1765"/>
      <c r="O1422" s="1765"/>
      <c r="P1422" s="1765"/>
      <c r="Q1422" s="1765"/>
      <c r="W1422" t="s">
        <v>2089</v>
      </c>
    </row>
    <row r="1423" spans="1:23" ht="13.15" customHeight="1" x14ac:dyDescent="0.2">
      <c r="A1423" s="2" t="s">
        <v>2241</v>
      </c>
      <c r="B1423" s="2">
        <f t="shared" si="44"/>
        <v>2019</v>
      </c>
      <c r="C1423" s="2" t="str">
        <f t="shared" si="45"/>
        <v>EC101</v>
      </c>
      <c r="D1423" s="2">
        <v>805</v>
      </c>
      <c r="F1423" s="1764"/>
      <c r="G1423" s="1764"/>
      <c r="H1423" s="1764"/>
      <c r="I1423" s="1764"/>
      <c r="J1423" s="1764"/>
      <c r="K1423" s="1764"/>
      <c r="L1423" s="1764"/>
      <c r="M1423" s="1765"/>
      <c r="N1423" s="1765"/>
      <c r="O1423" s="1765"/>
      <c r="P1423" s="1765"/>
      <c r="Q1423" s="1765"/>
      <c r="W1423" t="s">
        <v>2089</v>
      </c>
    </row>
    <row r="1424" spans="1:23" ht="13.15" customHeight="1" x14ac:dyDescent="0.2">
      <c r="A1424" s="2" t="s">
        <v>2241</v>
      </c>
      <c r="B1424" s="2">
        <f t="shared" si="44"/>
        <v>2019</v>
      </c>
      <c r="C1424" s="2" t="str">
        <f t="shared" si="45"/>
        <v>EC101</v>
      </c>
      <c r="D1424" s="2">
        <v>806</v>
      </c>
      <c r="F1424" s="1764"/>
      <c r="G1424" s="1764"/>
      <c r="H1424" s="1764"/>
      <c r="I1424" s="1764"/>
      <c r="J1424" s="1764"/>
      <c r="K1424" s="1764"/>
      <c r="L1424" s="1764"/>
      <c r="M1424" s="1765"/>
      <c r="N1424" s="1765"/>
      <c r="O1424" s="1765"/>
      <c r="P1424" s="1765"/>
      <c r="Q1424" s="1765"/>
      <c r="W1424" t="s">
        <v>2089</v>
      </c>
    </row>
    <row r="1425" spans="1:23" ht="13.15" customHeight="1" x14ac:dyDescent="0.2">
      <c r="A1425" s="2" t="s">
        <v>2241</v>
      </c>
      <c r="B1425" s="2">
        <f t="shared" si="44"/>
        <v>2019</v>
      </c>
      <c r="C1425" s="2" t="str">
        <f t="shared" si="45"/>
        <v>EC101</v>
      </c>
      <c r="D1425" s="2">
        <v>807</v>
      </c>
      <c r="F1425" s="1764"/>
      <c r="G1425" s="1764"/>
      <c r="H1425" s="1764"/>
      <c r="I1425" s="1764"/>
      <c r="J1425" s="1764"/>
      <c r="K1425" s="1764"/>
      <c r="L1425" s="1764"/>
      <c r="M1425" s="1765"/>
      <c r="N1425" s="1765"/>
      <c r="O1425" s="1765"/>
      <c r="P1425" s="1765"/>
      <c r="Q1425" s="1765"/>
      <c r="W1425" t="s">
        <v>2089</v>
      </c>
    </row>
    <row r="1426" spans="1:23" ht="13.15" customHeight="1" x14ac:dyDescent="0.2">
      <c r="A1426" s="2" t="s">
        <v>2241</v>
      </c>
      <c r="B1426" s="2">
        <f t="shared" si="44"/>
        <v>2019</v>
      </c>
      <c r="C1426" s="2" t="str">
        <f t="shared" si="45"/>
        <v>EC101</v>
      </c>
      <c r="D1426" s="2">
        <v>808</v>
      </c>
      <c r="F1426" s="1764"/>
      <c r="G1426" s="1764"/>
      <c r="H1426" s="1764"/>
      <c r="I1426" s="1764"/>
      <c r="J1426" s="1764"/>
      <c r="K1426" s="1764"/>
      <c r="L1426" s="1764"/>
      <c r="M1426" s="1765"/>
      <c r="N1426" s="1765"/>
      <c r="O1426" s="1765"/>
      <c r="P1426" s="1765"/>
      <c r="Q1426" s="1765"/>
      <c r="W1426" t="s">
        <v>2089</v>
      </c>
    </row>
    <row r="1427" spans="1:23" ht="13.15" customHeight="1" x14ac:dyDescent="0.2">
      <c r="A1427" s="2" t="s">
        <v>2241</v>
      </c>
      <c r="B1427" s="2">
        <f t="shared" si="44"/>
        <v>2019</v>
      </c>
      <c r="C1427" s="2" t="str">
        <f t="shared" si="45"/>
        <v>EC101</v>
      </c>
      <c r="D1427" s="2">
        <v>809</v>
      </c>
      <c r="F1427" s="1764"/>
      <c r="G1427" s="1764"/>
      <c r="H1427" s="1764"/>
      <c r="I1427" s="1764"/>
      <c r="J1427" s="1764"/>
      <c r="K1427" s="1764"/>
      <c r="L1427" s="1764"/>
      <c r="M1427" s="1765"/>
      <c r="N1427" s="1765"/>
      <c r="O1427" s="1765"/>
      <c r="P1427" s="1765"/>
      <c r="Q1427" s="1765"/>
      <c r="W1427" t="s">
        <v>2089</v>
      </c>
    </row>
    <row r="1428" spans="1:23" ht="13.15" customHeight="1" x14ac:dyDescent="0.2">
      <c r="A1428" s="2" t="s">
        <v>2241</v>
      </c>
      <c r="B1428" s="2">
        <f t="shared" si="44"/>
        <v>2019</v>
      </c>
      <c r="C1428" s="2" t="str">
        <f t="shared" si="45"/>
        <v>EC101</v>
      </c>
      <c r="D1428" s="2">
        <v>810</v>
      </c>
      <c r="F1428" s="1764"/>
      <c r="G1428" s="1764"/>
      <c r="H1428" s="1764"/>
      <c r="I1428" s="1764"/>
      <c r="J1428" s="1764"/>
      <c r="K1428" s="1764"/>
      <c r="L1428" s="1764"/>
      <c r="M1428" s="1765"/>
      <c r="N1428" s="1765"/>
      <c r="O1428" s="1765"/>
      <c r="P1428" s="1765"/>
      <c r="Q1428" s="1765"/>
      <c r="W1428" t="s">
        <v>2089</v>
      </c>
    </row>
    <row r="1429" spans="1:23" ht="13.15" customHeight="1" x14ac:dyDescent="0.2">
      <c r="A1429" s="2" t="s">
        <v>2241</v>
      </c>
      <c r="B1429" s="2">
        <f t="shared" si="44"/>
        <v>2019</v>
      </c>
      <c r="C1429" s="2" t="str">
        <f t="shared" si="45"/>
        <v>EC101</v>
      </c>
      <c r="D1429" s="2">
        <v>811</v>
      </c>
      <c r="F1429" s="1764"/>
      <c r="G1429" s="1764"/>
      <c r="H1429" s="1764"/>
      <c r="I1429" s="1764"/>
      <c r="J1429" s="1764"/>
      <c r="K1429" s="1764"/>
      <c r="L1429" s="1764"/>
      <c r="M1429" s="1765"/>
      <c r="N1429" s="1765"/>
      <c r="O1429" s="1765"/>
      <c r="P1429" s="1765"/>
      <c r="Q1429" s="1765"/>
      <c r="W1429" t="s">
        <v>2089</v>
      </c>
    </row>
    <row r="1430" spans="1:23" ht="13.15" customHeight="1" x14ac:dyDescent="0.2">
      <c r="A1430" s="2" t="s">
        <v>2241</v>
      </c>
      <c r="B1430" s="2">
        <f t="shared" si="44"/>
        <v>2019</v>
      </c>
      <c r="C1430" s="2" t="str">
        <f t="shared" si="45"/>
        <v>EC101</v>
      </c>
      <c r="D1430" s="2">
        <v>812</v>
      </c>
      <c r="F1430" s="1764"/>
      <c r="G1430" s="1764"/>
      <c r="H1430" s="1764"/>
      <c r="I1430" s="1764"/>
      <c r="J1430" s="1764"/>
      <c r="K1430" s="1764"/>
      <c r="L1430" s="1764"/>
      <c r="M1430" s="1765"/>
      <c r="N1430" s="1765"/>
      <c r="O1430" s="1765"/>
      <c r="P1430" s="1765"/>
      <c r="Q1430" s="1765"/>
      <c r="W1430" t="s">
        <v>2089</v>
      </c>
    </row>
    <row r="1431" spans="1:23" ht="13.15" customHeight="1" x14ac:dyDescent="0.2">
      <c r="A1431" s="2" t="s">
        <v>2241</v>
      </c>
      <c r="B1431" s="2">
        <f t="shared" si="44"/>
        <v>2019</v>
      </c>
      <c r="C1431" s="2" t="str">
        <f t="shared" si="45"/>
        <v>EC101</v>
      </c>
      <c r="D1431" s="2">
        <v>813</v>
      </c>
      <c r="F1431" s="1764"/>
      <c r="G1431" s="1764"/>
      <c r="H1431" s="1764"/>
      <c r="I1431" s="1764"/>
      <c r="J1431" s="1764"/>
      <c r="K1431" s="1764"/>
      <c r="L1431" s="1764"/>
      <c r="M1431" s="1765"/>
      <c r="N1431" s="1765"/>
      <c r="O1431" s="1765"/>
      <c r="P1431" s="1765"/>
      <c r="Q1431" s="1765"/>
      <c r="W1431" t="s">
        <v>2089</v>
      </c>
    </row>
    <row r="1432" spans="1:23" ht="13.15" customHeight="1" x14ac:dyDescent="0.2">
      <c r="A1432" s="2" t="s">
        <v>2241</v>
      </c>
      <c r="B1432" s="2">
        <f t="shared" si="44"/>
        <v>2019</v>
      </c>
      <c r="C1432" s="2" t="str">
        <f t="shared" si="45"/>
        <v>EC101</v>
      </c>
      <c r="D1432" s="2">
        <v>814</v>
      </c>
      <c r="F1432" s="1764"/>
      <c r="G1432" s="1764"/>
      <c r="H1432" s="1764"/>
      <c r="I1432" s="1764"/>
      <c r="J1432" s="1764"/>
      <c r="K1432" s="1764"/>
      <c r="L1432" s="1764"/>
      <c r="M1432" s="1765"/>
      <c r="N1432" s="1765"/>
      <c r="O1432" s="1765"/>
      <c r="P1432" s="1765"/>
      <c r="Q1432" s="1765"/>
      <c r="W1432" t="s">
        <v>2089</v>
      </c>
    </row>
    <row r="1433" spans="1:23" ht="13.15" customHeight="1" x14ac:dyDescent="0.2">
      <c r="A1433" s="2" t="s">
        <v>2241</v>
      </c>
      <c r="B1433" s="2">
        <f t="shared" si="44"/>
        <v>2019</v>
      </c>
      <c r="C1433" s="2" t="str">
        <f t="shared" si="45"/>
        <v>EC101</v>
      </c>
      <c r="D1433" s="2">
        <v>815</v>
      </c>
      <c r="F1433" s="1764"/>
      <c r="G1433" s="1764"/>
      <c r="H1433" s="1764"/>
      <c r="I1433" s="1764"/>
      <c r="J1433" s="1764"/>
      <c r="K1433" s="1764"/>
      <c r="L1433" s="1764"/>
      <c r="M1433" s="1765"/>
      <c r="N1433" s="1765"/>
      <c r="O1433" s="1765"/>
      <c r="P1433" s="1765"/>
      <c r="Q1433" s="1765"/>
      <c r="W1433" t="s">
        <v>2089</v>
      </c>
    </row>
    <row r="1434" spans="1:23" ht="13.15" customHeight="1" x14ac:dyDescent="0.2">
      <c r="A1434" s="2" t="s">
        <v>2241</v>
      </c>
      <c r="B1434" s="2">
        <f t="shared" si="44"/>
        <v>2019</v>
      </c>
      <c r="C1434" s="2" t="str">
        <f t="shared" si="45"/>
        <v>EC101</v>
      </c>
      <c r="D1434" s="2">
        <v>816</v>
      </c>
      <c r="F1434" s="1764"/>
      <c r="G1434" s="1764"/>
      <c r="H1434" s="1764"/>
      <c r="I1434" s="1764"/>
      <c r="J1434" s="1764"/>
      <c r="K1434" s="1764"/>
      <c r="L1434" s="1764"/>
      <c r="M1434" s="1765"/>
      <c r="N1434" s="1765"/>
      <c r="O1434" s="1765"/>
      <c r="P1434" s="1765"/>
      <c r="Q1434" s="1765"/>
      <c r="W1434" t="s">
        <v>2089</v>
      </c>
    </row>
    <row r="1435" spans="1:23" ht="13.15" customHeight="1" x14ac:dyDescent="0.2">
      <c r="A1435" s="2" t="s">
        <v>2241</v>
      </c>
      <c r="B1435" s="2">
        <f t="shared" si="44"/>
        <v>2019</v>
      </c>
      <c r="C1435" s="2" t="str">
        <f t="shared" si="45"/>
        <v>EC101</v>
      </c>
      <c r="D1435" s="2">
        <v>817</v>
      </c>
      <c r="F1435" s="1764"/>
      <c r="G1435" s="1764"/>
      <c r="H1435" s="1764"/>
      <c r="I1435" s="1764"/>
      <c r="J1435" s="1764"/>
      <c r="K1435" s="1764"/>
      <c r="L1435" s="1764"/>
      <c r="M1435" s="1765"/>
      <c r="N1435" s="1765"/>
      <c r="O1435" s="1765"/>
      <c r="P1435" s="1765"/>
      <c r="Q1435" s="1765"/>
      <c r="W1435" t="s">
        <v>2089</v>
      </c>
    </row>
    <row r="1436" spans="1:23" ht="13.15" customHeight="1" x14ac:dyDescent="0.2">
      <c r="A1436" s="2" t="s">
        <v>2241</v>
      </c>
      <c r="B1436" s="2">
        <f t="shared" si="44"/>
        <v>2019</v>
      </c>
      <c r="C1436" s="2" t="str">
        <f t="shared" si="45"/>
        <v>EC101</v>
      </c>
      <c r="D1436" s="2">
        <v>818</v>
      </c>
      <c r="F1436" s="1764"/>
      <c r="G1436" s="1764"/>
      <c r="H1436" s="1764"/>
      <c r="I1436" s="1764"/>
      <c r="J1436" s="1764"/>
      <c r="K1436" s="1764"/>
      <c r="L1436" s="1764"/>
      <c r="M1436" s="1765"/>
      <c r="N1436" s="1765"/>
      <c r="O1436" s="1765"/>
      <c r="P1436" s="1765"/>
      <c r="Q1436" s="1765"/>
      <c r="W1436" t="s">
        <v>2089</v>
      </c>
    </row>
    <row r="1437" spans="1:23" ht="13.15" customHeight="1" x14ac:dyDescent="0.2">
      <c r="A1437" s="2" t="s">
        <v>2241</v>
      </c>
      <c r="B1437" s="2">
        <f t="shared" si="44"/>
        <v>2019</v>
      </c>
      <c r="C1437" s="2" t="str">
        <f t="shared" si="45"/>
        <v>EC101</v>
      </c>
      <c r="D1437" s="2">
        <v>819</v>
      </c>
      <c r="F1437" s="1764"/>
      <c r="G1437" s="1764"/>
      <c r="H1437" s="1764"/>
      <c r="I1437" s="1764"/>
      <c r="J1437" s="1764"/>
      <c r="K1437" s="1764"/>
      <c r="L1437" s="1764"/>
      <c r="M1437" s="1765"/>
      <c r="N1437" s="1765"/>
      <c r="O1437" s="1765"/>
      <c r="P1437" s="1765"/>
      <c r="Q1437" s="1765"/>
      <c r="W1437" t="s">
        <v>2089</v>
      </c>
    </row>
    <row r="1438" spans="1:23" ht="13.15" customHeight="1" x14ac:dyDescent="0.2">
      <c r="A1438" s="2" t="s">
        <v>2241</v>
      </c>
      <c r="B1438" s="2">
        <f t="shared" si="44"/>
        <v>2019</v>
      </c>
      <c r="C1438" s="2" t="str">
        <f t="shared" si="45"/>
        <v>EC101</v>
      </c>
      <c r="D1438" s="2">
        <v>820</v>
      </c>
      <c r="F1438" s="1764"/>
      <c r="G1438" s="1764"/>
      <c r="H1438" s="1764"/>
      <c r="I1438" s="1764"/>
      <c r="J1438" s="1764"/>
      <c r="K1438" s="1764"/>
      <c r="L1438" s="1764"/>
      <c r="M1438" s="1765"/>
      <c r="N1438" s="1765"/>
      <c r="O1438" s="1765"/>
      <c r="P1438" s="1765"/>
      <c r="Q1438" s="1765"/>
      <c r="W1438" t="s">
        <v>2089</v>
      </c>
    </row>
    <row r="1439" spans="1:23" ht="13.15" customHeight="1" x14ac:dyDescent="0.2">
      <c r="A1439" s="2" t="s">
        <v>2241</v>
      </c>
      <c r="B1439" s="2">
        <f t="shared" si="44"/>
        <v>2019</v>
      </c>
      <c r="C1439" s="2" t="str">
        <f t="shared" si="45"/>
        <v>EC101</v>
      </c>
      <c r="D1439" s="2">
        <v>821</v>
      </c>
      <c r="F1439" s="1764"/>
      <c r="G1439" s="1764"/>
      <c r="H1439" s="1764"/>
      <c r="I1439" s="1764"/>
      <c r="J1439" s="1764"/>
      <c r="K1439" s="1764"/>
      <c r="L1439" s="1764"/>
      <c r="M1439" s="1765"/>
      <c r="N1439" s="1765"/>
      <c r="O1439" s="1765"/>
      <c r="P1439" s="1765"/>
      <c r="Q1439" s="1765"/>
      <c r="W1439" t="s">
        <v>2089</v>
      </c>
    </row>
    <row r="1440" spans="1:23" ht="13.15" customHeight="1" x14ac:dyDescent="0.2">
      <c r="A1440" s="2" t="s">
        <v>2241</v>
      </c>
      <c r="B1440" s="2">
        <f t="shared" si="44"/>
        <v>2019</v>
      </c>
      <c r="C1440" s="2" t="str">
        <f t="shared" si="45"/>
        <v>EC101</v>
      </c>
      <c r="D1440" s="2">
        <v>822</v>
      </c>
      <c r="F1440" s="1764"/>
      <c r="G1440" s="1764"/>
      <c r="H1440" s="1764"/>
      <c r="I1440" s="1764"/>
      <c r="J1440" s="1764"/>
      <c r="K1440" s="1764"/>
      <c r="L1440" s="1764"/>
      <c r="M1440" s="1765"/>
      <c r="N1440" s="1765"/>
      <c r="O1440" s="1765"/>
      <c r="P1440" s="1765"/>
      <c r="Q1440" s="1765"/>
      <c r="W1440" t="s">
        <v>2089</v>
      </c>
    </row>
    <row r="1441" spans="1:23" ht="13.15" customHeight="1" x14ac:dyDescent="0.2">
      <c r="A1441" s="2" t="s">
        <v>2241</v>
      </c>
      <c r="B1441" s="2">
        <f t="shared" si="44"/>
        <v>2019</v>
      </c>
      <c r="C1441" s="2" t="str">
        <f t="shared" si="45"/>
        <v>EC101</v>
      </c>
      <c r="D1441" s="2">
        <v>823</v>
      </c>
      <c r="F1441" s="1764"/>
      <c r="G1441" s="1764"/>
      <c r="H1441" s="1764"/>
      <c r="I1441" s="1764"/>
      <c r="J1441" s="1764"/>
      <c r="K1441" s="1764"/>
      <c r="L1441" s="1764"/>
      <c r="M1441" s="1765"/>
      <c r="N1441" s="1765"/>
      <c r="O1441" s="1765"/>
      <c r="P1441" s="1765"/>
      <c r="Q1441" s="1765"/>
      <c r="W1441" t="s">
        <v>2089</v>
      </c>
    </row>
    <row r="1442" spans="1:23" ht="13.15" customHeight="1" x14ac:dyDescent="0.2">
      <c r="A1442" s="2" t="s">
        <v>2241</v>
      </c>
      <c r="B1442" s="2">
        <f t="shared" si="44"/>
        <v>2019</v>
      </c>
      <c r="C1442" s="2" t="str">
        <f t="shared" si="45"/>
        <v>EC101</v>
      </c>
      <c r="D1442" s="2">
        <v>824</v>
      </c>
      <c r="F1442" s="1764"/>
      <c r="G1442" s="1764"/>
      <c r="H1442" s="1764"/>
      <c r="I1442" s="1764"/>
      <c r="J1442" s="1764"/>
      <c r="K1442" s="1764"/>
      <c r="L1442" s="1764"/>
      <c r="M1442" s="1765"/>
      <c r="N1442" s="1765"/>
      <c r="O1442" s="1765"/>
      <c r="P1442" s="1765"/>
      <c r="Q1442" s="1765"/>
      <c r="W1442" t="s">
        <v>2089</v>
      </c>
    </row>
    <row r="1443" spans="1:23" ht="13.15" customHeight="1" x14ac:dyDescent="0.2">
      <c r="A1443" s="2" t="s">
        <v>2241</v>
      </c>
      <c r="B1443" s="2">
        <f t="shared" si="44"/>
        <v>2019</v>
      </c>
      <c r="C1443" s="2" t="str">
        <f t="shared" si="45"/>
        <v>EC101</v>
      </c>
      <c r="D1443" s="2">
        <v>825</v>
      </c>
      <c r="F1443" s="1764"/>
      <c r="G1443" s="1764"/>
      <c r="H1443" s="1764"/>
      <c r="I1443" s="1764"/>
      <c r="J1443" s="1764"/>
      <c r="K1443" s="1764"/>
      <c r="L1443" s="1764"/>
      <c r="M1443" s="1765"/>
      <c r="N1443" s="1765"/>
      <c r="O1443" s="1765"/>
      <c r="P1443" s="1765"/>
      <c r="Q1443" s="1765"/>
      <c r="W1443" t="s">
        <v>2089</v>
      </c>
    </row>
    <row r="1444" spans="1:23" ht="13.15" customHeight="1" x14ac:dyDescent="0.2">
      <c r="A1444" s="2" t="s">
        <v>2241</v>
      </c>
      <c r="B1444" s="2">
        <f t="shared" si="44"/>
        <v>2019</v>
      </c>
      <c r="C1444" s="2" t="str">
        <f t="shared" si="45"/>
        <v>EC101</v>
      </c>
      <c r="D1444" s="2">
        <v>826</v>
      </c>
      <c r="F1444" s="1764"/>
      <c r="G1444" s="1764"/>
      <c r="H1444" s="1764"/>
      <c r="I1444" s="1764"/>
      <c r="J1444" s="1764"/>
      <c r="K1444" s="1764"/>
      <c r="L1444" s="1764"/>
      <c r="M1444" s="1765"/>
      <c r="N1444" s="1765"/>
      <c r="O1444" s="1765"/>
      <c r="P1444" s="1765"/>
      <c r="Q1444" s="1765"/>
      <c r="W1444" t="s">
        <v>2089</v>
      </c>
    </row>
    <row r="1445" spans="1:23" ht="13.15" customHeight="1" x14ac:dyDescent="0.2">
      <c r="A1445" s="2" t="s">
        <v>2241</v>
      </c>
      <c r="B1445" s="2">
        <f t="shared" si="44"/>
        <v>2019</v>
      </c>
      <c r="C1445" s="2" t="str">
        <f t="shared" si="45"/>
        <v>EC101</v>
      </c>
      <c r="D1445" s="2">
        <v>827</v>
      </c>
      <c r="F1445" s="1764"/>
      <c r="G1445" s="1764"/>
      <c r="H1445" s="1764"/>
      <c r="I1445" s="1764"/>
      <c r="J1445" s="1764"/>
      <c r="K1445" s="1764"/>
      <c r="L1445" s="1764"/>
      <c r="M1445" s="1765"/>
      <c r="N1445" s="1765"/>
      <c r="O1445" s="1765"/>
      <c r="P1445" s="1765"/>
      <c r="Q1445" s="1765"/>
      <c r="W1445" t="s">
        <v>2089</v>
      </c>
    </row>
    <row r="1446" spans="1:23" ht="13.15" customHeight="1" x14ac:dyDescent="0.2">
      <c r="A1446" s="2" t="s">
        <v>2241</v>
      </c>
      <c r="B1446" s="2">
        <f t="shared" si="44"/>
        <v>2019</v>
      </c>
      <c r="C1446" s="2" t="str">
        <f t="shared" si="45"/>
        <v>EC101</v>
      </c>
      <c r="D1446" s="2">
        <v>828</v>
      </c>
      <c r="F1446" s="1764"/>
      <c r="G1446" s="1764"/>
      <c r="H1446" s="1764"/>
      <c r="I1446" s="1764"/>
      <c r="J1446" s="1764"/>
      <c r="K1446" s="1764"/>
      <c r="L1446" s="1764"/>
      <c r="M1446" s="1765"/>
      <c r="N1446" s="1765"/>
      <c r="O1446" s="1765"/>
      <c r="P1446" s="1765"/>
      <c r="Q1446" s="1765"/>
      <c r="W1446" t="s">
        <v>2089</v>
      </c>
    </row>
    <row r="1447" spans="1:23" ht="13.15" customHeight="1" x14ac:dyDescent="0.2">
      <c r="A1447" s="2" t="s">
        <v>2241</v>
      </c>
      <c r="B1447" s="2">
        <f t="shared" si="44"/>
        <v>2019</v>
      </c>
      <c r="C1447" s="2" t="str">
        <f t="shared" si="45"/>
        <v>EC101</v>
      </c>
      <c r="D1447" s="2">
        <v>829</v>
      </c>
      <c r="F1447" s="1764"/>
      <c r="G1447" s="1764"/>
      <c r="H1447" s="1764"/>
      <c r="I1447" s="1764"/>
      <c r="J1447" s="1764"/>
      <c r="K1447" s="1764"/>
      <c r="L1447" s="1764"/>
      <c r="M1447" s="1765"/>
      <c r="N1447" s="1765"/>
      <c r="O1447" s="1765"/>
      <c r="P1447" s="1765"/>
      <c r="Q1447" s="1765"/>
      <c r="W1447" t="s">
        <v>2089</v>
      </c>
    </row>
    <row r="1448" spans="1:23" ht="13.15" customHeight="1" x14ac:dyDescent="0.2">
      <c r="A1448" s="2" t="s">
        <v>2241</v>
      </c>
      <c r="B1448" s="2">
        <f t="shared" si="44"/>
        <v>2019</v>
      </c>
      <c r="C1448" s="2" t="str">
        <f t="shared" si="45"/>
        <v>EC101</v>
      </c>
      <c r="D1448" s="2">
        <v>830</v>
      </c>
      <c r="F1448" s="1764"/>
      <c r="G1448" s="1764"/>
      <c r="H1448" s="1764"/>
      <c r="I1448" s="1764"/>
      <c r="J1448" s="1764"/>
      <c r="K1448" s="1764"/>
      <c r="L1448" s="1764"/>
      <c r="M1448" s="1765"/>
      <c r="N1448" s="1765"/>
      <c r="O1448" s="1765"/>
      <c r="P1448" s="1765"/>
      <c r="Q1448" s="1765"/>
      <c r="W1448" t="s">
        <v>2089</v>
      </c>
    </row>
    <row r="1449" spans="1:23" ht="13.15" customHeight="1" x14ac:dyDescent="0.2">
      <c r="A1449" s="2" t="s">
        <v>2241</v>
      </c>
      <c r="B1449" s="2">
        <f t="shared" si="44"/>
        <v>2019</v>
      </c>
      <c r="C1449" s="2" t="str">
        <f t="shared" si="45"/>
        <v>EC101</v>
      </c>
      <c r="D1449" s="2">
        <v>831</v>
      </c>
      <c r="F1449" s="1764"/>
      <c r="G1449" s="1764"/>
      <c r="H1449" s="1764"/>
      <c r="I1449" s="1764"/>
      <c r="J1449" s="1764"/>
      <c r="K1449" s="1764"/>
      <c r="L1449" s="1764"/>
      <c r="M1449" s="1765"/>
      <c r="N1449" s="1765"/>
      <c r="O1449" s="1765"/>
      <c r="P1449" s="1765"/>
      <c r="Q1449" s="1765"/>
      <c r="W1449" t="s">
        <v>2089</v>
      </c>
    </row>
    <row r="1450" spans="1:23" ht="13.15" customHeight="1" x14ac:dyDescent="0.2">
      <c r="A1450" s="2" t="s">
        <v>2241</v>
      </c>
      <c r="B1450" s="2">
        <f t="shared" si="44"/>
        <v>2019</v>
      </c>
      <c r="C1450" s="2" t="str">
        <f t="shared" si="45"/>
        <v>EC101</v>
      </c>
      <c r="D1450" s="2">
        <v>832</v>
      </c>
      <c r="F1450" s="1764"/>
      <c r="G1450" s="1764"/>
      <c r="H1450" s="1764"/>
      <c r="I1450" s="1764"/>
      <c r="J1450" s="1764"/>
      <c r="K1450" s="1764"/>
      <c r="L1450" s="1764"/>
      <c r="M1450" s="1765"/>
      <c r="N1450" s="1765"/>
      <c r="O1450" s="1765"/>
      <c r="P1450" s="1765"/>
      <c r="Q1450" s="1765"/>
      <c r="W1450" t="s">
        <v>2089</v>
      </c>
    </row>
    <row r="1451" spans="1:23" ht="13.15" customHeight="1" x14ac:dyDescent="0.2">
      <c r="A1451" s="2" t="s">
        <v>2241</v>
      </c>
      <c r="B1451" s="2">
        <f t="shared" si="44"/>
        <v>2019</v>
      </c>
      <c r="C1451" s="2" t="str">
        <f t="shared" si="45"/>
        <v>EC101</v>
      </c>
      <c r="D1451" s="2">
        <v>833</v>
      </c>
      <c r="F1451" s="1764"/>
      <c r="G1451" s="1764"/>
      <c r="H1451" s="1764"/>
      <c r="I1451" s="1764"/>
      <c r="J1451" s="1764"/>
      <c r="K1451" s="1764"/>
      <c r="L1451" s="1764"/>
      <c r="M1451" s="1765"/>
      <c r="N1451" s="1765"/>
      <c r="O1451" s="1765"/>
      <c r="P1451" s="1765"/>
      <c r="Q1451" s="1765"/>
      <c r="W1451" t="s">
        <v>2089</v>
      </c>
    </row>
    <row r="1452" spans="1:23" ht="13.15" customHeight="1" x14ac:dyDescent="0.2">
      <c r="A1452" s="2" t="s">
        <v>2241</v>
      </c>
      <c r="B1452" s="2">
        <f t="shared" si="44"/>
        <v>2019</v>
      </c>
      <c r="C1452" s="2" t="str">
        <f t="shared" si="45"/>
        <v>EC101</v>
      </c>
      <c r="D1452" s="2">
        <v>834</v>
      </c>
      <c r="F1452" s="1764"/>
      <c r="G1452" s="1764"/>
      <c r="H1452" s="1764"/>
      <c r="I1452" s="1764"/>
      <c r="J1452" s="1764"/>
      <c r="K1452" s="1764"/>
      <c r="L1452" s="1764"/>
      <c r="M1452" s="1765"/>
      <c r="N1452" s="1765"/>
      <c r="O1452" s="1765"/>
      <c r="P1452" s="1765"/>
      <c r="Q1452" s="1765"/>
      <c r="W1452" t="s">
        <v>2089</v>
      </c>
    </row>
    <row r="1453" spans="1:23" ht="13.15" customHeight="1" x14ac:dyDescent="0.2">
      <c r="A1453" s="2" t="s">
        <v>2241</v>
      </c>
      <c r="B1453" s="2">
        <f t="shared" si="44"/>
        <v>2019</v>
      </c>
      <c r="C1453" s="2" t="str">
        <f t="shared" si="45"/>
        <v>EC101</v>
      </c>
      <c r="D1453" s="2">
        <v>835</v>
      </c>
      <c r="F1453" s="1764"/>
      <c r="G1453" s="1764"/>
      <c r="H1453" s="1764"/>
      <c r="I1453" s="1764"/>
      <c r="J1453" s="1764"/>
      <c r="K1453" s="1764"/>
      <c r="L1453" s="1764"/>
      <c r="M1453" s="1765"/>
      <c r="N1453" s="1765"/>
      <c r="O1453" s="1765"/>
      <c r="P1453" s="1765"/>
      <c r="Q1453" s="1765"/>
      <c r="W1453" t="s">
        <v>2089</v>
      </c>
    </row>
    <row r="1454" spans="1:23" ht="13.15" customHeight="1" x14ac:dyDescent="0.2">
      <c r="A1454" s="2" t="s">
        <v>2241</v>
      </c>
      <c r="B1454" s="2">
        <f t="shared" si="44"/>
        <v>2019</v>
      </c>
      <c r="C1454" s="2" t="str">
        <f t="shared" si="45"/>
        <v>EC101</v>
      </c>
      <c r="D1454" s="2">
        <v>836</v>
      </c>
      <c r="F1454" s="1764"/>
      <c r="G1454" s="1764"/>
      <c r="H1454" s="1764"/>
      <c r="I1454" s="1764"/>
      <c r="J1454" s="1764"/>
      <c r="K1454" s="1764"/>
      <c r="L1454" s="1764"/>
      <c r="M1454" s="1765"/>
      <c r="N1454" s="1765"/>
      <c r="O1454" s="1765"/>
      <c r="P1454" s="1765"/>
      <c r="Q1454" s="1765"/>
      <c r="W1454" t="s">
        <v>2089</v>
      </c>
    </row>
    <row r="1455" spans="1:23" ht="13.15" customHeight="1" x14ac:dyDescent="0.2">
      <c r="A1455" s="2" t="s">
        <v>2241</v>
      </c>
      <c r="B1455" s="2">
        <f t="shared" si="44"/>
        <v>2019</v>
      </c>
      <c r="C1455" s="2" t="str">
        <f t="shared" si="45"/>
        <v>EC101</v>
      </c>
      <c r="D1455" s="2">
        <v>837</v>
      </c>
      <c r="F1455" s="1764"/>
      <c r="G1455" s="1764"/>
      <c r="H1455" s="1764"/>
      <c r="I1455" s="1764"/>
      <c r="J1455" s="1764"/>
      <c r="K1455" s="1764"/>
      <c r="L1455" s="1764"/>
      <c r="M1455" s="1765"/>
      <c r="N1455" s="1765"/>
      <c r="O1455" s="1765"/>
      <c r="P1455" s="1765"/>
      <c r="Q1455" s="1765"/>
      <c r="W1455" t="s">
        <v>2089</v>
      </c>
    </row>
    <row r="1456" spans="1:23" ht="13.15" customHeight="1" x14ac:dyDescent="0.2">
      <c r="A1456" s="2" t="s">
        <v>2241</v>
      </c>
      <c r="B1456" s="2">
        <f t="shared" si="44"/>
        <v>2019</v>
      </c>
      <c r="C1456" s="2" t="str">
        <f t="shared" si="45"/>
        <v>EC101</v>
      </c>
      <c r="D1456" s="2">
        <v>838</v>
      </c>
      <c r="F1456" s="1764"/>
      <c r="G1456" s="1764"/>
      <c r="H1456" s="1764"/>
      <c r="I1456" s="1764"/>
      <c r="J1456" s="1764"/>
      <c r="K1456" s="1764"/>
      <c r="L1456" s="1764"/>
      <c r="M1456" s="1765"/>
      <c r="N1456" s="1765"/>
      <c r="O1456" s="1765"/>
      <c r="P1456" s="1765"/>
      <c r="Q1456" s="1765"/>
      <c r="W1456" t="s">
        <v>2089</v>
      </c>
    </row>
    <row r="1457" spans="1:23" ht="13.15" customHeight="1" x14ac:dyDescent="0.2">
      <c r="A1457" s="2" t="s">
        <v>2241</v>
      </c>
      <c r="B1457" s="2">
        <f t="shared" si="44"/>
        <v>2019</v>
      </c>
      <c r="C1457" s="2" t="str">
        <f t="shared" si="45"/>
        <v>EC101</v>
      </c>
      <c r="D1457" s="2">
        <v>839</v>
      </c>
      <c r="F1457" s="1764"/>
      <c r="G1457" s="1764"/>
      <c r="H1457" s="1764"/>
      <c r="I1457" s="1764"/>
      <c r="J1457" s="1764"/>
      <c r="K1457" s="1764"/>
      <c r="L1457" s="1764"/>
      <c r="M1457" s="1765"/>
      <c r="N1457" s="1765"/>
      <c r="O1457" s="1765"/>
      <c r="P1457" s="1765"/>
      <c r="Q1457" s="1765"/>
      <c r="W1457" t="s">
        <v>2089</v>
      </c>
    </row>
    <row r="1458" spans="1:23" ht="13.15" customHeight="1" x14ac:dyDescent="0.2">
      <c r="A1458" s="2" t="s">
        <v>2241</v>
      </c>
      <c r="B1458" s="2">
        <f t="shared" si="44"/>
        <v>2019</v>
      </c>
      <c r="C1458" s="2" t="str">
        <f t="shared" si="45"/>
        <v>EC101</v>
      </c>
      <c r="D1458" s="2">
        <v>840</v>
      </c>
      <c r="F1458" s="1764"/>
      <c r="G1458" s="1764"/>
      <c r="H1458" s="1764"/>
      <c r="I1458" s="1764"/>
      <c r="J1458" s="1764"/>
      <c r="K1458" s="1764"/>
      <c r="L1458" s="1764"/>
      <c r="M1458" s="1765"/>
      <c r="N1458" s="1765"/>
      <c r="O1458" s="1765"/>
      <c r="P1458" s="1765"/>
      <c r="Q1458" s="1765"/>
      <c r="W1458" t="s">
        <v>2089</v>
      </c>
    </row>
    <row r="1459" spans="1:23" ht="13.15" customHeight="1" x14ac:dyDescent="0.2">
      <c r="A1459" s="2" t="s">
        <v>2241</v>
      </c>
      <c r="B1459" s="2">
        <f t="shared" si="44"/>
        <v>2019</v>
      </c>
      <c r="C1459" s="2" t="str">
        <f t="shared" si="45"/>
        <v>EC101</v>
      </c>
      <c r="D1459" s="2">
        <v>841</v>
      </c>
      <c r="F1459" s="1764"/>
      <c r="G1459" s="1764"/>
      <c r="H1459" s="1764"/>
      <c r="I1459" s="1764"/>
      <c r="J1459" s="1764"/>
      <c r="K1459" s="1764"/>
      <c r="L1459" s="1764"/>
      <c r="M1459" s="1765"/>
      <c r="N1459" s="1765"/>
      <c r="O1459" s="1765"/>
      <c r="P1459" s="1765"/>
      <c r="Q1459" s="1765"/>
      <c r="W1459" t="s">
        <v>2089</v>
      </c>
    </row>
    <row r="1460" spans="1:23" ht="13.15" customHeight="1" x14ac:dyDescent="0.2">
      <c r="A1460" s="2" t="s">
        <v>2241</v>
      </c>
      <c r="B1460" s="2">
        <f t="shared" si="44"/>
        <v>2019</v>
      </c>
      <c r="C1460" s="2" t="str">
        <f t="shared" si="45"/>
        <v>EC101</v>
      </c>
      <c r="D1460" s="2">
        <v>842</v>
      </c>
      <c r="F1460" s="1764"/>
      <c r="G1460" s="1764"/>
      <c r="H1460" s="1764"/>
      <c r="I1460" s="1764"/>
      <c r="J1460" s="1764"/>
      <c r="K1460" s="1764"/>
      <c r="L1460" s="1764"/>
      <c r="M1460" s="1765"/>
      <c r="N1460" s="1765"/>
      <c r="O1460" s="1765"/>
      <c r="P1460" s="1765"/>
      <c r="Q1460" s="1765"/>
      <c r="W1460" t="s">
        <v>2089</v>
      </c>
    </row>
    <row r="1461" spans="1:23" ht="13.15" customHeight="1" x14ac:dyDescent="0.2">
      <c r="A1461" s="2" t="s">
        <v>2241</v>
      </c>
      <c r="B1461" s="2">
        <f t="shared" si="44"/>
        <v>2019</v>
      </c>
      <c r="C1461" s="2" t="str">
        <f t="shared" si="45"/>
        <v>EC101</v>
      </c>
      <c r="D1461" s="2">
        <v>843</v>
      </c>
      <c r="F1461" s="1764"/>
      <c r="G1461" s="1764"/>
      <c r="H1461" s="1764"/>
      <c r="I1461" s="1764"/>
      <c r="J1461" s="1764"/>
      <c r="K1461" s="1764"/>
      <c r="L1461" s="1764"/>
      <c r="M1461" s="1765"/>
      <c r="N1461" s="1765"/>
      <c r="O1461" s="1765"/>
      <c r="P1461" s="1765"/>
      <c r="Q1461" s="1765"/>
      <c r="W1461" t="s">
        <v>2089</v>
      </c>
    </row>
    <row r="1462" spans="1:23" ht="13.15" customHeight="1" x14ac:dyDescent="0.2">
      <c r="A1462" s="2" t="s">
        <v>2241</v>
      </c>
      <c r="B1462" s="2">
        <f t="shared" si="44"/>
        <v>2019</v>
      </c>
      <c r="C1462" s="2" t="str">
        <f t="shared" si="45"/>
        <v>EC101</v>
      </c>
      <c r="D1462" s="2">
        <v>844</v>
      </c>
      <c r="F1462" s="1764"/>
      <c r="G1462" s="1764"/>
      <c r="H1462" s="1764"/>
      <c r="I1462" s="1764"/>
      <c r="J1462" s="1764"/>
      <c r="K1462" s="1764"/>
      <c r="L1462" s="1764"/>
      <c r="M1462" s="1765"/>
      <c r="N1462" s="1765"/>
      <c r="O1462" s="1765"/>
      <c r="P1462" s="1765"/>
      <c r="Q1462" s="1765"/>
      <c r="W1462" t="s">
        <v>2089</v>
      </c>
    </row>
    <row r="1463" spans="1:23" ht="13.15" customHeight="1" x14ac:dyDescent="0.2">
      <c r="A1463" s="2" t="s">
        <v>2241</v>
      </c>
      <c r="B1463" s="2">
        <f t="shared" si="44"/>
        <v>2019</v>
      </c>
      <c r="C1463" s="2" t="str">
        <f t="shared" si="45"/>
        <v>EC101</v>
      </c>
      <c r="D1463" s="2">
        <v>845</v>
      </c>
      <c r="F1463" s="1764"/>
      <c r="G1463" s="1764"/>
      <c r="H1463" s="1764"/>
      <c r="I1463" s="1764"/>
      <c r="J1463" s="1764"/>
      <c r="K1463" s="1764"/>
      <c r="L1463" s="1764"/>
      <c r="M1463" s="1765"/>
      <c r="N1463" s="1765"/>
      <c r="O1463" s="1765"/>
      <c r="P1463" s="1765"/>
      <c r="Q1463" s="1765"/>
      <c r="W1463" t="s">
        <v>2089</v>
      </c>
    </row>
    <row r="1464" spans="1:23" ht="13.15" customHeight="1" x14ac:dyDescent="0.2">
      <c r="A1464" s="2" t="s">
        <v>2241</v>
      </c>
      <c r="B1464" s="2">
        <f t="shared" si="44"/>
        <v>2019</v>
      </c>
      <c r="C1464" s="2" t="str">
        <f t="shared" si="45"/>
        <v>EC101</v>
      </c>
      <c r="D1464" s="2">
        <v>846</v>
      </c>
      <c r="F1464" s="1764"/>
      <c r="G1464" s="1764"/>
      <c r="H1464" s="1764"/>
      <c r="I1464" s="1764"/>
      <c r="J1464" s="1764"/>
      <c r="K1464" s="1764"/>
      <c r="L1464" s="1764"/>
      <c r="M1464" s="1765"/>
      <c r="N1464" s="1765"/>
      <c r="O1464" s="1765"/>
      <c r="P1464" s="1765"/>
      <c r="Q1464" s="1765"/>
      <c r="W1464" t="s">
        <v>2089</v>
      </c>
    </row>
    <row r="1465" spans="1:23" ht="13.15" customHeight="1" x14ac:dyDescent="0.2">
      <c r="A1465" s="2" t="s">
        <v>2241</v>
      </c>
      <c r="B1465" s="2">
        <f t="shared" si="44"/>
        <v>2019</v>
      </c>
      <c r="C1465" s="2" t="str">
        <f t="shared" si="45"/>
        <v>EC101</v>
      </c>
      <c r="D1465" s="2">
        <v>847</v>
      </c>
      <c r="F1465" s="1764"/>
      <c r="G1465" s="1764"/>
      <c r="H1465" s="1764"/>
      <c r="I1465" s="1764"/>
      <c r="J1465" s="1764"/>
      <c r="K1465" s="1764"/>
      <c r="L1465" s="1764"/>
      <c r="M1465" s="1765"/>
      <c r="N1465" s="1765"/>
      <c r="O1465" s="1765"/>
      <c r="P1465" s="1765"/>
      <c r="Q1465" s="1765"/>
      <c r="W1465" t="s">
        <v>2089</v>
      </c>
    </row>
    <row r="1466" spans="1:23" ht="13.15" customHeight="1" x14ac:dyDescent="0.2">
      <c r="A1466" s="2" t="s">
        <v>2241</v>
      </c>
      <c r="B1466" s="2">
        <f t="shared" si="44"/>
        <v>2019</v>
      </c>
      <c r="C1466" s="2" t="str">
        <f t="shared" si="45"/>
        <v>EC101</v>
      </c>
      <c r="D1466" s="2">
        <v>848</v>
      </c>
      <c r="F1466" s="1764"/>
      <c r="G1466" s="1764"/>
      <c r="H1466" s="1764"/>
      <c r="I1466" s="1764"/>
      <c r="J1466" s="1764"/>
      <c r="K1466" s="1764"/>
      <c r="L1466" s="1764"/>
      <c r="M1466" s="1765"/>
      <c r="N1466" s="1765"/>
      <c r="O1466" s="1765"/>
      <c r="P1466" s="1765"/>
      <c r="Q1466" s="1765"/>
      <c r="W1466" t="s">
        <v>2089</v>
      </c>
    </row>
    <row r="1467" spans="1:23" ht="13.15" customHeight="1" x14ac:dyDescent="0.2">
      <c r="A1467" s="2" t="s">
        <v>2241</v>
      </c>
      <c r="B1467" s="2">
        <f t="shared" si="44"/>
        <v>2019</v>
      </c>
      <c r="C1467" s="2" t="str">
        <f t="shared" si="45"/>
        <v>EC101</v>
      </c>
      <c r="D1467" s="2">
        <v>849</v>
      </c>
      <c r="F1467" s="1764"/>
      <c r="G1467" s="1764"/>
      <c r="H1467" s="1764"/>
      <c r="I1467" s="1764"/>
      <c r="J1467" s="1764"/>
      <c r="K1467" s="1764"/>
      <c r="L1467" s="1764"/>
      <c r="M1467" s="1765"/>
      <c r="N1467" s="1765"/>
      <c r="O1467" s="1765"/>
      <c r="P1467" s="1765"/>
      <c r="Q1467" s="1765"/>
      <c r="W1467" t="s">
        <v>2089</v>
      </c>
    </row>
    <row r="1468" spans="1:23" ht="13.15" customHeight="1" x14ac:dyDescent="0.2">
      <c r="A1468" s="2" t="s">
        <v>2241</v>
      </c>
      <c r="B1468" s="2">
        <f t="shared" si="44"/>
        <v>2019</v>
      </c>
      <c r="C1468" s="2" t="str">
        <f t="shared" si="45"/>
        <v>EC101</v>
      </c>
      <c r="D1468" s="2">
        <v>850</v>
      </c>
      <c r="F1468" s="1764"/>
      <c r="G1468" s="1764"/>
      <c r="H1468" s="1764"/>
      <c r="I1468" s="1764"/>
      <c r="J1468" s="1764"/>
      <c r="K1468" s="1764"/>
      <c r="L1468" s="1764"/>
      <c r="M1468" s="1765"/>
      <c r="N1468" s="1765"/>
      <c r="O1468" s="1765"/>
      <c r="P1468" s="1765"/>
      <c r="Q1468" s="1765"/>
      <c r="W1468" t="s">
        <v>2089</v>
      </c>
    </row>
    <row r="1469" spans="1:23" ht="13.15" customHeight="1" x14ac:dyDescent="0.2">
      <c r="A1469" s="2" t="s">
        <v>2241</v>
      </c>
      <c r="B1469" s="2">
        <f t="shared" si="44"/>
        <v>2019</v>
      </c>
      <c r="C1469" s="2" t="str">
        <f t="shared" si="45"/>
        <v>EC101</v>
      </c>
      <c r="D1469" s="2">
        <v>851</v>
      </c>
      <c r="F1469" s="1764"/>
      <c r="G1469" s="1764"/>
      <c r="H1469" s="1764"/>
      <c r="I1469" s="1764"/>
      <c r="J1469" s="1764"/>
      <c r="K1469" s="1764"/>
      <c r="L1469" s="1764"/>
      <c r="M1469" s="1765"/>
      <c r="N1469" s="1765"/>
      <c r="O1469" s="1765"/>
      <c r="P1469" s="1765"/>
      <c r="Q1469" s="1765"/>
      <c r="W1469" t="s">
        <v>2089</v>
      </c>
    </row>
    <row r="1470" spans="1:23" ht="13.15" customHeight="1" x14ac:dyDescent="0.2">
      <c r="A1470" s="2" t="s">
        <v>2241</v>
      </c>
      <c r="B1470" s="2">
        <f t="shared" si="44"/>
        <v>2019</v>
      </c>
      <c r="C1470" s="2" t="str">
        <f t="shared" si="45"/>
        <v>EC101</v>
      </c>
      <c r="D1470" s="2">
        <v>852</v>
      </c>
      <c r="F1470" s="1764"/>
      <c r="G1470" s="1764"/>
      <c r="H1470" s="1764"/>
      <c r="I1470" s="1764"/>
      <c r="J1470" s="1764"/>
      <c r="K1470" s="1764"/>
      <c r="L1470" s="1764"/>
      <c r="M1470" s="1765"/>
      <c r="N1470" s="1765"/>
      <c r="O1470" s="1765"/>
      <c r="P1470" s="1765"/>
      <c r="Q1470" s="1765"/>
      <c r="W1470" t="s">
        <v>2089</v>
      </c>
    </row>
    <row r="1471" spans="1:23" ht="13.15" customHeight="1" x14ac:dyDescent="0.2">
      <c r="A1471" s="2" t="s">
        <v>2241</v>
      </c>
      <c r="B1471" s="2">
        <f t="shared" si="44"/>
        <v>2019</v>
      </c>
      <c r="C1471" s="2" t="str">
        <f t="shared" si="45"/>
        <v>EC101</v>
      </c>
      <c r="D1471" s="2">
        <v>853</v>
      </c>
      <c r="F1471" s="1764"/>
      <c r="G1471" s="1764"/>
      <c r="H1471" s="1764"/>
      <c r="I1471" s="1764"/>
      <c r="J1471" s="1764"/>
      <c r="K1471" s="1764"/>
      <c r="L1471" s="1764"/>
      <c r="M1471" s="1765"/>
      <c r="N1471" s="1765"/>
      <c r="O1471" s="1765"/>
      <c r="P1471" s="1765"/>
      <c r="Q1471" s="1765"/>
      <c r="W1471" t="s">
        <v>2089</v>
      </c>
    </row>
    <row r="1472" spans="1:23" ht="13.15" customHeight="1" x14ac:dyDescent="0.2">
      <c r="A1472" s="2" t="s">
        <v>2241</v>
      </c>
      <c r="B1472" s="2">
        <f t="shared" si="44"/>
        <v>2019</v>
      </c>
      <c r="C1472" s="2" t="str">
        <f t="shared" si="45"/>
        <v>EC101</v>
      </c>
      <c r="D1472" s="2">
        <v>854</v>
      </c>
      <c r="F1472" s="1764"/>
      <c r="G1472" s="1764"/>
      <c r="H1472" s="1764"/>
      <c r="I1472" s="1764"/>
      <c r="J1472" s="1764"/>
      <c r="K1472" s="1764"/>
      <c r="L1472" s="1764"/>
      <c r="M1472" s="1765"/>
      <c r="N1472" s="1765"/>
      <c r="O1472" s="1765"/>
      <c r="P1472" s="1765"/>
      <c r="Q1472" s="1765"/>
      <c r="W1472" t="s">
        <v>2089</v>
      </c>
    </row>
    <row r="1473" spans="1:23" ht="13.15" customHeight="1" x14ac:dyDescent="0.2">
      <c r="A1473" s="2" t="s">
        <v>2241</v>
      </c>
      <c r="B1473" s="2">
        <f t="shared" si="44"/>
        <v>2019</v>
      </c>
      <c r="C1473" s="2" t="str">
        <f t="shared" si="45"/>
        <v>EC101</v>
      </c>
      <c r="D1473" s="2">
        <v>855</v>
      </c>
      <c r="F1473" s="1764"/>
      <c r="G1473" s="1764"/>
      <c r="H1473" s="1764"/>
      <c r="I1473" s="1764"/>
      <c r="J1473" s="1764"/>
      <c r="K1473" s="1764"/>
      <c r="L1473" s="1764"/>
      <c r="M1473" s="1765"/>
      <c r="N1473" s="1765"/>
      <c r="O1473" s="1765"/>
      <c r="P1473" s="1765"/>
      <c r="Q1473" s="1765"/>
      <c r="W1473" t="s">
        <v>2089</v>
      </c>
    </row>
    <row r="1474" spans="1:23" ht="13.15" customHeight="1" x14ac:dyDescent="0.2">
      <c r="A1474" s="2" t="s">
        <v>2241</v>
      </c>
      <c r="B1474" s="2">
        <f t="shared" ref="B1474:B1537" si="46">+MTREF</f>
        <v>2019</v>
      </c>
      <c r="C1474" s="2" t="str">
        <f t="shared" ref="C1474:C1537" si="47">LEFT(muni,(FIND(" ",muni,1)-1))</f>
        <v>EC101</v>
      </c>
      <c r="D1474" s="2">
        <v>856</v>
      </c>
      <c r="F1474" s="1764"/>
      <c r="G1474" s="1764"/>
      <c r="H1474" s="1764"/>
      <c r="I1474" s="1764"/>
      <c r="J1474" s="1764"/>
      <c r="K1474" s="1764"/>
      <c r="L1474" s="1764"/>
      <c r="M1474" s="1765"/>
      <c r="N1474" s="1765"/>
      <c r="O1474" s="1765"/>
      <c r="P1474" s="1765"/>
      <c r="Q1474" s="1765"/>
      <c r="W1474" t="s">
        <v>2089</v>
      </c>
    </row>
    <row r="1475" spans="1:23" ht="13.15" customHeight="1" x14ac:dyDescent="0.2">
      <c r="A1475" s="2" t="s">
        <v>2241</v>
      </c>
      <c r="B1475" s="2">
        <f t="shared" si="46"/>
        <v>2019</v>
      </c>
      <c r="C1475" s="2" t="str">
        <f t="shared" si="47"/>
        <v>EC101</v>
      </c>
      <c r="D1475" s="2">
        <v>857</v>
      </c>
      <c r="F1475" s="1764"/>
      <c r="G1475" s="1764"/>
      <c r="H1475" s="1764"/>
      <c r="I1475" s="1764"/>
      <c r="J1475" s="1764"/>
      <c r="K1475" s="1764"/>
      <c r="L1475" s="1764"/>
      <c r="M1475" s="1765"/>
      <c r="N1475" s="1765"/>
      <c r="O1475" s="1765"/>
      <c r="P1475" s="1765"/>
      <c r="Q1475" s="1765"/>
      <c r="W1475" t="s">
        <v>2089</v>
      </c>
    </row>
    <row r="1476" spans="1:23" ht="13.15" customHeight="1" x14ac:dyDescent="0.2">
      <c r="A1476" s="2" t="s">
        <v>2241</v>
      </c>
      <c r="B1476" s="2">
        <f t="shared" si="46"/>
        <v>2019</v>
      </c>
      <c r="C1476" s="2" t="str">
        <f t="shared" si="47"/>
        <v>EC101</v>
      </c>
      <c r="D1476" s="2">
        <v>858</v>
      </c>
      <c r="F1476" s="1764"/>
      <c r="G1476" s="1764"/>
      <c r="H1476" s="1764"/>
      <c r="I1476" s="1764"/>
      <c r="J1476" s="1764"/>
      <c r="K1476" s="1764"/>
      <c r="L1476" s="1764"/>
      <c r="M1476" s="1765"/>
      <c r="N1476" s="1765"/>
      <c r="O1476" s="1765"/>
      <c r="P1476" s="1765"/>
      <c r="Q1476" s="1765"/>
      <c r="W1476" t="s">
        <v>2089</v>
      </c>
    </row>
    <row r="1477" spans="1:23" ht="13.15" customHeight="1" x14ac:dyDescent="0.2">
      <c r="A1477" s="2" t="s">
        <v>2241</v>
      </c>
      <c r="B1477" s="2">
        <f t="shared" si="46"/>
        <v>2019</v>
      </c>
      <c r="C1477" s="2" t="str">
        <f t="shared" si="47"/>
        <v>EC101</v>
      </c>
      <c r="D1477" s="2">
        <v>859</v>
      </c>
      <c r="F1477" s="1764"/>
      <c r="G1477" s="1764"/>
      <c r="H1477" s="1764"/>
      <c r="I1477" s="1764"/>
      <c r="J1477" s="1764"/>
      <c r="K1477" s="1764"/>
      <c r="L1477" s="1764"/>
      <c r="M1477" s="1765"/>
      <c r="N1477" s="1765"/>
      <c r="O1477" s="1765"/>
      <c r="P1477" s="1765"/>
      <c r="Q1477" s="1765"/>
      <c r="W1477" t="s">
        <v>2089</v>
      </c>
    </row>
    <row r="1478" spans="1:23" ht="13.15" customHeight="1" x14ac:dyDescent="0.2">
      <c r="A1478" s="2" t="s">
        <v>2241</v>
      </c>
      <c r="B1478" s="2">
        <f t="shared" si="46"/>
        <v>2019</v>
      </c>
      <c r="C1478" s="2" t="str">
        <f t="shared" si="47"/>
        <v>EC101</v>
      </c>
      <c r="D1478" s="2">
        <v>860</v>
      </c>
      <c r="F1478" s="1764"/>
      <c r="G1478" s="1764"/>
      <c r="H1478" s="1764"/>
      <c r="I1478" s="1764"/>
      <c r="J1478" s="1764"/>
      <c r="K1478" s="1764"/>
      <c r="L1478" s="1764"/>
      <c r="M1478" s="1765"/>
      <c r="N1478" s="1765"/>
      <c r="O1478" s="1765"/>
      <c r="P1478" s="1765"/>
      <c r="Q1478" s="1765"/>
      <c r="W1478" t="s">
        <v>2089</v>
      </c>
    </row>
    <row r="1479" spans="1:23" ht="13.15" customHeight="1" x14ac:dyDescent="0.2">
      <c r="A1479" s="2" t="s">
        <v>2241</v>
      </c>
      <c r="B1479" s="2">
        <f t="shared" si="46"/>
        <v>2019</v>
      </c>
      <c r="C1479" s="2" t="str">
        <f t="shared" si="47"/>
        <v>EC101</v>
      </c>
      <c r="D1479" s="2">
        <v>861</v>
      </c>
      <c r="F1479" s="1764"/>
      <c r="G1479" s="1764"/>
      <c r="H1479" s="1764"/>
      <c r="I1479" s="1764"/>
      <c r="J1479" s="1764"/>
      <c r="K1479" s="1764"/>
      <c r="L1479" s="1764"/>
      <c r="M1479" s="1765"/>
      <c r="N1479" s="1765"/>
      <c r="O1479" s="1765"/>
      <c r="P1479" s="1765"/>
      <c r="Q1479" s="1765"/>
      <c r="W1479" t="s">
        <v>2089</v>
      </c>
    </row>
    <row r="1480" spans="1:23" ht="13.15" customHeight="1" x14ac:dyDescent="0.2">
      <c r="A1480" s="2" t="s">
        <v>2241</v>
      </c>
      <c r="B1480" s="2">
        <f t="shared" si="46"/>
        <v>2019</v>
      </c>
      <c r="C1480" s="2" t="str">
        <f t="shared" si="47"/>
        <v>EC101</v>
      </c>
      <c r="D1480" s="2">
        <v>862</v>
      </c>
      <c r="F1480" s="1764"/>
      <c r="G1480" s="1764"/>
      <c r="H1480" s="1764"/>
      <c r="I1480" s="1764"/>
      <c r="J1480" s="1764"/>
      <c r="K1480" s="1764"/>
      <c r="L1480" s="1764"/>
      <c r="M1480" s="1765"/>
      <c r="N1480" s="1765"/>
      <c r="O1480" s="1765"/>
      <c r="P1480" s="1765"/>
      <c r="Q1480" s="1765"/>
      <c r="W1480" t="s">
        <v>2089</v>
      </c>
    </row>
    <row r="1481" spans="1:23" ht="13.15" customHeight="1" x14ac:dyDescent="0.2">
      <c r="A1481" s="2" t="s">
        <v>2241</v>
      </c>
      <c r="B1481" s="2">
        <f t="shared" si="46"/>
        <v>2019</v>
      </c>
      <c r="C1481" s="2" t="str">
        <f t="shared" si="47"/>
        <v>EC101</v>
      </c>
      <c r="D1481" s="2">
        <v>863</v>
      </c>
      <c r="F1481" s="1764"/>
      <c r="G1481" s="1764"/>
      <c r="H1481" s="1764"/>
      <c r="I1481" s="1764"/>
      <c r="J1481" s="1764"/>
      <c r="K1481" s="1764"/>
      <c r="L1481" s="1764"/>
      <c r="M1481" s="1765"/>
      <c r="N1481" s="1765"/>
      <c r="O1481" s="1765"/>
      <c r="P1481" s="1765"/>
      <c r="Q1481" s="1765"/>
      <c r="W1481" t="s">
        <v>2089</v>
      </c>
    </row>
    <row r="1482" spans="1:23" ht="13.15" customHeight="1" x14ac:dyDescent="0.2">
      <c r="A1482" s="2" t="s">
        <v>2241</v>
      </c>
      <c r="B1482" s="2">
        <f t="shared" si="46"/>
        <v>2019</v>
      </c>
      <c r="C1482" s="2" t="str">
        <f t="shared" si="47"/>
        <v>EC101</v>
      </c>
      <c r="D1482" s="2">
        <v>864</v>
      </c>
      <c r="F1482" s="1764"/>
      <c r="G1482" s="1764"/>
      <c r="H1482" s="1764"/>
      <c r="I1482" s="1764"/>
      <c r="J1482" s="1764"/>
      <c r="K1482" s="1764"/>
      <c r="L1482" s="1764"/>
      <c r="M1482" s="1765"/>
      <c r="N1482" s="1765"/>
      <c r="O1482" s="1765"/>
      <c r="P1482" s="1765"/>
      <c r="Q1482" s="1765"/>
      <c r="W1482" t="s">
        <v>2089</v>
      </c>
    </row>
    <row r="1483" spans="1:23" ht="13.15" customHeight="1" x14ac:dyDescent="0.2">
      <c r="A1483" s="2" t="s">
        <v>2241</v>
      </c>
      <c r="B1483" s="2">
        <f t="shared" si="46"/>
        <v>2019</v>
      </c>
      <c r="C1483" s="2" t="str">
        <f t="shared" si="47"/>
        <v>EC101</v>
      </c>
      <c r="D1483" s="2">
        <v>865</v>
      </c>
      <c r="F1483" s="1764"/>
      <c r="G1483" s="1764"/>
      <c r="H1483" s="1764"/>
      <c r="I1483" s="1764"/>
      <c r="J1483" s="1764"/>
      <c r="K1483" s="1764"/>
      <c r="L1483" s="1764"/>
      <c r="M1483" s="1765"/>
      <c r="N1483" s="1765"/>
      <c r="O1483" s="1765"/>
      <c r="P1483" s="1765"/>
      <c r="Q1483" s="1765"/>
      <c r="W1483" t="s">
        <v>2089</v>
      </c>
    </row>
    <row r="1484" spans="1:23" ht="13.15" customHeight="1" x14ac:dyDescent="0.2">
      <c r="A1484" s="2" t="s">
        <v>2241</v>
      </c>
      <c r="B1484" s="2">
        <f t="shared" si="46"/>
        <v>2019</v>
      </c>
      <c r="C1484" s="2" t="str">
        <f t="shared" si="47"/>
        <v>EC101</v>
      </c>
      <c r="D1484" s="2">
        <v>866</v>
      </c>
      <c r="F1484" s="1764"/>
      <c r="G1484" s="1764"/>
      <c r="H1484" s="1764"/>
      <c r="I1484" s="1764"/>
      <c r="J1484" s="1764"/>
      <c r="K1484" s="1764"/>
      <c r="L1484" s="1764"/>
      <c r="M1484" s="1765"/>
      <c r="N1484" s="1765"/>
      <c r="O1484" s="1765"/>
      <c r="P1484" s="1765"/>
      <c r="Q1484" s="1765"/>
      <c r="W1484" t="s">
        <v>2089</v>
      </c>
    </row>
    <row r="1485" spans="1:23" ht="13.15" customHeight="1" x14ac:dyDescent="0.2">
      <c r="A1485" s="2" t="s">
        <v>2241</v>
      </c>
      <c r="B1485" s="2">
        <f t="shared" si="46"/>
        <v>2019</v>
      </c>
      <c r="C1485" s="2" t="str">
        <f t="shared" si="47"/>
        <v>EC101</v>
      </c>
      <c r="D1485" s="2">
        <v>867</v>
      </c>
      <c r="F1485" s="1764"/>
      <c r="G1485" s="1764"/>
      <c r="H1485" s="1764"/>
      <c r="I1485" s="1764"/>
      <c r="J1485" s="1764"/>
      <c r="K1485" s="1764"/>
      <c r="L1485" s="1764"/>
      <c r="M1485" s="1765"/>
      <c r="N1485" s="1765"/>
      <c r="O1485" s="1765"/>
      <c r="P1485" s="1765"/>
      <c r="Q1485" s="1765"/>
      <c r="W1485" t="s">
        <v>2089</v>
      </c>
    </row>
    <row r="1486" spans="1:23" ht="13.15" customHeight="1" x14ac:dyDescent="0.2">
      <c r="A1486" s="2" t="s">
        <v>2241</v>
      </c>
      <c r="B1486" s="2">
        <f t="shared" si="46"/>
        <v>2019</v>
      </c>
      <c r="C1486" s="2" t="str">
        <f t="shared" si="47"/>
        <v>EC101</v>
      </c>
      <c r="D1486" s="2">
        <v>868</v>
      </c>
      <c r="F1486" s="1764"/>
      <c r="G1486" s="1764"/>
      <c r="H1486" s="1764"/>
      <c r="I1486" s="1764"/>
      <c r="J1486" s="1764"/>
      <c r="K1486" s="1764"/>
      <c r="L1486" s="1764"/>
      <c r="M1486" s="1765"/>
      <c r="N1486" s="1765"/>
      <c r="O1486" s="1765"/>
      <c r="P1486" s="1765"/>
      <c r="Q1486" s="1765"/>
      <c r="W1486" t="s">
        <v>2089</v>
      </c>
    </row>
    <row r="1487" spans="1:23" ht="13.15" customHeight="1" x14ac:dyDescent="0.2">
      <c r="A1487" s="2" t="s">
        <v>2241</v>
      </c>
      <c r="B1487" s="2">
        <f t="shared" si="46"/>
        <v>2019</v>
      </c>
      <c r="C1487" s="2" t="str">
        <f t="shared" si="47"/>
        <v>EC101</v>
      </c>
      <c r="D1487" s="2">
        <v>869</v>
      </c>
      <c r="F1487" s="1764"/>
      <c r="G1487" s="1764"/>
      <c r="H1487" s="1764"/>
      <c r="I1487" s="1764"/>
      <c r="J1487" s="1764"/>
      <c r="K1487" s="1764"/>
      <c r="L1487" s="1764"/>
      <c r="M1487" s="1765"/>
      <c r="N1487" s="1765"/>
      <c r="O1487" s="1765"/>
      <c r="P1487" s="1765"/>
      <c r="Q1487" s="1765"/>
      <c r="W1487" t="s">
        <v>2089</v>
      </c>
    </row>
    <row r="1488" spans="1:23" ht="13.15" customHeight="1" x14ac:dyDescent="0.2">
      <c r="A1488" s="2" t="s">
        <v>2241</v>
      </c>
      <c r="B1488" s="2">
        <f t="shared" si="46"/>
        <v>2019</v>
      </c>
      <c r="C1488" s="2" t="str">
        <f t="shared" si="47"/>
        <v>EC101</v>
      </c>
      <c r="D1488" s="2">
        <v>870</v>
      </c>
      <c r="F1488" s="1764"/>
      <c r="G1488" s="1764"/>
      <c r="H1488" s="1764"/>
      <c r="I1488" s="1764"/>
      <c r="J1488" s="1764"/>
      <c r="K1488" s="1764"/>
      <c r="L1488" s="1764"/>
      <c r="M1488" s="1765"/>
      <c r="N1488" s="1765"/>
      <c r="O1488" s="1765"/>
      <c r="P1488" s="1765"/>
      <c r="Q1488" s="1765"/>
      <c r="W1488" t="s">
        <v>2089</v>
      </c>
    </row>
    <row r="1489" spans="1:23" ht="13.15" customHeight="1" x14ac:dyDescent="0.2">
      <c r="A1489" s="2" t="s">
        <v>2241</v>
      </c>
      <c r="B1489" s="2">
        <f t="shared" si="46"/>
        <v>2019</v>
      </c>
      <c r="C1489" s="2" t="str">
        <f t="shared" si="47"/>
        <v>EC101</v>
      </c>
      <c r="D1489" s="2">
        <v>871</v>
      </c>
      <c r="F1489" s="1764"/>
      <c r="G1489" s="1764"/>
      <c r="H1489" s="1764"/>
      <c r="I1489" s="1764"/>
      <c r="J1489" s="1764"/>
      <c r="K1489" s="1764"/>
      <c r="L1489" s="1764"/>
      <c r="M1489" s="1765"/>
      <c r="N1489" s="1765"/>
      <c r="O1489" s="1765"/>
      <c r="P1489" s="1765"/>
      <c r="Q1489" s="1765"/>
      <c r="W1489" t="s">
        <v>2089</v>
      </c>
    </row>
    <row r="1490" spans="1:23" ht="13.15" customHeight="1" x14ac:dyDescent="0.2">
      <c r="A1490" s="2" t="s">
        <v>2241</v>
      </c>
      <c r="B1490" s="2">
        <f t="shared" si="46"/>
        <v>2019</v>
      </c>
      <c r="C1490" s="2" t="str">
        <f t="shared" si="47"/>
        <v>EC101</v>
      </c>
      <c r="D1490" s="2">
        <v>872</v>
      </c>
      <c r="F1490" s="1764"/>
      <c r="G1490" s="1764"/>
      <c r="H1490" s="1764"/>
      <c r="I1490" s="1764"/>
      <c r="J1490" s="1764"/>
      <c r="K1490" s="1764"/>
      <c r="L1490" s="1764"/>
      <c r="M1490" s="1765"/>
      <c r="N1490" s="1765"/>
      <c r="O1490" s="1765"/>
      <c r="P1490" s="1765"/>
      <c r="Q1490" s="1765"/>
      <c r="W1490" t="s">
        <v>2089</v>
      </c>
    </row>
    <row r="1491" spans="1:23" ht="13.15" customHeight="1" x14ac:dyDescent="0.2">
      <c r="A1491" s="2" t="s">
        <v>2241</v>
      </c>
      <c r="B1491" s="2">
        <f t="shared" si="46"/>
        <v>2019</v>
      </c>
      <c r="C1491" s="2" t="str">
        <f t="shared" si="47"/>
        <v>EC101</v>
      </c>
      <c r="D1491" s="2">
        <v>873</v>
      </c>
      <c r="F1491" s="1764"/>
      <c r="G1491" s="1764"/>
      <c r="H1491" s="1764"/>
      <c r="I1491" s="1764"/>
      <c r="J1491" s="1764"/>
      <c r="K1491" s="1764"/>
      <c r="L1491" s="1764"/>
      <c r="M1491" s="1765"/>
      <c r="N1491" s="1765"/>
      <c r="O1491" s="1765"/>
      <c r="P1491" s="1765"/>
      <c r="Q1491" s="1765"/>
      <c r="W1491" t="s">
        <v>2089</v>
      </c>
    </row>
    <row r="1492" spans="1:23" ht="13.15" customHeight="1" x14ac:dyDescent="0.2">
      <c r="A1492" s="2" t="s">
        <v>2241</v>
      </c>
      <c r="B1492" s="2">
        <f t="shared" si="46"/>
        <v>2019</v>
      </c>
      <c r="C1492" s="2" t="str">
        <f t="shared" si="47"/>
        <v>EC101</v>
      </c>
      <c r="D1492" s="2">
        <v>874</v>
      </c>
      <c r="F1492" s="1764"/>
      <c r="G1492" s="1764"/>
      <c r="H1492" s="1764"/>
      <c r="I1492" s="1764"/>
      <c r="J1492" s="1764"/>
      <c r="K1492" s="1764"/>
      <c r="L1492" s="1764"/>
      <c r="M1492" s="1765"/>
      <c r="N1492" s="1765"/>
      <c r="O1492" s="1765"/>
      <c r="P1492" s="1765"/>
      <c r="Q1492" s="1765"/>
      <c r="W1492" t="s">
        <v>2089</v>
      </c>
    </row>
    <row r="1493" spans="1:23" ht="13.15" customHeight="1" x14ac:dyDescent="0.2">
      <c r="A1493" s="2" t="s">
        <v>2241</v>
      </c>
      <c r="B1493" s="2">
        <f t="shared" si="46"/>
        <v>2019</v>
      </c>
      <c r="C1493" s="2" t="str">
        <f t="shared" si="47"/>
        <v>EC101</v>
      </c>
      <c r="D1493" s="2">
        <v>875</v>
      </c>
      <c r="F1493" s="1764"/>
      <c r="G1493" s="1764"/>
      <c r="H1493" s="1764"/>
      <c r="I1493" s="1764"/>
      <c r="J1493" s="1764"/>
      <c r="K1493" s="1764"/>
      <c r="L1493" s="1764"/>
      <c r="M1493" s="1765"/>
      <c r="N1493" s="1765"/>
      <c r="O1493" s="1765"/>
      <c r="P1493" s="1765"/>
      <c r="Q1493" s="1765"/>
      <c r="W1493" t="s">
        <v>2089</v>
      </c>
    </row>
    <row r="1494" spans="1:23" ht="13.15" customHeight="1" x14ac:dyDescent="0.2">
      <c r="A1494" s="2" t="s">
        <v>2241</v>
      </c>
      <c r="B1494" s="2">
        <f t="shared" si="46"/>
        <v>2019</v>
      </c>
      <c r="C1494" s="2" t="str">
        <f t="shared" si="47"/>
        <v>EC101</v>
      </c>
      <c r="D1494" s="2">
        <v>876</v>
      </c>
      <c r="F1494" s="1764"/>
      <c r="G1494" s="1764"/>
      <c r="H1494" s="1764"/>
      <c r="I1494" s="1764"/>
      <c r="J1494" s="1764"/>
      <c r="K1494" s="1764"/>
      <c r="L1494" s="1764"/>
      <c r="M1494" s="1765"/>
      <c r="N1494" s="1765"/>
      <c r="O1494" s="1765"/>
      <c r="P1494" s="1765"/>
      <c r="Q1494" s="1765"/>
      <c r="W1494" t="s">
        <v>2089</v>
      </c>
    </row>
    <row r="1495" spans="1:23" ht="13.15" customHeight="1" x14ac:dyDescent="0.2">
      <c r="A1495" s="2" t="s">
        <v>2241</v>
      </c>
      <c r="B1495" s="2">
        <f t="shared" si="46"/>
        <v>2019</v>
      </c>
      <c r="C1495" s="2" t="str">
        <f t="shared" si="47"/>
        <v>EC101</v>
      </c>
      <c r="D1495" s="2">
        <v>877</v>
      </c>
      <c r="F1495" s="1764"/>
      <c r="G1495" s="1764"/>
      <c r="H1495" s="1764"/>
      <c r="I1495" s="1764"/>
      <c r="J1495" s="1764"/>
      <c r="K1495" s="1764"/>
      <c r="L1495" s="1764"/>
      <c r="M1495" s="1765"/>
      <c r="N1495" s="1765"/>
      <c r="O1495" s="1765"/>
      <c r="P1495" s="1765"/>
      <c r="Q1495" s="1765"/>
      <c r="W1495" t="s">
        <v>2089</v>
      </c>
    </row>
    <row r="1496" spans="1:23" ht="13.15" customHeight="1" x14ac:dyDescent="0.2">
      <c r="A1496" s="2" t="s">
        <v>2241</v>
      </c>
      <c r="B1496" s="2">
        <f t="shared" si="46"/>
        <v>2019</v>
      </c>
      <c r="C1496" s="2" t="str">
        <f t="shared" si="47"/>
        <v>EC101</v>
      </c>
      <c r="D1496" s="2">
        <v>878</v>
      </c>
      <c r="F1496" s="1764"/>
      <c r="G1496" s="1764"/>
      <c r="H1496" s="1764"/>
      <c r="I1496" s="1764"/>
      <c r="J1496" s="1764"/>
      <c r="K1496" s="1764"/>
      <c r="L1496" s="1764"/>
      <c r="M1496" s="1765"/>
      <c r="N1496" s="1765"/>
      <c r="O1496" s="1765"/>
      <c r="P1496" s="1765"/>
      <c r="Q1496" s="1765"/>
      <c r="W1496" t="s">
        <v>2089</v>
      </c>
    </row>
    <row r="1497" spans="1:23" ht="13.15" customHeight="1" x14ac:dyDescent="0.2">
      <c r="A1497" s="2" t="s">
        <v>2241</v>
      </c>
      <c r="B1497" s="2">
        <f t="shared" si="46"/>
        <v>2019</v>
      </c>
      <c r="C1497" s="2" t="str">
        <f t="shared" si="47"/>
        <v>EC101</v>
      </c>
      <c r="D1497" s="2">
        <v>879</v>
      </c>
      <c r="F1497" s="1764"/>
      <c r="G1497" s="1764"/>
      <c r="H1497" s="1764"/>
      <c r="I1497" s="1764"/>
      <c r="J1497" s="1764"/>
      <c r="K1497" s="1764"/>
      <c r="L1497" s="1764"/>
      <c r="M1497" s="1765"/>
      <c r="N1497" s="1765"/>
      <c r="O1497" s="1765"/>
      <c r="P1497" s="1765"/>
      <c r="Q1497" s="1765"/>
      <c r="W1497" t="s">
        <v>2089</v>
      </c>
    </row>
    <row r="1498" spans="1:23" ht="13.15" customHeight="1" x14ac:dyDescent="0.2">
      <c r="A1498" s="2" t="s">
        <v>2241</v>
      </c>
      <c r="B1498" s="2">
        <f t="shared" si="46"/>
        <v>2019</v>
      </c>
      <c r="C1498" s="2" t="str">
        <f t="shared" si="47"/>
        <v>EC101</v>
      </c>
      <c r="D1498" s="2">
        <v>880</v>
      </c>
      <c r="F1498" s="1764"/>
      <c r="G1498" s="1764"/>
      <c r="H1498" s="1764"/>
      <c r="I1498" s="1764"/>
      <c r="J1498" s="1764"/>
      <c r="K1498" s="1764"/>
      <c r="L1498" s="1764"/>
      <c r="M1498" s="1765"/>
      <c r="N1498" s="1765"/>
      <c r="O1498" s="1765"/>
      <c r="P1498" s="1765"/>
      <c r="Q1498" s="1765"/>
      <c r="W1498" t="s">
        <v>2089</v>
      </c>
    </row>
    <row r="1499" spans="1:23" ht="13.15" customHeight="1" x14ac:dyDescent="0.2">
      <c r="A1499" s="2" t="s">
        <v>2241</v>
      </c>
      <c r="B1499" s="2">
        <f t="shared" si="46"/>
        <v>2019</v>
      </c>
      <c r="C1499" s="2" t="str">
        <f t="shared" si="47"/>
        <v>EC101</v>
      </c>
      <c r="D1499" s="2">
        <v>881</v>
      </c>
      <c r="F1499" s="1764"/>
      <c r="G1499" s="1764"/>
      <c r="H1499" s="1764"/>
      <c r="I1499" s="1764"/>
      <c r="J1499" s="1764"/>
      <c r="K1499" s="1764"/>
      <c r="L1499" s="1764"/>
      <c r="M1499" s="1765"/>
      <c r="N1499" s="1765"/>
      <c r="O1499" s="1765"/>
      <c r="P1499" s="1765"/>
      <c r="Q1499" s="1765"/>
      <c r="W1499" t="s">
        <v>2089</v>
      </c>
    </row>
    <row r="1500" spans="1:23" ht="13.15" customHeight="1" x14ac:dyDescent="0.2">
      <c r="A1500" s="2" t="s">
        <v>2241</v>
      </c>
      <c r="B1500" s="2">
        <f t="shared" si="46"/>
        <v>2019</v>
      </c>
      <c r="C1500" s="2" t="str">
        <f t="shared" si="47"/>
        <v>EC101</v>
      </c>
      <c r="D1500" s="2">
        <v>882</v>
      </c>
      <c r="F1500" s="1764"/>
      <c r="G1500" s="1764"/>
      <c r="H1500" s="1764"/>
      <c r="I1500" s="1764"/>
      <c r="J1500" s="1764"/>
      <c r="K1500" s="1764"/>
      <c r="L1500" s="1764"/>
      <c r="M1500" s="1765"/>
      <c r="N1500" s="1765"/>
      <c r="O1500" s="1765"/>
      <c r="P1500" s="1765"/>
      <c r="Q1500" s="1765"/>
      <c r="W1500" t="s">
        <v>2089</v>
      </c>
    </row>
    <row r="1501" spans="1:23" ht="13.15" customHeight="1" x14ac:dyDescent="0.2">
      <c r="A1501" s="2" t="s">
        <v>2241</v>
      </c>
      <c r="B1501" s="2">
        <f t="shared" si="46"/>
        <v>2019</v>
      </c>
      <c r="C1501" s="2" t="str">
        <f t="shared" si="47"/>
        <v>EC101</v>
      </c>
      <c r="D1501" s="2">
        <v>883</v>
      </c>
      <c r="F1501" s="1764"/>
      <c r="G1501" s="1764"/>
      <c r="H1501" s="1764"/>
      <c r="I1501" s="1764"/>
      <c r="J1501" s="1764"/>
      <c r="K1501" s="1764"/>
      <c r="L1501" s="1764"/>
      <c r="M1501" s="1765"/>
      <c r="N1501" s="1765"/>
      <c r="O1501" s="1765"/>
      <c r="P1501" s="1765"/>
      <c r="Q1501" s="1765"/>
      <c r="W1501" t="s">
        <v>2089</v>
      </c>
    </row>
    <row r="1502" spans="1:23" ht="13.15" customHeight="1" x14ac:dyDescent="0.2">
      <c r="A1502" s="2" t="s">
        <v>2241</v>
      </c>
      <c r="B1502" s="2">
        <f t="shared" si="46"/>
        <v>2019</v>
      </c>
      <c r="C1502" s="2" t="str">
        <f t="shared" si="47"/>
        <v>EC101</v>
      </c>
      <c r="D1502" s="2">
        <v>884</v>
      </c>
      <c r="F1502" s="1764"/>
      <c r="G1502" s="1764"/>
      <c r="H1502" s="1764"/>
      <c r="I1502" s="1764"/>
      <c r="J1502" s="1764"/>
      <c r="K1502" s="1764"/>
      <c r="L1502" s="1764"/>
      <c r="M1502" s="1765"/>
      <c r="N1502" s="1765"/>
      <c r="O1502" s="1765"/>
      <c r="P1502" s="1765"/>
      <c r="Q1502" s="1765"/>
      <c r="W1502" t="s">
        <v>2089</v>
      </c>
    </row>
    <row r="1503" spans="1:23" ht="13.15" customHeight="1" x14ac:dyDescent="0.2">
      <c r="A1503" s="2" t="s">
        <v>2241</v>
      </c>
      <c r="B1503" s="2">
        <f t="shared" si="46"/>
        <v>2019</v>
      </c>
      <c r="C1503" s="2" t="str">
        <f t="shared" si="47"/>
        <v>EC101</v>
      </c>
      <c r="D1503" s="2">
        <v>885</v>
      </c>
      <c r="F1503" s="1764"/>
      <c r="G1503" s="1764"/>
      <c r="H1503" s="1764"/>
      <c r="I1503" s="1764"/>
      <c r="J1503" s="1764"/>
      <c r="K1503" s="1764"/>
      <c r="L1503" s="1764"/>
      <c r="M1503" s="1765"/>
      <c r="N1503" s="1765"/>
      <c r="O1503" s="1765"/>
      <c r="P1503" s="1765"/>
      <c r="Q1503" s="1765"/>
      <c r="W1503" t="s">
        <v>2089</v>
      </c>
    </row>
    <row r="1504" spans="1:23" ht="13.15" customHeight="1" x14ac:dyDescent="0.2">
      <c r="A1504" s="2" t="s">
        <v>2241</v>
      </c>
      <c r="B1504" s="2">
        <f t="shared" si="46"/>
        <v>2019</v>
      </c>
      <c r="C1504" s="2" t="str">
        <f t="shared" si="47"/>
        <v>EC101</v>
      </c>
      <c r="D1504" s="2">
        <v>886</v>
      </c>
      <c r="F1504" s="1764"/>
      <c r="G1504" s="1764"/>
      <c r="H1504" s="1764"/>
      <c r="I1504" s="1764"/>
      <c r="J1504" s="1764"/>
      <c r="K1504" s="1764"/>
      <c r="L1504" s="1764"/>
      <c r="M1504" s="1765"/>
      <c r="N1504" s="1765"/>
      <c r="O1504" s="1765"/>
      <c r="P1504" s="1765"/>
      <c r="Q1504" s="1765"/>
      <c r="W1504" t="s">
        <v>2089</v>
      </c>
    </row>
    <row r="1505" spans="1:23" ht="13.15" customHeight="1" x14ac:dyDescent="0.2">
      <c r="A1505" s="2" t="s">
        <v>2241</v>
      </c>
      <c r="B1505" s="2">
        <f t="shared" si="46"/>
        <v>2019</v>
      </c>
      <c r="C1505" s="2" t="str">
        <f t="shared" si="47"/>
        <v>EC101</v>
      </c>
      <c r="D1505" s="2">
        <v>887</v>
      </c>
      <c r="F1505" s="1764"/>
      <c r="G1505" s="1764"/>
      <c r="H1505" s="1764"/>
      <c r="I1505" s="1764"/>
      <c r="J1505" s="1764"/>
      <c r="K1505" s="1764"/>
      <c r="L1505" s="1764"/>
      <c r="M1505" s="1765"/>
      <c r="N1505" s="1765"/>
      <c r="O1505" s="1765"/>
      <c r="P1505" s="1765"/>
      <c r="Q1505" s="1765"/>
      <c r="W1505" t="s">
        <v>2089</v>
      </c>
    </row>
    <row r="1506" spans="1:23" ht="13.15" customHeight="1" x14ac:dyDescent="0.2">
      <c r="A1506" s="2" t="s">
        <v>2241</v>
      </c>
      <c r="B1506" s="2">
        <f t="shared" si="46"/>
        <v>2019</v>
      </c>
      <c r="C1506" s="2" t="str">
        <f t="shared" si="47"/>
        <v>EC101</v>
      </c>
      <c r="D1506" s="2">
        <v>888</v>
      </c>
      <c r="F1506" s="1764"/>
      <c r="G1506" s="1764"/>
      <c r="H1506" s="1764"/>
      <c r="I1506" s="1764"/>
      <c r="J1506" s="1764"/>
      <c r="K1506" s="1764"/>
      <c r="L1506" s="1764"/>
      <c r="M1506" s="1765"/>
      <c r="N1506" s="1765"/>
      <c r="O1506" s="1765"/>
      <c r="P1506" s="1765"/>
      <c r="Q1506" s="1765"/>
      <c r="W1506" t="s">
        <v>2089</v>
      </c>
    </row>
    <row r="1507" spans="1:23" ht="13.15" customHeight="1" x14ac:dyDescent="0.2">
      <c r="A1507" s="2" t="s">
        <v>2241</v>
      </c>
      <c r="B1507" s="2">
        <f t="shared" si="46"/>
        <v>2019</v>
      </c>
      <c r="C1507" s="2" t="str">
        <f t="shared" si="47"/>
        <v>EC101</v>
      </c>
      <c r="D1507" s="2">
        <v>889</v>
      </c>
      <c r="F1507" s="1764"/>
      <c r="G1507" s="1764"/>
      <c r="H1507" s="1764"/>
      <c r="I1507" s="1764"/>
      <c r="J1507" s="1764"/>
      <c r="K1507" s="1764"/>
      <c r="L1507" s="1764"/>
      <c r="M1507" s="1765"/>
      <c r="N1507" s="1765"/>
      <c r="O1507" s="1765"/>
      <c r="P1507" s="1765"/>
      <c r="Q1507" s="1765"/>
      <c r="W1507" t="s">
        <v>2089</v>
      </c>
    </row>
    <row r="1508" spans="1:23" ht="13.15" customHeight="1" x14ac:dyDescent="0.2">
      <c r="A1508" s="2" t="s">
        <v>2241</v>
      </c>
      <c r="B1508" s="2">
        <f t="shared" si="46"/>
        <v>2019</v>
      </c>
      <c r="C1508" s="2" t="str">
        <f t="shared" si="47"/>
        <v>EC101</v>
      </c>
      <c r="D1508" s="2">
        <v>890</v>
      </c>
      <c r="F1508" s="1764"/>
      <c r="G1508" s="1764"/>
      <c r="H1508" s="1764"/>
      <c r="I1508" s="1764"/>
      <c r="J1508" s="1764"/>
      <c r="K1508" s="1764"/>
      <c r="L1508" s="1764"/>
      <c r="M1508" s="1765"/>
      <c r="N1508" s="1765"/>
      <c r="O1508" s="1765"/>
      <c r="P1508" s="1765"/>
      <c r="Q1508" s="1765"/>
      <c r="W1508" t="s">
        <v>2089</v>
      </c>
    </row>
    <row r="1509" spans="1:23" ht="13.15" customHeight="1" x14ac:dyDescent="0.2">
      <c r="A1509" s="2" t="s">
        <v>2241</v>
      </c>
      <c r="B1509" s="2">
        <f t="shared" si="46"/>
        <v>2019</v>
      </c>
      <c r="C1509" s="2" t="str">
        <f t="shared" si="47"/>
        <v>EC101</v>
      </c>
      <c r="D1509" s="2">
        <v>891</v>
      </c>
      <c r="F1509" s="1764"/>
      <c r="G1509" s="1764"/>
      <c r="H1509" s="1764"/>
      <c r="I1509" s="1764"/>
      <c r="J1509" s="1764"/>
      <c r="K1509" s="1764"/>
      <c r="L1509" s="1764"/>
      <c r="M1509" s="1765"/>
      <c r="N1509" s="1765"/>
      <c r="O1509" s="1765"/>
      <c r="P1509" s="1765"/>
      <c r="Q1509" s="1765"/>
      <c r="W1509" t="s">
        <v>2089</v>
      </c>
    </row>
    <row r="1510" spans="1:23" ht="13.15" customHeight="1" x14ac:dyDescent="0.2">
      <c r="A1510" s="2" t="s">
        <v>2241</v>
      </c>
      <c r="B1510" s="2">
        <f t="shared" si="46"/>
        <v>2019</v>
      </c>
      <c r="C1510" s="2" t="str">
        <f t="shared" si="47"/>
        <v>EC101</v>
      </c>
      <c r="D1510" s="2">
        <v>892</v>
      </c>
      <c r="F1510" s="1764"/>
      <c r="G1510" s="1764"/>
      <c r="H1510" s="1764"/>
      <c r="I1510" s="1764"/>
      <c r="J1510" s="1764"/>
      <c r="K1510" s="1764"/>
      <c r="L1510" s="1764"/>
      <c r="M1510" s="1765"/>
      <c r="N1510" s="1765"/>
      <c r="O1510" s="1765"/>
      <c r="P1510" s="1765"/>
      <c r="Q1510" s="1765"/>
      <c r="W1510" t="s">
        <v>2089</v>
      </c>
    </row>
    <row r="1511" spans="1:23" ht="13.15" customHeight="1" x14ac:dyDescent="0.2">
      <c r="A1511" s="2" t="s">
        <v>2241</v>
      </c>
      <c r="B1511" s="2">
        <f t="shared" si="46"/>
        <v>2019</v>
      </c>
      <c r="C1511" s="2" t="str">
        <f t="shared" si="47"/>
        <v>EC101</v>
      </c>
      <c r="D1511" s="2">
        <v>893</v>
      </c>
      <c r="F1511" s="1764"/>
      <c r="G1511" s="1764"/>
      <c r="H1511" s="1764"/>
      <c r="I1511" s="1764"/>
      <c r="J1511" s="1764"/>
      <c r="K1511" s="1764"/>
      <c r="L1511" s="1764"/>
      <c r="M1511" s="1765"/>
      <c r="N1511" s="1765"/>
      <c r="O1511" s="1765"/>
      <c r="P1511" s="1765"/>
      <c r="Q1511" s="1765"/>
      <c r="W1511" t="s">
        <v>2089</v>
      </c>
    </row>
    <row r="1512" spans="1:23" ht="13.15" customHeight="1" x14ac:dyDescent="0.2">
      <c r="A1512" s="2" t="s">
        <v>2241</v>
      </c>
      <c r="B1512" s="2">
        <f t="shared" si="46"/>
        <v>2019</v>
      </c>
      <c r="C1512" s="2" t="str">
        <f t="shared" si="47"/>
        <v>EC101</v>
      </c>
      <c r="D1512" s="2">
        <v>894</v>
      </c>
      <c r="F1512" s="1764"/>
      <c r="G1512" s="1764"/>
      <c r="H1512" s="1764"/>
      <c r="I1512" s="1764"/>
      <c r="J1512" s="1764"/>
      <c r="K1512" s="1764"/>
      <c r="L1512" s="1764"/>
      <c r="M1512" s="1765"/>
      <c r="N1512" s="1765"/>
      <c r="O1512" s="1765"/>
      <c r="P1512" s="1765"/>
      <c r="Q1512" s="1765"/>
      <c r="W1512" t="s">
        <v>2089</v>
      </c>
    </row>
    <row r="1513" spans="1:23" ht="13.15" customHeight="1" x14ac:dyDescent="0.2">
      <c r="A1513" s="2" t="s">
        <v>2241</v>
      </c>
      <c r="B1513" s="2">
        <f t="shared" si="46"/>
        <v>2019</v>
      </c>
      <c r="C1513" s="2" t="str">
        <f t="shared" si="47"/>
        <v>EC101</v>
      </c>
      <c r="D1513" s="2">
        <v>895</v>
      </c>
      <c r="F1513" s="1764"/>
      <c r="G1513" s="1764"/>
      <c r="H1513" s="1764"/>
      <c r="I1513" s="1764"/>
      <c r="J1513" s="1764"/>
      <c r="K1513" s="1764"/>
      <c r="L1513" s="1764"/>
      <c r="M1513" s="1765"/>
      <c r="N1513" s="1765"/>
      <c r="O1513" s="1765"/>
      <c r="P1513" s="1765"/>
      <c r="Q1513" s="1765"/>
      <c r="W1513" t="s">
        <v>2089</v>
      </c>
    </row>
    <row r="1514" spans="1:23" ht="13.15" customHeight="1" x14ac:dyDescent="0.2">
      <c r="A1514" s="2" t="s">
        <v>2241</v>
      </c>
      <c r="B1514" s="2">
        <f t="shared" si="46"/>
        <v>2019</v>
      </c>
      <c r="C1514" s="2" t="str">
        <f t="shared" si="47"/>
        <v>EC101</v>
      </c>
      <c r="D1514" s="2">
        <v>896</v>
      </c>
      <c r="F1514" s="1764"/>
      <c r="G1514" s="1764"/>
      <c r="H1514" s="1764"/>
      <c r="I1514" s="1764"/>
      <c r="J1514" s="1764"/>
      <c r="K1514" s="1764"/>
      <c r="L1514" s="1764"/>
      <c r="M1514" s="1765"/>
      <c r="N1514" s="1765"/>
      <c r="O1514" s="1765"/>
      <c r="P1514" s="1765"/>
      <c r="Q1514" s="1765"/>
      <c r="W1514" t="s">
        <v>2089</v>
      </c>
    </row>
    <row r="1515" spans="1:23" ht="13.15" customHeight="1" x14ac:dyDescent="0.2">
      <c r="A1515" s="2" t="s">
        <v>2241</v>
      </c>
      <c r="B1515" s="2">
        <f t="shared" si="46"/>
        <v>2019</v>
      </c>
      <c r="C1515" s="2" t="str">
        <f t="shared" si="47"/>
        <v>EC101</v>
      </c>
      <c r="D1515" s="2">
        <v>897</v>
      </c>
      <c r="F1515" s="1764"/>
      <c r="G1515" s="1764"/>
      <c r="H1515" s="1764"/>
      <c r="I1515" s="1764"/>
      <c r="J1515" s="1764"/>
      <c r="K1515" s="1764"/>
      <c r="L1515" s="1764"/>
      <c r="M1515" s="1765"/>
      <c r="N1515" s="1765"/>
      <c r="O1515" s="1765"/>
      <c r="P1515" s="1765"/>
      <c r="Q1515" s="1765"/>
      <c r="W1515" t="s">
        <v>2089</v>
      </c>
    </row>
    <row r="1516" spans="1:23" ht="13.15" customHeight="1" x14ac:dyDescent="0.2">
      <c r="A1516" s="2" t="s">
        <v>2241</v>
      </c>
      <c r="B1516" s="2">
        <f t="shared" si="46"/>
        <v>2019</v>
      </c>
      <c r="C1516" s="2" t="str">
        <f t="shared" si="47"/>
        <v>EC101</v>
      </c>
      <c r="D1516" s="2">
        <v>898</v>
      </c>
      <c r="F1516" s="1764"/>
      <c r="G1516" s="1764"/>
      <c r="H1516" s="1764"/>
      <c r="I1516" s="1764"/>
      <c r="J1516" s="1764"/>
      <c r="K1516" s="1764"/>
      <c r="L1516" s="1764"/>
      <c r="M1516" s="1765"/>
      <c r="N1516" s="1765"/>
      <c r="O1516" s="1765"/>
      <c r="P1516" s="1765"/>
      <c r="Q1516" s="1765"/>
      <c r="W1516" t="s">
        <v>2089</v>
      </c>
    </row>
    <row r="1517" spans="1:23" ht="13.15" customHeight="1" x14ac:dyDescent="0.2">
      <c r="A1517" s="2" t="s">
        <v>2241</v>
      </c>
      <c r="B1517" s="2">
        <f t="shared" si="46"/>
        <v>2019</v>
      </c>
      <c r="C1517" s="2" t="str">
        <f t="shared" si="47"/>
        <v>EC101</v>
      </c>
      <c r="D1517" s="2">
        <v>899</v>
      </c>
      <c r="F1517" s="1764"/>
      <c r="G1517" s="1764"/>
      <c r="H1517" s="1764"/>
      <c r="I1517" s="1764"/>
      <c r="J1517" s="1764"/>
      <c r="K1517" s="1764"/>
      <c r="L1517" s="1764"/>
      <c r="M1517" s="1765"/>
      <c r="N1517" s="1765"/>
      <c r="O1517" s="1765"/>
      <c r="P1517" s="1765"/>
      <c r="Q1517" s="1765"/>
      <c r="W1517" t="s">
        <v>2089</v>
      </c>
    </row>
    <row r="1518" spans="1:23" ht="13.15" customHeight="1" x14ac:dyDescent="0.2">
      <c r="A1518" s="2" t="s">
        <v>2241</v>
      </c>
      <c r="B1518" s="2">
        <f t="shared" si="46"/>
        <v>2019</v>
      </c>
      <c r="C1518" s="2" t="str">
        <f t="shared" si="47"/>
        <v>EC101</v>
      </c>
      <c r="D1518" s="2">
        <v>900</v>
      </c>
      <c r="F1518" s="1764"/>
      <c r="G1518" s="1764"/>
      <c r="H1518" s="1764"/>
      <c r="I1518" s="1764"/>
      <c r="J1518" s="1764"/>
      <c r="K1518" s="1764"/>
      <c r="L1518" s="1764"/>
      <c r="M1518" s="1765"/>
      <c r="N1518" s="1765"/>
      <c r="O1518" s="1765"/>
      <c r="P1518" s="1765"/>
      <c r="Q1518" s="1765"/>
      <c r="W1518" t="s">
        <v>2089</v>
      </c>
    </row>
    <row r="1519" spans="1:23" ht="13.15" customHeight="1" x14ac:dyDescent="0.2">
      <c r="A1519" s="2" t="s">
        <v>2241</v>
      </c>
      <c r="B1519" s="2">
        <f t="shared" si="46"/>
        <v>2019</v>
      </c>
      <c r="C1519" s="2" t="str">
        <f t="shared" si="47"/>
        <v>EC101</v>
      </c>
      <c r="D1519" s="2">
        <v>901</v>
      </c>
      <c r="F1519" s="1764"/>
      <c r="G1519" s="1764"/>
      <c r="H1519" s="1764"/>
      <c r="I1519" s="1764"/>
      <c r="J1519" s="1764"/>
      <c r="K1519" s="1764"/>
      <c r="L1519" s="1764"/>
      <c r="M1519" s="1765"/>
      <c r="N1519" s="1765"/>
      <c r="O1519" s="1765"/>
      <c r="P1519" s="1765"/>
      <c r="Q1519" s="1765"/>
      <c r="W1519" t="s">
        <v>2089</v>
      </c>
    </row>
    <row r="1520" spans="1:23" ht="13.15" customHeight="1" x14ac:dyDescent="0.2">
      <c r="A1520" s="2" t="s">
        <v>2241</v>
      </c>
      <c r="B1520" s="2">
        <f t="shared" si="46"/>
        <v>2019</v>
      </c>
      <c r="C1520" s="2" t="str">
        <f t="shared" si="47"/>
        <v>EC101</v>
      </c>
      <c r="D1520" s="2">
        <v>902</v>
      </c>
      <c r="F1520" s="1764"/>
      <c r="G1520" s="1764"/>
      <c r="H1520" s="1764"/>
      <c r="I1520" s="1764"/>
      <c r="J1520" s="1764"/>
      <c r="K1520" s="1764"/>
      <c r="L1520" s="1764"/>
      <c r="M1520" s="1765"/>
      <c r="N1520" s="1765"/>
      <c r="O1520" s="1765"/>
      <c r="P1520" s="1765"/>
      <c r="Q1520" s="1765"/>
      <c r="W1520" t="s">
        <v>2089</v>
      </c>
    </row>
    <row r="1521" spans="1:23" ht="13.15" customHeight="1" x14ac:dyDescent="0.2">
      <c r="A1521" s="2" t="s">
        <v>2241</v>
      </c>
      <c r="B1521" s="2">
        <f t="shared" si="46"/>
        <v>2019</v>
      </c>
      <c r="C1521" s="2" t="str">
        <f t="shared" si="47"/>
        <v>EC101</v>
      </c>
      <c r="D1521" s="2">
        <v>903</v>
      </c>
      <c r="F1521" s="1764"/>
      <c r="G1521" s="1764"/>
      <c r="H1521" s="1764"/>
      <c r="I1521" s="1764"/>
      <c r="J1521" s="1764"/>
      <c r="K1521" s="1764"/>
      <c r="L1521" s="1764"/>
      <c r="M1521" s="1765"/>
      <c r="N1521" s="1765"/>
      <c r="O1521" s="1765"/>
      <c r="P1521" s="1765"/>
      <c r="Q1521" s="1765"/>
      <c r="W1521" t="s">
        <v>2089</v>
      </c>
    </row>
    <row r="1522" spans="1:23" ht="13.15" customHeight="1" x14ac:dyDescent="0.2">
      <c r="A1522" s="2" t="s">
        <v>2241</v>
      </c>
      <c r="B1522" s="2">
        <f t="shared" si="46"/>
        <v>2019</v>
      </c>
      <c r="C1522" s="2" t="str">
        <f t="shared" si="47"/>
        <v>EC101</v>
      </c>
      <c r="D1522" s="2">
        <v>904</v>
      </c>
      <c r="F1522" s="1764"/>
      <c r="G1522" s="1764"/>
      <c r="H1522" s="1764"/>
      <c r="I1522" s="1764"/>
      <c r="J1522" s="1764"/>
      <c r="K1522" s="1764"/>
      <c r="L1522" s="1764"/>
      <c r="M1522" s="1765"/>
      <c r="N1522" s="1765"/>
      <c r="O1522" s="1765"/>
      <c r="P1522" s="1765"/>
      <c r="Q1522" s="1765"/>
      <c r="W1522" t="s">
        <v>2089</v>
      </c>
    </row>
    <row r="1523" spans="1:23" ht="13.15" customHeight="1" x14ac:dyDescent="0.2">
      <c r="A1523" s="2" t="s">
        <v>2241</v>
      </c>
      <c r="B1523" s="2">
        <f t="shared" si="46"/>
        <v>2019</v>
      </c>
      <c r="C1523" s="2" t="str">
        <f t="shared" si="47"/>
        <v>EC101</v>
      </c>
      <c r="D1523" s="2">
        <v>905</v>
      </c>
      <c r="F1523" s="1764"/>
      <c r="G1523" s="1764"/>
      <c r="H1523" s="1764"/>
      <c r="I1523" s="1764"/>
      <c r="J1523" s="1764"/>
      <c r="K1523" s="1764"/>
      <c r="L1523" s="1764"/>
      <c r="M1523" s="1765"/>
      <c r="N1523" s="1765"/>
      <c r="O1523" s="1765"/>
      <c r="P1523" s="1765"/>
      <c r="Q1523" s="1765"/>
      <c r="W1523" t="s">
        <v>2089</v>
      </c>
    </row>
    <row r="1524" spans="1:23" ht="13.15" customHeight="1" x14ac:dyDescent="0.2">
      <c r="A1524" s="2" t="s">
        <v>2241</v>
      </c>
      <c r="B1524" s="2">
        <f t="shared" si="46"/>
        <v>2019</v>
      </c>
      <c r="C1524" s="2" t="str">
        <f t="shared" si="47"/>
        <v>EC101</v>
      </c>
      <c r="D1524" s="2">
        <v>906</v>
      </c>
      <c r="F1524" s="1764"/>
      <c r="G1524" s="1764"/>
      <c r="H1524" s="1764"/>
      <c r="I1524" s="1764"/>
      <c r="J1524" s="1764"/>
      <c r="K1524" s="1764"/>
      <c r="L1524" s="1764"/>
      <c r="M1524" s="1765"/>
      <c r="N1524" s="1765"/>
      <c r="O1524" s="1765"/>
      <c r="P1524" s="1765"/>
      <c r="Q1524" s="1765"/>
      <c r="W1524" t="s">
        <v>2089</v>
      </c>
    </row>
    <row r="1525" spans="1:23" ht="13.15" customHeight="1" x14ac:dyDescent="0.2">
      <c r="A1525" s="2" t="s">
        <v>2241</v>
      </c>
      <c r="B1525" s="2">
        <f t="shared" si="46"/>
        <v>2019</v>
      </c>
      <c r="C1525" s="2" t="str">
        <f t="shared" si="47"/>
        <v>EC101</v>
      </c>
      <c r="D1525" s="2">
        <v>907</v>
      </c>
      <c r="F1525" s="1764"/>
      <c r="G1525" s="1764"/>
      <c r="H1525" s="1764"/>
      <c r="I1525" s="1764"/>
      <c r="J1525" s="1764"/>
      <c r="K1525" s="1764"/>
      <c r="L1525" s="1764"/>
      <c r="M1525" s="1765"/>
      <c r="N1525" s="1765"/>
      <c r="O1525" s="1765"/>
      <c r="P1525" s="1765"/>
      <c r="Q1525" s="1765"/>
      <c r="W1525" t="s">
        <v>2089</v>
      </c>
    </row>
    <row r="1526" spans="1:23" ht="13.15" customHeight="1" x14ac:dyDescent="0.2">
      <c r="A1526" s="2" t="s">
        <v>2241</v>
      </c>
      <c r="B1526" s="2">
        <f t="shared" si="46"/>
        <v>2019</v>
      </c>
      <c r="C1526" s="2" t="str">
        <f t="shared" si="47"/>
        <v>EC101</v>
      </c>
      <c r="D1526" s="2">
        <v>908</v>
      </c>
      <c r="F1526" s="1764"/>
      <c r="G1526" s="1764"/>
      <c r="H1526" s="1764"/>
      <c r="I1526" s="1764"/>
      <c r="J1526" s="1764"/>
      <c r="K1526" s="1764"/>
      <c r="L1526" s="1764"/>
      <c r="M1526" s="1765"/>
      <c r="N1526" s="1765"/>
      <c r="O1526" s="1765"/>
      <c r="P1526" s="1765"/>
      <c r="Q1526" s="1765"/>
      <c r="W1526" t="s">
        <v>2089</v>
      </c>
    </row>
    <row r="1527" spans="1:23" ht="13.15" customHeight="1" x14ac:dyDescent="0.2">
      <c r="A1527" s="2" t="s">
        <v>2241</v>
      </c>
      <c r="B1527" s="2">
        <f t="shared" si="46"/>
        <v>2019</v>
      </c>
      <c r="C1527" s="2" t="str">
        <f t="shared" si="47"/>
        <v>EC101</v>
      </c>
      <c r="D1527" s="2">
        <v>909</v>
      </c>
      <c r="F1527" s="1764"/>
      <c r="G1527" s="1764"/>
      <c r="H1527" s="1764"/>
      <c r="I1527" s="1764"/>
      <c r="J1527" s="1764"/>
      <c r="K1527" s="1764"/>
      <c r="L1527" s="1764"/>
      <c r="M1527" s="1765"/>
      <c r="N1527" s="1765"/>
      <c r="O1527" s="1765"/>
      <c r="P1527" s="1765"/>
      <c r="Q1527" s="1765"/>
      <c r="W1527" t="s">
        <v>2089</v>
      </c>
    </row>
    <row r="1528" spans="1:23" ht="13.15" customHeight="1" x14ac:dyDescent="0.2">
      <c r="A1528" s="2" t="s">
        <v>2241</v>
      </c>
      <c r="B1528" s="2">
        <f t="shared" si="46"/>
        <v>2019</v>
      </c>
      <c r="C1528" s="2" t="str">
        <f t="shared" si="47"/>
        <v>EC101</v>
      </c>
      <c r="D1528" s="2">
        <v>910</v>
      </c>
      <c r="F1528" s="1764"/>
      <c r="G1528" s="1764"/>
      <c r="H1528" s="1764"/>
      <c r="I1528" s="1764"/>
      <c r="J1528" s="1764"/>
      <c r="K1528" s="1764"/>
      <c r="L1528" s="1764"/>
      <c r="M1528" s="1765"/>
      <c r="N1528" s="1765"/>
      <c r="O1528" s="1765"/>
      <c r="P1528" s="1765"/>
      <c r="Q1528" s="1765"/>
      <c r="W1528" t="s">
        <v>2089</v>
      </c>
    </row>
    <row r="1529" spans="1:23" ht="13.15" customHeight="1" x14ac:dyDescent="0.2">
      <c r="A1529" s="2" t="s">
        <v>2241</v>
      </c>
      <c r="B1529" s="2">
        <f t="shared" si="46"/>
        <v>2019</v>
      </c>
      <c r="C1529" s="2" t="str">
        <f t="shared" si="47"/>
        <v>EC101</v>
      </c>
      <c r="D1529" s="2">
        <v>911</v>
      </c>
      <c r="F1529" s="1764"/>
      <c r="G1529" s="1764"/>
      <c r="H1529" s="1764"/>
      <c r="I1529" s="1764"/>
      <c r="J1529" s="1764"/>
      <c r="K1529" s="1764"/>
      <c r="L1529" s="1764"/>
      <c r="M1529" s="1765"/>
      <c r="N1529" s="1765"/>
      <c r="O1529" s="1765"/>
      <c r="P1529" s="1765"/>
      <c r="Q1529" s="1765"/>
      <c r="W1529" t="s">
        <v>2089</v>
      </c>
    </row>
    <row r="1530" spans="1:23" ht="13.15" customHeight="1" x14ac:dyDescent="0.2">
      <c r="A1530" s="2" t="s">
        <v>2241</v>
      </c>
      <c r="B1530" s="2">
        <f t="shared" si="46"/>
        <v>2019</v>
      </c>
      <c r="C1530" s="2" t="str">
        <f t="shared" si="47"/>
        <v>EC101</v>
      </c>
      <c r="D1530" s="2">
        <v>912</v>
      </c>
      <c r="F1530" s="1764"/>
      <c r="G1530" s="1764"/>
      <c r="H1530" s="1764"/>
      <c r="I1530" s="1764"/>
      <c r="J1530" s="1764"/>
      <c r="K1530" s="1764"/>
      <c r="L1530" s="1764"/>
      <c r="M1530" s="1765"/>
      <c r="N1530" s="1765"/>
      <c r="O1530" s="1765"/>
      <c r="P1530" s="1765"/>
      <c r="Q1530" s="1765"/>
      <c r="W1530" t="s">
        <v>2089</v>
      </c>
    </row>
    <row r="1531" spans="1:23" ht="13.15" customHeight="1" x14ac:dyDescent="0.2">
      <c r="A1531" s="2" t="s">
        <v>2241</v>
      </c>
      <c r="B1531" s="2">
        <f t="shared" si="46"/>
        <v>2019</v>
      </c>
      <c r="C1531" s="2" t="str">
        <f t="shared" si="47"/>
        <v>EC101</v>
      </c>
      <c r="D1531" s="2">
        <v>913</v>
      </c>
      <c r="F1531" s="1764"/>
      <c r="G1531" s="1764"/>
      <c r="H1531" s="1764"/>
      <c r="I1531" s="1764"/>
      <c r="J1531" s="1764"/>
      <c r="K1531" s="1764"/>
      <c r="L1531" s="1764"/>
      <c r="M1531" s="1765"/>
      <c r="N1531" s="1765"/>
      <c r="O1531" s="1765"/>
      <c r="P1531" s="1765"/>
      <c r="Q1531" s="1765"/>
      <c r="W1531" t="s">
        <v>2089</v>
      </c>
    </row>
    <row r="1532" spans="1:23" ht="13.15" customHeight="1" x14ac:dyDescent="0.2">
      <c r="A1532" s="2" t="s">
        <v>2241</v>
      </c>
      <c r="B1532" s="2">
        <f t="shared" si="46"/>
        <v>2019</v>
      </c>
      <c r="C1532" s="2" t="str">
        <f t="shared" si="47"/>
        <v>EC101</v>
      </c>
      <c r="D1532" s="2">
        <v>914</v>
      </c>
      <c r="F1532" s="1764"/>
      <c r="G1532" s="1764"/>
      <c r="H1532" s="1764"/>
      <c r="I1532" s="1764"/>
      <c r="J1532" s="1764"/>
      <c r="K1532" s="1764"/>
      <c r="L1532" s="1764"/>
      <c r="M1532" s="1765"/>
      <c r="N1532" s="1765"/>
      <c r="O1532" s="1765"/>
      <c r="P1532" s="1765"/>
      <c r="Q1532" s="1765"/>
      <c r="W1532" t="s">
        <v>2089</v>
      </c>
    </row>
    <row r="1533" spans="1:23" ht="13.15" customHeight="1" x14ac:dyDescent="0.2">
      <c r="A1533" s="2" t="s">
        <v>2241</v>
      </c>
      <c r="B1533" s="2">
        <f t="shared" si="46"/>
        <v>2019</v>
      </c>
      <c r="C1533" s="2" t="str">
        <f t="shared" si="47"/>
        <v>EC101</v>
      </c>
      <c r="D1533" s="2">
        <v>915</v>
      </c>
      <c r="F1533" s="1764"/>
      <c r="G1533" s="1764"/>
      <c r="H1533" s="1764"/>
      <c r="I1533" s="1764"/>
      <c r="J1533" s="1764"/>
      <c r="K1533" s="1764"/>
      <c r="L1533" s="1764"/>
      <c r="M1533" s="1765"/>
      <c r="N1533" s="1765"/>
      <c r="O1533" s="1765"/>
      <c r="P1533" s="1765"/>
      <c r="Q1533" s="1765"/>
      <c r="W1533" t="s">
        <v>2089</v>
      </c>
    </row>
    <row r="1534" spans="1:23" ht="13.15" customHeight="1" x14ac:dyDescent="0.2">
      <c r="A1534" s="2" t="s">
        <v>2241</v>
      </c>
      <c r="B1534" s="2">
        <f t="shared" si="46"/>
        <v>2019</v>
      </c>
      <c r="C1534" s="2" t="str">
        <f t="shared" si="47"/>
        <v>EC101</v>
      </c>
      <c r="D1534" s="2">
        <v>916</v>
      </c>
      <c r="F1534" s="1764"/>
      <c r="G1534" s="1764"/>
      <c r="H1534" s="1764"/>
      <c r="I1534" s="1764"/>
      <c r="J1534" s="1764"/>
      <c r="K1534" s="1764"/>
      <c r="L1534" s="1764"/>
      <c r="M1534" s="1765"/>
      <c r="N1534" s="1765"/>
      <c r="O1534" s="1765"/>
      <c r="P1534" s="1765"/>
      <c r="Q1534" s="1765"/>
      <c r="W1534" t="s">
        <v>2089</v>
      </c>
    </row>
    <row r="1535" spans="1:23" ht="13.15" customHeight="1" x14ac:dyDescent="0.2">
      <c r="A1535" s="2" t="s">
        <v>2241</v>
      </c>
      <c r="B1535" s="2">
        <f t="shared" si="46"/>
        <v>2019</v>
      </c>
      <c r="C1535" s="2" t="str">
        <f t="shared" si="47"/>
        <v>EC101</v>
      </c>
      <c r="D1535" s="2">
        <v>917</v>
      </c>
      <c r="F1535" s="1764"/>
      <c r="G1535" s="1764"/>
      <c r="H1535" s="1764"/>
      <c r="I1535" s="1764"/>
      <c r="J1535" s="1764"/>
      <c r="K1535" s="1764"/>
      <c r="L1535" s="1764"/>
      <c r="M1535" s="1765"/>
      <c r="N1535" s="1765"/>
      <c r="O1535" s="1765"/>
      <c r="P1535" s="1765"/>
      <c r="Q1535" s="1765"/>
      <c r="W1535" t="s">
        <v>2089</v>
      </c>
    </row>
    <row r="1536" spans="1:23" ht="13.15" customHeight="1" x14ac:dyDescent="0.2">
      <c r="A1536" s="2" t="s">
        <v>2241</v>
      </c>
      <c r="B1536" s="2">
        <f t="shared" si="46"/>
        <v>2019</v>
      </c>
      <c r="C1536" s="2" t="str">
        <f t="shared" si="47"/>
        <v>EC101</v>
      </c>
      <c r="D1536" s="2">
        <v>918</v>
      </c>
      <c r="F1536" s="1764"/>
      <c r="G1536" s="1764"/>
      <c r="H1536" s="1764"/>
      <c r="I1536" s="1764"/>
      <c r="J1536" s="1764"/>
      <c r="K1536" s="1764"/>
      <c r="L1536" s="1764"/>
      <c r="M1536" s="1765"/>
      <c r="N1536" s="1765"/>
      <c r="O1536" s="1765"/>
      <c r="P1536" s="1765"/>
      <c r="Q1536" s="1765"/>
      <c r="W1536" t="s">
        <v>2089</v>
      </c>
    </row>
    <row r="1537" spans="1:23" ht="13.15" customHeight="1" x14ac:dyDescent="0.2">
      <c r="A1537" s="2" t="s">
        <v>2241</v>
      </c>
      <c r="B1537" s="2">
        <f t="shared" si="46"/>
        <v>2019</v>
      </c>
      <c r="C1537" s="2" t="str">
        <f t="shared" si="47"/>
        <v>EC101</v>
      </c>
      <c r="D1537" s="2">
        <v>919</v>
      </c>
      <c r="F1537" s="1764"/>
      <c r="G1537" s="1764"/>
      <c r="H1537" s="1764"/>
      <c r="I1537" s="1764"/>
      <c r="J1537" s="1764"/>
      <c r="K1537" s="1764"/>
      <c r="L1537" s="1764"/>
      <c r="M1537" s="1765"/>
      <c r="N1537" s="1765"/>
      <c r="O1537" s="1765"/>
      <c r="P1537" s="1765"/>
      <c r="Q1537" s="1765"/>
      <c r="W1537" t="s">
        <v>2089</v>
      </c>
    </row>
    <row r="1538" spans="1:23" ht="13.15" customHeight="1" x14ac:dyDescent="0.2">
      <c r="A1538" s="2" t="s">
        <v>2241</v>
      </c>
      <c r="B1538" s="2">
        <f t="shared" ref="B1538:B1601" si="48">+MTREF</f>
        <v>2019</v>
      </c>
      <c r="C1538" s="2" t="str">
        <f t="shared" ref="C1538:C1601" si="49">LEFT(muni,(FIND(" ",muni,1)-1))</f>
        <v>EC101</v>
      </c>
      <c r="D1538" s="2">
        <v>920</v>
      </c>
      <c r="F1538" s="1764"/>
      <c r="G1538" s="1764"/>
      <c r="H1538" s="1764"/>
      <c r="I1538" s="1764"/>
      <c r="J1538" s="1764"/>
      <c r="K1538" s="1764"/>
      <c r="L1538" s="1764"/>
      <c r="M1538" s="1765"/>
      <c r="N1538" s="1765"/>
      <c r="O1538" s="1765"/>
      <c r="P1538" s="1765"/>
      <c r="Q1538" s="1765"/>
      <c r="W1538" t="s">
        <v>2089</v>
      </c>
    </row>
    <row r="1539" spans="1:23" ht="13.15" customHeight="1" x14ac:dyDescent="0.2">
      <c r="A1539" s="2" t="s">
        <v>2241</v>
      </c>
      <c r="B1539" s="2">
        <f t="shared" si="48"/>
        <v>2019</v>
      </c>
      <c r="C1539" s="2" t="str">
        <f t="shared" si="49"/>
        <v>EC101</v>
      </c>
      <c r="D1539" s="2">
        <v>921</v>
      </c>
      <c r="F1539" s="1764"/>
      <c r="G1539" s="1764"/>
      <c r="H1539" s="1764"/>
      <c r="I1539" s="1764"/>
      <c r="J1539" s="1764"/>
      <c r="K1539" s="1764"/>
      <c r="L1539" s="1764"/>
      <c r="M1539" s="1765"/>
      <c r="N1539" s="1765"/>
      <c r="O1539" s="1765"/>
      <c r="P1539" s="1765"/>
      <c r="Q1539" s="1765"/>
      <c r="W1539" t="s">
        <v>2089</v>
      </c>
    </row>
    <row r="1540" spans="1:23" ht="13.15" customHeight="1" x14ac:dyDescent="0.2">
      <c r="A1540" s="2" t="s">
        <v>2241</v>
      </c>
      <c r="B1540" s="2">
        <f t="shared" si="48"/>
        <v>2019</v>
      </c>
      <c r="C1540" s="2" t="str">
        <f t="shared" si="49"/>
        <v>EC101</v>
      </c>
      <c r="D1540" s="2">
        <v>922</v>
      </c>
      <c r="F1540" s="1764"/>
      <c r="G1540" s="1764"/>
      <c r="H1540" s="1764"/>
      <c r="I1540" s="1764"/>
      <c r="J1540" s="1764"/>
      <c r="K1540" s="1764"/>
      <c r="L1540" s="1764"/>
      <c r="M1540" s="1765"/>
      <c r="N1540" s="1765"/>
      <c r="O1540" s="1765"/>
      <c r="P1540" s="1765"/>
      <c r="Q1540" s="1765"/>
      <c r="W1540" t="s">
        <v>2089</v>
      </c>
    </row>
    <row r="1541" spans="1:23" ht="13.15" customHeight="1" x14ac:dyDescent="0.2">
      <c r="A1541" s="2" t="s">
        <v>2241</v>
      </c>
      <c r="B1541" s="2">
        <f t="shared" si="48"/>
        <v>2019</v>
      </c>
      <c r="C1541" s="2" t="str">
        <f t="shared" si="49"/>
        <v>EC101</v>
      </c>
      <c r="D1541" s="2">
        <v>923</v>
      </c>
      <c r="F1541" s="1764"/>
      <c r="G1541" s="1764"/>
      <c r="H1541" s="1764"/>
      <c r="I1541" s="1764"/>
      <c r="J1541" s="1764"/>
      <c r="K1541" s="1764"/>
      <c r="L1541" s="1764"/>
      <c r="M1541" s="1765"/>
      <c r="N1541" s="1765"/>
      <c r="O1541" s="1765"/>
      <c r="P1541" s="1765"/>
      <c r="Q1541" s="1765"/>
      <c r="W1541" t="s">
        <v>2089</v>
      </c>
    </row>
    <row r="1542" spans="1:23" ht="13.15" customHeight="1" x14ac:dyDescent="0.2">
      <c r="A1542" s="2" t="s">
        <v>2241</v>
      </c>
      <c r="B1542" s="2">
        <f t="shared" si="48"/>
        <v>2019</v>
      </c>
      <c r="C1542" s="2" t="str">
        <f t="shared" si="49"/>
        <v>EC101</v>
      </c>
      <c r="D1542" s="2">
        <v>924</v>
      </c>
      <c r="F1542" s="1764"/>
      <c r="G1542" s="1764"/>
      <c r="H1542" s="1764"/>
      <c r="I1542" s="1764"/>
      <c r="J1542" s="1764"/>
      <c r="K1542" s="1764"/>
      <c r="L1542" s="1764"/>
      <c r="M1542" s="1765"/>
      <c r="N1542" s="1765"/>
      <c r="O1542" s="1765"/>
      <c r="P1542" s="1765"/>
      <c r="Q1542" s="1765"/>
      <c r="W1542" t="s">
        <v>2089</v>
      </c>
    </row>
    <row r="1543" spans="1:23" ht="13.15" customHeight="1" x14ac:dyDescent="0.2">
      <c r="A1543" s="2" t="s">
        <v>2241</v>
      </c>
      <c r="B1543" s="2">
        <f t="shared" si="48"/>
        <v>2019</v>
      </c>
      <c r="C1543" s="2" t="str">
        <f t="shared" si="49"/>
        <v>EC101</v>
      </c>
      <c r="D1543" s="2">
        <v>925</v>
      </c>
      <c r="F1543" s="1764"/>
      <c r="G1543" s="1764"/>
      <c r="H1543" s="1764"/>
      <c r="I1543" s="1764"/>
      <c r="J1543" s="1764"/>
      <c r="K1543" s="1764"/>
      <c r="L1543" s="1764"/>
      <c r="M1543" s="1765"/>
      <c r="N1543" s="1765"/>
      <c r="O1543" s="1765"/>
      <c r="P1543" s="1765"/>
      <c r="Q1543" s="1765"/>
      <c r="W1543" t="s">
        <v>2089</v>
      </c>
    </row>
    <row r="1544" spans="1:23" ht="13.15" customHeight="1" x14ac:dyDescent="0.2">
      <c r="A1544" s="2" t="s">
        <v>2241</v>
      </c>
      <c r="B1544" s="2">
        <f t="shared" si="48"/>
        <v>2019</v>
      </c>
      <c r="C1544" s="2" t="str">
        <f t="shared" si="49"/>
        <v>EC101</v>
      </c>
      <c r="D1544" s="2">
        <v>926</v>
      </c>
      <c r="F1544" s="1764"/>
      <c r="G1544" s="1764"/>
      <c r="H1544" s="1764"/>
      <c r="I1544" s="1764"/>
      <c r="J1544" s="1764"/>
      <c r="K1544" s="1764"/>
      <c r="L1544" s="1764"/>
      <c r="M1544" s="1765"/>
      <c r="N1544" s="1765"/>
      <c r="O1544" s="1765"/>
      <c r="P1544" s="1765"/>
      <c r="Q1544" s="1765"/>
      <c r="W1544" t="s">
        <v>2089</v>
      </c>
    </row>
    <row r="1545" spans="1:23" ht="13.15" customHeight="1" x14ac:dyDescent="0.2">
      <c r="A1545" s="2" t="s">
        <v>2241</v>
      </c>
      <c r="B1545" s="2">
        <f t="shared" si="48"/>
        <v>2019</v>
      </c>
      <c r="C1545" s="2" t="str">
        <f t="shared" si="49"/>
        <v>EC101</v>
      </c>
      <c r="D1545" s="2">
        <v>927</v>
      </c>
      <c r="F1545" s="1764"/>
      <c r="G1545" s="1764"/>
      <c r="H1545" s="1764"/>
      <c r="I1545" s="1764"/>
      <c r="J1545" s="1764"/>
      <c r="K1545" s="1764"/>
      <c r="L1545" s="1764"/>
      <c r="M1545" s="1765"/>
      <c r="N1545" s="1765"/>
      <c r="O1545" s="1765"/>
      <c r="P1545" s="1765"/>
      <c r="Q1545" s="1765"/>
      <c r="W1545" t="s">
        <v>2089</v>
      </c>
    </row>
    <row r="1546" spans="1:23" ht="13.15" customHeight="1" x14ac:dyDescent="0.2">
      <c r="A1546" s="2" t="s">
        <v>2241</v>
      </c>
      <c r="B1546" s="2">
        <f t="shared" si="48"/>
        <v>2019</v>
      </c>
      <c r="C1546" s="2" t="str">
        <f t="shared" si="49"/>
        <v>EC101</v>
      </c>
      <c r="D1546" s="2">
        <v>928</v>
      </c>
      <c r="F1546" s="1764"/>
      <c r="G1546" s="1764"/>
      <c r="H1546" s="1764"/>
      <c r="I1546" s="1764"/>
      <c r="J1546" s="1764"/>
      <c r="K1546" s="1764"/>
      <c r="L1546" s="1764"/>
      <c r="M1546" s="1765"/>
      <c r="N1546" s="1765"/>
      <c r="O1546" s="1765"/>
      <c r="P1546" s="1765"/>
      <c r="Q1546" s="1765"/>
      <c r="W1546" t="s">
        <v>2089</v>
      </c>
    </row>
    <row r="1547" spans="1:23" ht="13.15" customHeight="1" x14ac:dyDescent="0.2">
      <c r="A1547" s="2" t="s">
        <v>2241</v>
      </c>
      <c r="B1547" s="2">
        <f t="shared" si="48"/>
        <v>2019</v>
      </c>
      <c r="C1547" s="2" t="str">
        <f t="shared" si="49"/>
        <v>EC101</v>
      </c>
      <c r="D1547" s="2">
        <v>929</v>
      </c>
      <c r="F1547" s="1764"/>
      <c r="G1547" s="1764"/>
      <c r="H1547" s="1764"/>
      <c r="I1547" s="1764"/>
      <c r="J1547" s="1764"/>
      <c r="K1547" s="1764"/>
      <c r="L1547" s="1764"/>
      <c r="M1547" s="1765"/>
      <c r="N1547" s="1765"/>
      <c r="O1547" s="1765"/>
      <c r="P1547" s="1765"/>
      <c r="Q1547" s="1765"/>
      <c r="W1547" t="s">
        <v>2089</v>
      </c>
    </row>
    <row r="1548" spans="1:23" ht="13.15" customHeight="1" x14ac:dyDescent="0.2">
      <c r="A1548" s="2" t="s">
        <v>2241</v>
      </c>
      <c r="B1548" s="2">
        <f t="shared" si="48"/>
        <v>2019</v>
      </c>
      <c r="C1548" s="2" t="str">
        <f t="shared" si="49"/>
        <v>EC101</v>
      </c>
      <c r="D1548" s="2">
        <v>930</v>
      </c>
      <c r="F1548" s="1764"/>
      <c r="G1548" s="1764"/>
      <c r="H1548" s="1764"/>
      <c r="I1548" s="1764"/>
      <c r="J1548" s="1764"/>
      <c r="K1548" s="1764"/>
      <c r="L1548" s="1764"/>
      <c r="M1548" s="1765"/>
      <c r="N1548" s="1765"/>
      <c r="O1548" s="1765"/>
      <c r="P1548" s="1765"/>
      <c r="Q1548" s="1765"/>
      <c r="W1548" t="s">
        <v>2089</v>
      </c>
    </row>
    <row r="1549" spans="1:23" ht="13.15" customHeight="1" x14ac:dyDescent="0.2">
      <c r="A1549" s="2" t="s">
        <v>2241</v>
      </c>
      <c r="B1549" s="2">
        <f t="shared" si="48"/>
        <v>2019</v>
      </c>
      <c r="C1549" s="2" t="str">
        <f t="shared" si="49"/>
        <v>EC101</v>
      </c>
      <c r="D1549" s="2">
        <v>931</v>
      </c>
      <c r="F1549" s="1764"/>
      <c r="G1549" s="1764"/>
      <c r="H1549" s="1764"/>
      <c r="I1549" s="1764"/>
      <c r="J1549" s="1764"/>
      <c r="K1549" s="1764"/>
      <c r="L1549" s="1764"/>
      <c r="M1549" s="1765"/>
      <c r="N1549" s="1765"/>
      <c r="O1549" s="1765"/>
      <c r="P1549" s="1765"/>
      <c r="Q1549" s="1765"/>
      <c r="W1549" t="s">
        <v>2089</v>
      </c>
    </row>
    <row r="1550" spans="1:23" ht="13.15" customHeight="1" x14ac:dyDescent="0.2">
      <c r="A1550" s="2" t="s">
        <v>2241</v>
      </c>
      <c r="B1550" s="2">
        <f t="shared" si="48"/>
        <v>2019</v>
      </c>
      <c r="C1550" s="2" t="str">
        <f t="shared" si="49"/>
        <v>EC101</v>
      </c>
      <c r="D1550" s="2">
        <v>932</v>
      </c>
      <c r="F1550" s="1764"/>
      <c r="G1550" s="1764"/>
      <c r="H1550" s="1764"/>
      <c r="I1550" s="1764"/>
      <c r="J1550" s="1764"/>
      <c r="K1550" s="1764"/>
      <c r="L1550" s="1764"/>
      <c r="M1550" s="1765"/>
      <c r="N1550" s="1765"/>
      <c r="O1550" s="1765"/>
      <c r="P1550" s="1765"/>
      <c r="Q1550" s="1765"/>
      <c r="W1550" t="s">
        <v>2089</v>
      </c>
    </row>
    <row r="1551" spans="1:23" ht="13.15" customHeight="1" x14ac:dyDescent="0.2">
      <c r="A1551" s="2" t="s">
        <v>2241</v>
      </c>
      <c r="B1551" s="2">
        <f t="shared" si="48"/>
        <v>2019</v>
      </c>
      <c r="C1551" s="2" t="str">
        <f t="shared" si="49"/>
        <v>EC101</v>
      </c>
      <c r="D1551" s="2">
        <v>933</v>
      </c>
      <c r="F1551" s="1764"/>
      <c r="G1551" s="1764"/>
      <c r="H1551" s="1764"/>
      <c r="I1551" s="1764"/>
      <c r="J1551" s="1764"/>
      <c r="K1551" s="1764"/>
      <c r="L1551" s="1764"/>
      <c r="M1551" s="1765"/>
      <c r="N1551" s="1765"/>
      <c r="O1551" s="1765"/>
      <c r="P1551" s="1765"/>
      <c r="Q1551" s="1765"/>
      <c r="W1551" t="s">
        <v>2089</v>
      </c>
    </row>
    <row r="1552" spans="1:23" ht="13.15" customHeight="1" x14ac:dyDescent="0.2">
      <c r="A1552" s="2" t="s">
        <v>2241</v>
      </c>
      <c r="B1552" s="2">
        <f t="shared" si="48"/>
        <v>2019</v>
      </c>
      <c r="C1552" s="2" t="str">
        <f t="shared" si="49"/>
        <v>EC101</v>
      </c>
      <c r="D1552" s="2">
        <v>934</v>
      </c>
      <c r="F1552" s="1764"/>
      <c r="G1552" s="1764"/>
      <c r="H1552" s="1764"/>
      <c r="I1552" s="1764"/>
      <c r="J1552" s="1764"/>
      <c r="K1552" s="1764"/>
      <c r="L1552" s="1764"/>
      <c r="M1552" s="1765"/>
      <c r="N1552" s="1765"/>
      <c r="O1552" s="1765"/>
      <c r="P1552" s="1765"/>
      <c r="Q1552" s="1765"/>
      <c r="W1552" t="s">
        <v>2089</v>
      </c>
    </row>
    <row r="1553" spans="1:23" ht="13.15" customHeight="1" x14ac:dyDescent="0.2">
      <c r="A1553" s="2" t="s">
        <v>2241</v>
      </c>
      <c r="B1553" s="2">
        <f t="shared" si="48"/>
        <v>2019</v>
      </c>
      <c r="C1553" s="2" t="str">
        <f t="shared" si="49"/>
        <v>EC101</v>
      </c>
      <c r="D1553" s="2">
        <v>935</v>
      </c>
      <c r="F1553" s="1764"/>
      <c r="G1553" s="1764"/>
      <c r="H1553" s="1764"/>
      <c r="I1553" s="1764"/>
      <c r="J1553" s="1764"/>
      <c r="K1553" s="1764"/>
      <c r="L1553" s="1764"/>
      <c r="M1553" s="1765"/>
      <c r="N1553" s="1765"/>
      <c r="O1553" s="1765"/>
      <c r="P1553" s="1765"/>
      <c r="Q1553" s="1765"/>
      <c r="W1553" t="s">
        <v>2089</v>
      </c>
    </row>
    <row r="1554" spans="1:23" ht="13.15" customHeight="1" x14ac:dyDescent="0.2">
      <c r="A1554" s="2" t="s">
        <v>2241</v>
      </c>
      <c r="B1554" s="2">
        <f t="shared" si="48"/>
        <v>2019</v>
      </c>
      <c r="C1554" s="2" t="str">
        <f t="shared" si="49"/>
        <v>EC101</v>
      </c>
      <c r="D1554" s="2">
        <v>936</v>
      </c>
      <c r="F1554" s="1764"/>
      <c r="G1554" s="1764"/>
      <c r="H1554" s="1764"/>
      <c r="I1554" s="1764"/>
      <c r="J1554" s="1764"/>
      <c r="K1554" s="1764"/>
      <c r="L1554" s="1764"/>
      <c r="M1554" s="1765"/>
      <c r="N1554" s="1765"/>
      <c r="O1554" s="1765"/>
      <c r="P1554" s="1765"/>
      <c r="Q1554" s="1765"/>
      <c r="W1554" t="s">
        <v>2089</v>
      </c>
    </row>
    <row r="1555" spans="1:23" ht="13.15" customHeight="1" x14ac:dyDescent="0.2">
      <c r="A1555" s="2" t="s">
        <v>2241</v>
      </c>
      <c r="B1555" s="2">
        <f t="shared" si="48"/>
        <v>2019</v>
      </c>
      <c r="C1555" s="2" t="str">
        <f t="shared" si="49"/>
        <v>EC101</v>
      </c>
      <c r="D1555" s="2">
        <v>937</v>
      </c>
      <c r="F1555" s="1764"/>
      <c r="G1555" s="1764"/>
      <c r="H1555" s="1764"/>
      <c r="I1555" s="1764"/>
      <c r="J1555" s="1764"/>
      <c r="K1555" s="1764"/>
      <c r="L1555" s="1764"/>
      <c r="M1555" s="1765"/>
      <c r="N1555" s="1765"/>
      <c r="O1555" s="1765"/>
      <c r="P1555" s="1765"/>
      <c r="Q1555" s="1765"/>
      <c r="W1555" t="s">
        <v>2089</v>
      </c>
    </row>
    <row r="1556" spans="1:23" ht="13.15" customHeight="1" x14ac:dyDescent="0.2">
      <c r="A1556" s="2" t="s">
        <v>2241</v>
      </c>
      <c r="B1556" s="2">
        <f t="shared" si="48"/>
        <v>2019</v>
      </c>
      <c r="C1556" s="2" t="str">
        <f t="shared" si="49"/>
        <v>EC101</v>
      </c>
      <c r="D1556" s="2">
        <v>938</v>
      </c>
      <c r="F1556" s="1764"/>
      <c r="G1556" s="1764"/>
      <c r="H1556" s="1764"/>
      <c r="I1556" s="1764"/>
      <c r="J1556" s="1764"/>
      <c r="K1556" s="1764"/>
      <c r="L1556" s="1764"/>
      <c r="M1556" s="1765"/>
      <c r="N1556" s="1765"/>
      <c r="O1556" s="1765"/>
      <c r="P1556" s="1765"/>
      <c r="Q1556" s="1765"/>
      <c r="W1556" t="s">
        <v>2089</v>
      </c>
    </row>
    <row r="1557" spans="1:23" ht="13.15" customHeight="1" x14ac:dyDescent="0.2">
      <c r="A1557" s="2" t="s">
        <v>2241</v>
      </c>
      <c r="B1557" s="2">
        <f t="shared" si="48"/>
        <v>2019</v>
      </c>
      <c r="C1557" s="2" t="str">
        <f t="shared" si="49"/>
        <v>EC101</v>
      </c>
      <c r="D1557" s="2">
        <v>939</v>
      </c>
      <c r="F1557" s="1764"/>
      <c r="G1557" s="1764"/>
      <c r="H1557" s="1764"/>
      <c r="I1557" s="1764"/>
      <c r="J1557" s="1764"/>
      <c r="K1557" s="1764"/>
      <c r="L1557" s="1764"/>
      <c r="M1557" s="1765"/>
      <c r="N1557" s="1765"/>
      <c r="O1557" s="1765"/>
      <c r="P1557" s="1765"/>
      <c r="Q1557" s="1765"/>
      <c r="W1557" t="s">
        <v>2089</v>
      </c>
    </row>
    <row r="1558" spans="1:23" ht="13.15" customHeight="1" x14ac:dyDescent="0.2">
      <c r="A1558" s="2" t="s">
        <v>2241</v>
      </c>
      <c r="B1558" s="2">
        <f t="shared" si="48"/>
        <v>2019</v>
      </c>
      <c r="C1558" s="2" t="str">
        <f t="shared" si="49"/>
        <v>EC101</v>
      </c>
      <c r="D1558" s="2">
        <v>940</v>
      </c>
      <c r="F1558" s="1764"/>
      <c r="G1558" s="1764"/>
      <c r="H1558" s="1764"/>
      <c r="I1558" s="1764"/>
      <c r="J1558" s="1764"/>
      <c r="K1558" s="1764"/>
      <c r="L1558" s="1764"/>
      <c r="M1558" s="1765"/>
      <c r="N1558" s="1765"/>
      <c r="O1558" s="1765"/>
      <c r="P1558" s="1765"/>
      <c r="Q1558" s="1765"/>
      <c r="W1558" t="s">
        <v>2089</v>
      </c>
    </row>
    <row r="1559" spans="1:23" ht="13.15" customHeight="1" x14ac:dyDescent="0.2">
      <c r="A1559" s="2" t="s">
        <v>2241</v>
      </c>
      <c r="B1559" s="2">
        <f t="shared" si="48"/>
        <v>2019</v>
      </c>
      <c r="C1559" s="2" t="str">
        <f t="shared" si="49"/>
        <v>EC101</v>
      </c>
      <c r="D1559" s="2">
        <v>941</v>
      </c>
      <c r="F1559" s="1764"/>
      <c r="G1559" s="1764"/>
      <c r="H1559" s="1764"/>
      <c r="I1559" s="1764"/>
      <c r="J1559" s="1764"/>
      <c r="K1559" s="1764"/>
      <c r="L1559" s="1764"/>
      <c r="M1559" s="1765"/>
      <c r="N1559" s="1765"/>
      <c r="O1559" s="1765"/>
      <c r="P1559" s="1765"/>
      <c r="Q1559" s="1765"/>
      <c r="W1559" t="s">
        <v>2089</v>
      </c>
    </row>
    <row r="1560" spans="1:23" ht="13.15" customHeight="1" x14ac:dyDescent="0.2">
      <c r="A1560" s="2" t="s">
        <v>2241</v>
      </c>
      <c r="B1560" s="2">
        <f t="shared" si="48"/>
        <v>2019</v>
      </c>
      <c r="C1560" s="2" t="str">
        <f t="shared" si="49"/>
        <v>EC101</v>
      </c>
      <c r="D1560" s="2">
        <v>942</v>
      </c>
      <c r="F1560" s="1764"/>
      <c r="G1560" s="1764"/>
      <c r="H1560" s="1764"/>
      <c r="I1560" s="1764"/>
      <c r="J1560" s="1764"/>
      <c r="K1560" s="1764"/>
      <c r="L1560" s="1764"/>
      <c r="M1560" s="1765"/>
      <c r="N1560" s="1765"/>
      <c r="O1560" s="1765"/>
      <c r="P1560" s="1765"/>
      <c r="Q1560" s="1765"/>
      <c r="W1560" t="s">
        <v>2089</v>
      </c>
    </row>
    <row r="1561" spans="1:23" ht="13.15" customHeight="1" x14ac:dyDescent="0.2">
      <c r="A1561" s="2" t="s">
        <v>2241</v>
      </c>
      <c r="B1561" s="2">
        <f t="shared" si="48"/>
        <v>2019</v>
      </c>
      <c r="C1561" s="2" t="str">
        <f t="shared" si="49"/>
        <v>EC101</v>
      </c>
      <c r="D1561" s="2">
        <v>943</v>
      </c>
      <c r="F1561" s="1764"/>
      <c r="G1561" s="1764"/>
      <c r="H1561" s="1764"/>
      <c r="I1561" s="1764"/>
      <c r="J1561" s="1764"/>
      <c r="K1561" s="1764"/>
      <c r="L1561" s="1764"/>
      <c r="M1561" s="1765"/>
      <c r="N1561" s="1765"/>
      <c r="O1561" s="1765"/>
      <c r="P1561" s="1765"/>
      <c r="Q1561" s="1765"/>
      <c r="W1561" t="s">
        <v>2089</v>
      </c>
    </row>
    <row r="1562" spans="1:23" ht="13.15" customHeight="1" x14ac:dyDescent="0.2">
      <c r="A1562" s="2" t="s">
        <v>2241</v>
      </c>
      <c r="B1562" s="2">
        <f t="shared" si="48"/>
        <v>2019</v>
      </c>
      <c r="C1562" s="2" t="str">
        <f t="shared" si="49"/>
        <v>EC101</v>
      </c>
      <c r="D1562" s="2">
        <v>944</v>
      </c>
      <c r="F1562" s="1764"/>
      <c r="G1562" s="1764"/>
      <c r="H1562" s="1764"/>
      <c r="I1562" s="1764"/>
      <c r="J1562" s="1764"/>
      <c r="K1562" s="1764"/>
      <c r="L1562" s="1764"/>
      <c r="M1562" s="1765"/>
      <c r="N1562" s="1765"/>
      <c r="O1562" s="1765"/>
      <c r="P1562" s="1765"/>
      <c r="Q1562" s="1765"/>
      <c r="W1562" t="s">
        <v>2089</v>
      </c>
    </row>
    <row r="1563" spans="1:23" ht="13.15" customHeight="1" x14ac:dyDescent="0.2">
      <c r="A1563" s="2" t="s">
        <v>2241</v>
      </c>
      <c r="B1563" s="2">
        <f t="shared" si="48"/>
        <v>2019</v>
      </c>
      <c r="C1563" s="2" t="str">
        <f t="shared" si="49"/>
        <v>EC101</v>
      </c>
      <c r="D1563" s="2">
        <v>945</v>
      </c>
      <c r="F1563" s="1764"/>
      <c r="G1563" s="1764"/>
      <c r="H1563" s="1764"/>
      <c r="I1563" s="1764"/>
      <c r="J1563" s="1764"/>
      <c r="K1563" s="1764"/>
      <c r="L1563" s="1764"/>
      <c r="M1563" s="1765"/>
      <c r="N1563" s="1765"/>
      <c r="O1563" s="1765"/>
      <c r="P1563" s="1765"/>
      <c r="Q1563" s="1765"/>
      <c r="W1563" t="s">
        <v>2089</v>
      </c>
    </row>
    <row r="1564" spans="1:23" ht="13.15" customHeight="1" x14ac:dyDescent="0.2">
      <c r="A1564" s="2" t="s">
        <v>2241</v>
      </c>
      <c r="B1564" s="2">
        <f t="shared" si="48"/>
        <v>2019</v>
      </c>
      <c r="C1564" s="2" t="str">
        <f t="shared" si="49"/>
        <v>EC101</v>
      </c>
      <c r="D1564" s="2">
        <v>946</v>
      </c>
      <c r="F1564" s="1764"/>
      <c r="G1564" s="1764"/>
      <c r="H1564" s="1764"/>
      <c r="I1564" s="1764"/>
      <c r="J1564" s="1764"/>
      <c r="K1564" s="1764"/>
      <c r="L1564" s="1764"/>
      <c r="M1564" s="1765"/>
      <c r="N1564" s="1765"/>
      <c r="O1564" s="1765"/>
      <c r="P1564" s="1765"/>
      <c r="Q1564" s="1765"/>
      <c r="W1564" t="s">
        <v>2089</v>
      </c>
    </row>
    <row r="1565" spans="1:23" ht="13.15" customHeight="1" x14ac:dyDescent="0.2">
      <c r="A1565" s="2" t="s">
        <v>2241</v>
      </c>
      <c r="B1565" s="2">
        <f t="shared" si="48"/>
        <v>2019</v>
      </c>
      <c r="C1565" s="2" t="str">
        <f t="shared" si="49"/>
        <v>EC101</v>
      </c>
      <c r="D1565" s="2">
        <v>947</v>
      </c>
      <c r="F1565" s="1764"/>
      <c r="G1565" s="1764"/>
      <c r="H1565" s="1764"/>
      <c r="I1565" s="1764"/>
      <c r="J1565" s="1764"/>
      <c r="K1565" s="1764"/>
      <c r="L1565" s="1764"/>
      <c r="M1565" s="1765"/>
      <c r="N1565" s="1765"/>
      <c r="O1565" s="1765"/>
      <c r="P1565" s="1765"/>
      <c r="Q1565" s="1765"/>
      <c r="W1565" t="s">
        <v>2089</v>
      </c>
    </row>
    <row r="1566" spans="1:23" ht="13.15" customHeight="1" x14ac:dyDescent="0.2">
      <c r="A1566" s="2" t="s">
        <v>2241</v>
      </c>
      <c r="B1566" s="2">
        <f t="shared" si="48"/>
        <v>2019</v>
      </c>
      <c r="C1566" s="2" t="str">
        <f t="shared" si="49"/>
        <v>EC101</v>
      </c>
      <c r="D1566" s="2">
        <v>948</v>
      </c>
      <c r="F1566" s="1764"/>
      <c r="G1566" s="1764"/>
      <c r="H1566" s="1764"/>
      <c r="I1566" s="1764"/>
      <c r="J1566" s="1764"/>
      <c r="K1566" s="1764"/>
      <c r="L1566" s="1764"/>
      <c r="M1566" s="1765"/>
      <c r="N1566" s="1765"/>
      <c r="O1566" s="1765"/>
      <c r="P1566" s="1765"/>
      <c r="Q1566" s="1765"/>
      <c r="W1566" t="s">
        <v>2089</v>
      </c>
    </row>
    <row r="1567" spans="1:23" ht="13.15" customHeight="1" x14ac:dyDescent="0.2">
      <c r="A1567" s="2" t="s">
        <v>2241</v>
      </c>
      <c r="B1567" s="2">
        <f t="shared" si="48"/>
        <v>2019</v>
      </c>
      <c r="C1567" s="2" t="str">
        <f t="shared" si="49"/>
        <v>EC101</v>
      </c>
      <c r="D1567" s="2">
        <v>949</v>
      </c>
      <c r="F1567" s="1764"/>
      <c r="G1567" s="1764"/>
      <c r="H1567" s="1764"/>
      <c r="I1567" s="1764"/>
      <c r="J1567" s="1764"/>
      <c r="K1567" s="1764"/>
      <c r="L1567" s="1764"/>
      <c r="M1567" s="1765"/>
      <c r="N1567" s="1765"/>
      <c r="O1567" s="1765"/>
      <c r="P1567" s="1765"/>
      <c r="Q1567" s="1765"/>
      <c r="W1567" t="s">
        <v>2089</v>
      </c>
    </row>
    <row r="1568" spans="1:23" ht="13.15" customHeight="1" x14ac:dyDescent="0.2">
      <c r="A1568" s="2" t="s">
        <v>2241</v>
      </c>
      <c r="B1568" s="2">
        <f t="shared" si="48"/>
        <v>2019</v>
      </c>
      <c r="C1568" s="2" t="str">
        <f t="shared" si="49"/>
        <v>EC101</v>
      </c>
      <c r="D1568" s="2">
        <v>950</v>
      </c>
      <c r="F1568" s="1764"/>
      <c r="G1568" s="1764"/>
      <c r="H1568" s="1764"/>
      <c r="I1568" s="1764"/>
      <c r="J1568" s="1764"/>
      <c r="K1568" s="1764"/>
      <c r="L1568" s="1764"/>
      <c r="M1568" s="1765"/>
      <c r="N1568" s="1765"/>
      <c r="O1568" s="1765"/>
      <c r="P1568" s="1765"/>
      <c r="Q1568" s="1765"/>
      <c r="W1568" t="s">
        <v>2089</v>
      </c>
    </row>
    <row r="1569" spans="1:23" ht="13.15" customHeight="1" x14ac:dyDescent="0.2">
      <c r="A1569" s="2" t="s">
        <v>2241</v>
      </c>
      <c r="B1569" s="2">
        <f t="shared" si="48"/>
        <v>2019</v>
      </c>
      <c r="C1569" s="2" t="str">
        <f t="shared" si="49"/>
        <v>EC101</v>
      </c>
      <c r="D1569" s="2">
        <v>951</v>
      </c>
      <c r="F1569" s="1764"/>
      <c r="G1569" s="1764"/>
      <c r="H1569" s="1764"/>
      <c r="I1569" s="1764"/>
      <c r="J1569" s="1764"/>
      <c r="K1569" s="1764"/>
      <c r="L1569" s="1764"/>
      <c r="M1569" s="1765"/>
      <c r="N1569" s="1765"/>
      <c r="O1569" s="1765"/>
      <c r="P1569" s="1765"/>
      <c r="Q1569" s="1765"/>
      <c r="W1569" t="s">
        <v>2089</v>
      </c>
    </row>
    <row r="1570" spans="1:23" ht="13.15" customHeight="1" x14ac:dyDescent="0.2">
      <c r="A1570" s="2" t="s">
        <v>2241</v>
      </c>
      <c r="B1570" s="2">
        <f t="shared" si="48"/>
        <v>2019</v>
      </c>
      <c r="C1570" s="2" t="str">
        <f t="shared" si="49"/>
        <v>EC101</v>
      </c>
      <c r="D1570" s="2">
        <v>952</v>
      </c>
      <c r="F1570" s="1764"/>
      <c r="G1570" s="1764"/>
      <c r="H1570" s="1764"/>
      <c r="I1570" s="1764"/>
      <c r="J1570" s="1764"/>
      <c r="K1570" s="1764"/>
      <c r="L1570" s="1764"/>
      <c r="M1570" s="1765"/>
      <c r="N1570" s="1765"/>
      <c r="O1570" s="1765"/>
      <c r="P1570" s="1765"/>
      <c r="Q1570" s="1765"/>
      <c r="W1570" t="s">
        <v>2089</v>
      </c>
    </row>
    <row r="1571" spans="1:23" ht="13.15" customHeight="1" x14ac:dyDescent="0.2">
      <c r="A1571" s="2" t="s">
        <v>2241</v>
      </c>
      <c r="B1571" s="2">
        <f t="shared" si="48"/>
        <v>2019</v>
      </c>
      <c r="C1571" s="2" t="str">
        <f t="shared" si="49"/>
        <v>EC101</v>
      </c>
      <c r="D1571" s="2">
        <v>953</v>
      </c>
      <c r="F1571" s="1764"/>
      <c r="G1571" s="1764"/>
      <c r="H1571" s="1764"/>
      <c r="I1571" s="1764"/>
      <c r="J1571" s="1764"/>
      <c r="K1571" s="1764"/>
      <c r="L1571" s="1764"/>
      <c r="M1571" s="1765"/>
      <c r="N1571" s="1765"/>
      <c r="O1571" s="1765"/>
      <c r="P1571" s="1765"/>
      <c r="Q1571" s="1765"/>
      <c r="W1571" t="s">
        <v>2089</v>
      </c>
    </row>
    <row r="1572" spans="1:23" ht="13.15" customHeight="1" x14ac:dyDescent="0.2">
      <c r="A1572" s="2" t="s">
        <v>2241</v>
      </c>
      <c r="B1572" s="2">
        <f t="shared" si="48"/>
        <v>2019</v>
      </c>
      <c r="C1572" s="2" t="str">
        <f t="shared" si="49"/>
        <v>EC101</v>
      </c>
      <c r="D1572" s="2">
        <v>954</v>
      </c>
      <c r="F1572" s="1764"/>
      <c r="G1572" s="1764"/>
      <c r="H1572" s="1764"/>
      <c r="I1572" s="1764"/>
      <c r="J1572" s="1764"/>
      <c r="K1572" s="1764"/>
      <c r="L1572" s="1764"/>
      <c r="M1572" s="1765"/>
      <c r="N1572" s="1765"/>
      <c r="O1572" s="1765"/>
      <c r="P1572" s="1765"/>
      <c r="Q1572" s="1765"/>
      <c r="W1572" t="s">
        <v>2089</v>
      </c>
    </row>
    <row r="1573" spans="1:23" ht="13.15" customHeight="1" x14ac:dyDescent="0.2">
      <c r="A1573" s="2" t="s">
        <v>2241</v>
      </c>
      <c r="B1573" s="2">
        <f t="shared" si="48"/>
        <v>2019</v>
      </c>
      <c r="C1573" s="2" t="str">
        <f t="shared" si="49"/>
        <v>EC101</v>
      </c>
      <c r="D1573" s="2">
        <v>955</v>
      </c>
      <c r="F1573" s="1764"/>
      <c r="G1573" s="1764"/>
      <c r="H1573" s="1764"/>
      <c r="I1573" s="1764"/>
      <c r="J1573" s="1764"/>
      <c r="K1573" s="1764"/>
      <c r="L1573" s="1764"/>
      <c r="M1573" s="1765"/>
      <c r="N1573" s="1765"/>
      <c r="O1573" s="1765"/>
      <c r="P1573" s="1765"/>
      <c r="Q1573" s="1765"/>
      <c r="W1573" t="s">
        <v>2089</v>
      </c>
    </row>
    <row r="1574" spans="1:23" ht="13.15" customHeight="1" x14ac:dyDescent="0.2">
      <c r="A1574" s="2" t="s">
        <v>2241</v>
      </c>
      <c r="B1574" s="2">
        <f t="shared" si="48"/>
        <v>2019</v>
      </c>
      <c r="C1574" s="2" t="str">
        <f t="shared" si="49"/>
        <v>EC101</v>
      </c>
      <c r="D1574" s="2">
        <v>956</v>
      </c>
      <c r="F1574" s="1764"/>
      <c r="G1574" s="1764"/>
      <c r="H1574" s="1764"/>
      <c r="I1574" s="1764"/>
      <c r="J1574" s="1764"/>
      <c r="K1574" s="1764"/>
      <c r="L1574" s="1764"/>
      <c r="M1574" s="1765"/>
      <c r="N1574" s="1765"/>
      <c r="O1574" s="1765"/>
      <c r="P1574" s="1765"/>
      <c r="Q1574" s="1765"/>
      <c r="W1574" t="s">
        <v>2089</v>
      </c>
    </row>
    <row r="1575" spans="1:23" ht="13.15" customHeight="1" x14ac:dyDescent="0.2">
      <c r="A1575" s="2" t="s">
        <v>2241</v>
      </c>
      <c r="B1575" s="2">
        <f t="shared" si="48"/>
        <v>2019</v>
      </c>
      <c r="C1575" s="2" t="str">
        <f t="shared" si="49"/>
        <v>EC101</v>
      </c>
      <c r="D1575" s="2">
        <v>957</v>
      </c>
      <c r="F1575" s="1764"/>
      <c r="G1575" s="1764"/>
      <c r="H1575" s="1764"/>
      <c r="I1575" s="1764"/>
      <c r="J1575" s="1764"/>
      <c r="K1575" s="1764"/>
      <c r="L1575" s="1764"/>
      <c r="M1575" s="1765"/>
      <c r="N1575" s="1765"/>
      <c r="O1575" s="1765"/>
      <c r="P1575" s="1765"/>
      <c r="Q1575" s="1765"/>
      <c r="W1575" t="s">
        <v>2089</v>
      </c>
    </row>
    <row r="1576" spans="1:23" ht="13.15" customHeight="1" x14ac:dyDescent="0.2">
      <c r="A1576" s="2" t="s">
        <v>2241</v>
      </c>
      <c r="B1576" s="2">
        <f t="shared" si="48"/>
        <v>2019</v>
      </c>
      <c r="C1576" s="2" t="str">
        <f t="shared" si="49"/>
        <v>EC101</v>
      </c>
      <c r="D1576" s="2">
        <v>958</v>
      </c>
      <c r="F1576" s="1764"/>
      <c r="G1576" s="1764"/>
      <c r="H1576" s="1764"/>
      <c r="I1576" s="1764"/>
      <c r="J1576" s="1764"/>
      <c r="K1576" s="1764"/>
      <c r="L1576" s="1764"/>
      <c r="M1576" s="1765"/>
      <c r="N1576" s="1765"/>
      <c r="O1576" s="1765"/>
      <c r="P1576" s="1765"/>
      <c r="Q1576" s="1765"/>
      <c r="W1576" t="s">
        <v>2089</v>
      </c>
    </row>
    <row r="1577" spans="1:23" ht="13.15" customHeight="1" x14ac:dyDescent="0.2">
      <c r="A1577" s="2" t="s">
        <v>2241</v>
      </c>
      <c r="B1577" s="2">
        <f t="shared" si="48"/>
        <v>2019</v>
      </c>
      <c r="C1577" s="2" t="str">
        <f t="shared" si="49"/>
        <v>EC101</v>
      </c>
      <c r="D1577" s="2">
        <v>959</v>
      </c>
      <c r="F1577" s="1764"/>
      <c r="G1577" s="1764"/>
      <c r="H1577" s="1764"/>
      <c r="I1577" s="1764"/>
      <c r="J1577" s="1764"/>
      <c r="K1577" s="1764"/>
      <c r="L1577" s="1764"/>
      <c r="M1577" s="1765"/>
      <c r="N1577" s="1765"/>
      <c r="O1577" s="1765"/>
      <c r="P1577" s="1765"/>
      <c r="Q1577" s="1765"/>
      <c r="W1577" t="s">
        <v>2089</v>
      </c>
    </row>
    <row r="1578" spans="1:23" ht="13.15" customHeight="1" x14ac:dyDescent="0.2">
      <c r="A1578" s="2" t="s">
        <v>2241</v>
      </c>
      <c r="B1578" s="2">
        <f t="shared" si="48"/>
        <v>2019</v>
      </c>
      <c r="C1578" s="2" t="str">
        <f t="shared" si="49"/>
        <v>EC101</v>
      </c>
      <c r="D1578" s="2">
        <v>960</v>
      </c>
      <c r="F1578" s="1764"/>
      <c r="G1578" s="1764"/>
      <c r="H1578" s="1764"/>
      <c r="I1578" s="1764"/>
      <c r="J1578" s="1764"/>
      <c r="K1578" s="1764"/>
      <c r="L1578" s="1764"/>
      <c r="M1578" s="1765"/>
      <c r="N1578" s="1765"/>
      <c r="O1578" s="1765"/>
      <c r="P1578" s="1765"/>
      <c r="Q1578" s="1765"/>
      <c r="W1578" t="s">
        <v>2089</v>
      </c>
    </row>
    <row r="1579" spans="1:23" ht="13.15" customHeight="1" x14ac:dyDescent="0.2">
      <c r="A1579" s="2" t="s">
        <v>2241</v>
      </c>
      <c r="B1579" s="2">
        <f t="shared" si="48"/>
        <v>2019</v>
      </c>
      <c r="C1579" s="2" t="str">
        <f t="shared" si="49"/>
        <v>EC101</v>
      </c>
      <c r="D1579" s="2">
        <v>961</v>
      </c>
      <c r="F1579" s="1764"/>
      <c r="G1579" s="1764"/>
      <c r="H1579" s="1764"/>
      <c r="I1579" s="1764"/>
      <c r="J1579" s="1764"/>
      <c r="K1579" s="1764"/>
      <c r="L1579" s="1764"/>
      <c r="M1579" s="1765"/>
      <c r="N1579" s="1765"/>
      <c r="O1579" s="1765"/>
      <c r="P1579" s="1765"/>
      <c r="Q1579" s="1765"/>
      <c r="W1579" t="s">
        <v>2089</v>
      </c>
    </row>
    <row r="1580" spans="1:23" ht="13.15" customHeight="1" x14ac:dyDescent="0.2">
      <c r="A1580" s="2" t="s">
        <v>2241</v>
      </c>
      <c r="B1580" s="2">
        <f t="shared" si="48"/>
        <v>2019</v>
      </c>
      <c r="C1580" s="2" t="str">
        <f t="shared" si="49"/>
        <v>EC101</v>
      </c>
      <c r="D1580" s="2">
        <v>962</v>
      </c>
      <c r="F1580" s="1764"/>
      <c r="G1580" s="1764"/>
      <c r="H1580" s="1764"/>
      <c r="I1580" s="1764"/>
      <c r="J1580" s="1764"/>
      <c r="K1580" s="1764"/>
      <c r="L1580" s="1764"/>
      <c r="M1580" s="1765"/>
      <c r="N1580" s="1765"/>
      <c r="O1580" s="1765"/>
      <c r="P1580" s="1765"/>
      <c r="Q1580" s="1765"/>
      <c r="W1580" t="s">
        <v>2089</v>
      </c>
    </row>
    <row r="1581" spans="1:23" ht="13.15" customHeight="1" x14ac:dyDescent="0.2">
      <c r="A1581" s="2" t="s">
        <v>2241</v>
      </c>
      <c r="B1581" s="2">
        <f t="shared" si="48"/>
        <v>2019</v>
      </c>
      <c r="C1581" s="2" t="str">
        <f t="shared" si="49"/>
        <v>EC101</v>
      </c>
      <c r="D1581" s="2">
        <v>963</v>
      </c>
      <c r="F1581" s="1764"/>
      <c r="G1581" s="1764"/>
      <c r="H1581" s="1764"/>
      <c r="I1581" s="1764"/>
      <c r="J1581" s="1764"/>
      <c r="K1581" s="1764"/>
      <c r="L1581" s="1764"/>
      <c r="M1581" s="1765"/>
      <c r="N1581" s="1765"/>
      <c r="O1581" s="1765"/>
      <c r="P1581" s="1765"/>
      <c r="Q1581" s="1765"/>
      <c r="W1581" t="s">
        <v>2089</v>
      </c>
    </row>
    <row r="1582" spans="1:23" ht="13.15" customHeight="1" x14ac:dyDescent="0.2">
      <c r="A1582" s="2" t="s">
        <v>2241</v>
      </c>
      <c r="B1582" s="2">
        <f t="shared" si="48"/>
        <v>2019</v>
      </c>
      <c r="C1582" s="2" t="str">
        <f t="shared" si="49"/>
        <v>EC101</v>
      </c>
      <c r="D1582" s="2">
        <v>964</v>
      </c>
      <c r="F1582" s="1764"/>
      <c r="G1582" s="1764"/>
      <c r="H1582" s="1764"/>
      <c r="I1582" s="1764"/>
      <c r="J1582" s="1764"/>
      <c r="K1582" s="1764"/>
      <c r="L1582" s="1764"/>
      <c r="M1582" s="1765"/>
      <c r="N1582" s="1765"/>
      <c r="O1582" s="1765"/>
      <c r="P1582" s="1765"/>
      <c r="Q1582" s="1765"/>
      <c r="W1582" t="s">
        <v>2089</v>
      </c>
    </row>
    <row r="1583" spans="1:23" ht="13.15" customHeight="1" x14ac:dyDescent="0.2">
      <c r="A1583" s="2" t="s">
        <v>2241</v>
      </c>
      <c r="B1583" s="2">
        <f t="shared" si="48"/>
        <v>2019</v>
      </c>
      <c r="C1583" s="2" t="str">
        <f t="shared" si="49"/>
        <v>EC101</v>
      </c>
      <c r="D1583" s="2">
        <v>965</v>
      </c>
      <c r="F1583" s="1764"/>
      <c r="G1583" s="1764"/>
      <c r="H1583" s="1764"/>
      <c r="I1583" s="1764"/>
      <c r="J1583" s="1764"/>
      <c r="K1583" s="1764"/>
      <c r="L1583" s="1764"/>
      <c r="M1583" s="1765"/>
      <c r="N1583" s="1765"/>
      <c r="O1583" s="1765"/>
      <c r="P1583" s="1765"/>
      <c r="Q1583" s="1765"/>
      <c r="W1583" t="s">
        <v>2089</v>
      </c>
    </row>
    <row r="1584" spans="1:23" ht="13.15" customHeight="1" x14ac:dyDescent="0.2">
      <c r="A1584" s="2" t="s">
        <v>2241</v>
      </c>
      <c r="B1584" s="2">
        <f t="shared" si="48"/>
        <v>2019</v>
      </c>
      <c r="C1584" s="2" t="str">
        <f t="shared" si="49"/>
        <v>EC101</v>
      </c>
      <c r="D1584" s="2">
        <v>966</v>
      </c>
      <c r="F1584" s="1764"/>
      <c r="G1584" s="1764"/>
      <c r="H1584" s="1764"/>
      <c r="I1584" s="1764"/>
      <c r="J1584" s="1764"/>
      <c r="K1584" s="1764"/>
      <c r="L1584" s="1764"/>
      <c r="M1584" s="1765"/>
      <c r="N1584" s="1765"/>
      <c r="O1584" s="1765"/>
      <c r="P1584" s="1765"/>
      <c r="Q1584" s="1765"/>
      <c r="W1584" t="s">
        <v>2089</v>
      </c>
    </row>
    <row r="1585" spans="1:23" ht="13.15" customHeight="1" x14ac:dyDescent="0.2">
      <c r="A1585" s="2" t="s">
        <v>2241</v>
      </c>
      <c r="B1585" s="2">
        <f t="shared" si="48"/>
        <v>2019</v>
      </c>
      <c r="C1585" s="2" t="str">
        <f t="shared" si="49"/>
        <v>EC101</v>
      </c>
      <c r="D1585" s="2">
        <v>967</v>
      </c>
      <c r="F1585" s="1764"/>
      <c r="G1585" s="1764"/>
      <c r="H1585" s="1764"/>
      <c r="I1585" s="1764"/>
      <c r="J1585" s="1764"/>
      <c r="K1585" s="1764"/>
      <c r="L1585" s="1764"/>
      <c r="M1585" s="1765"/>
      <c r="N1585" s="1765"/>
      <c r="O1585" s="1765"/>
      <c r="P1585" s="1765"/>
      <c r="Q1585" s="1765"/>
      <c r="W1585" t="s">
        <v>2089</v>
      </c>
    </row>
    <row r="1586" spans="1:23" ht="13.15" customHeight="1" x14ac:dyDescent="0.2">
      <c r="A1586" s="2" t="s">
        <v>2241</v>
      </c>
      <c r="B1586" s="2">
        <f t="shared" si="48"/>
        <v>2019</v>
      </c>
      <c r="C1586" s="2" t="str">
        <f t="shared" si="49"/>
        <v>EC101</v>
      </c>
      <c r="D1586" s="2">
        <v>968</v>
      </c>
      <c r="F1586" s="1764"/>
      <c r="G1586" s="1764"/>
      <c r="H1586" s="1764"/>
      <c r="I1586" s="1764"/>
      <c r="J1586" s="1764"/>
      <c r="K1586" s="1764"/>
      <c r="L1586" s="1764"/>
      <c r="M1586" s="1765"/>
      <c r="N1586" s="1765"/>
      <c r="O1586" s="1765"/>
      <c r="P1586" s="1765"/>
      <c r="Q1586" s="1765"/>
      <c r="W1586" t="s">
        <v>2089</v>
      </c>
    </row>
    <row r="1587" spans="1:23" ht="13.15" customHeight="1" x14ac:dyDescent="0.2">
      <c r="A1587" s="2" t="s">
        <v>2241</v>
      </c>
      <c r="B1587" s="2">
        <f t="shared" si="48"/>
        <v>2019</v>
      </c>
      <c r="C1587" s="2" t="str">
        <f t="shared" si="49"/>
        <v>EC101</v>
      </c>
      <c r="D1587" s="2">
        <v>969</v>
      </c>
      <c r="F1587" s="1764"/>
      <c r="G1587" s="1764"/>
      <c r="H1587" s="1764"/>
      <c r="I1587" s="1764"/>
      <c r="J1587" s="1764"/>
      <c r="K1587" s="1764"/>
      <c r="L1587" s="1764"/>
      <c r="M1587" s="1765"/>
      <c r="N1587" s="1765"/>
      <c r="O1587" s="1765"/>
      <c r="P1587" s="1765"/>
      <c r="Q1587" s="1765"/>
      <c r="W1587" t="s">
        <v>2089</v>
      </c>
    </row>
    <row r="1588" spans="1:23" ht="13.15" customHeight="1" x14ac:dyDescent="0.2">
      <c r="A1588" s="2" t="s">
        <v>2241</v>
      </c>
      <c r="B1588" s="2">
        <f t="shared" si="48"/>
        <v>2019</v>
      </c>
      <c r="C1588" s="2" t="str">
        <f t="shared" si="49"/>
        <v>EC101</v>
      </c>
      <c r="D1588" s="2">
        <v>970</v>
      </c>
      <c r="F1588" s="1764"/>
      <c r="G1588" s="1764"/>
      <c r="H1588" s="1764"/>
      <c r="I1588" s="1764"/>
      <c r="J1588" s="1764"/>
      <c r="K1588" s="1764"/>
      <c r="L1588" s="1764"/>
      <c r="M1588" s="1765"/>
      <c r="N1588" s="1765"/>
      <c r="O1588" s="1765"/>
      <c r="P1588" s="1765"/>
      <c r="Q1588" s="1765"/>
      <c r="W1588" t="s">
        <v>2089</v>
      </c>
    </row>
    <row r="1589" spans="1:23" ht="13.15" customHeight="1" x14ac:dyDescent="0.2">
      <c r="A1589" s="2" t="s">
        <v>2241</v>
      </c>
      <c r="B1589" s="2">
        <f t="shared" si="48"/>
        <v>2019</v>
      </c>
      <c r="C1589" s="2" t="str">
        <f t="shared" si="49"/>
        <v>EC101</v>
      </c>
      <c r="D1589" s="2">
        <v>971</v>
      </c>
      <c r="F1589" s="1764"/>
      <c r="G1589" s="1764"/>
      <c r="H1589" s="1764"/>
      <c r="I1589" s="1764"/>
      <c r="J1589" s="1764"/>
      <c r="K1589" s="1764"/>
      <c r="L1589" s="1764"/>
      <c r="M1589" s="1765"/>
      <c r="N1589" s="1765"/>
      <c r="O1589" s="1765"/>
      <c r="P1589" s="1765"/>
      <c r="Q1589" s="1765"/>
      <c r="W1589" t="s">
        <v>2089</v>
      </c>
    </row>
    <row r="1590" spans="1:23" ht="13.15" customHeight="1" x14ac:dyDescent="0.2">
      <c r="A1590" s="2" t="s">
        <v>2241</v>
      </c>
      <c r="B1590" s="2">
        <f t="shared" si="48"/>
        <v>2019</v>
      </c>
      <c r="C1590" s="2" t="str">
        <f t="shared" si="49"/>
        <v>EC101</v>
      </c>
      <c r="D1590" s="2">
        <v>972</v>
      </c>
      <c r="F1590" s="1764"/>
      <c r="G1590" s="1764"/>
      <c r="H1590" s="1764"/>
      <c r="I1590" s="1764"/>
      <c r="J1590" s="1764"/>
      <c r="K1590" s="1764"/>
      <c r="L1590" s="1764"/>
      <c r="M1590" s="1765"/>
      <c r="N1590" s="1765"/>
      <c r="O1590" s="1765"/>
      <c r="P1590" s="1765"/>
      <c r="Q1590" s="1765"/>
      <c r="W1590" t="s">
        <v>2089</v>
      </c>
    </row>
    <row r="1591" spans="1:23" ht="13.15" customHeight="1" x14ac:dyDescent="0.2">
      <c r="A1591" s="2" t="s">
        <v>2241</v>
      </c>
      <c r="B1591" s="2">
        <f t="shared" si="48"/>
        <v>2019</v>
      </c>
      <c r="C1591" s="2" t="str">
        <f t="shared" si="49"/>
        <v>EC101</v>
      </c>
      <c r="D1591" s="2">
        <v>973</v>
      </c>
      <c r="F1591" s="1764"/>
      <c r="G1591" s="1764"/>
      <c r="H1591" s="1764"/>
      <c r="I1591" s="1764"/>
      <c r="J1591" s="1764"/>
      <c r="K1591" s="1764"/>
      <c r="L1591" s="1764"/>
      <c r="M1591" s="1765"/>
      <c r="N1591" s="1765"/>
      <c r="O1591" s="1765"/>
      <c r="P1591" s="1765"/>
      <c r="Q1591" s="1765"/>
      <c r="W1591" t="s">
        <v>2089</v>
      </c>
    </row>
    <row r="1592" spans="1:23" ht="13.15" customHeight="1" x14ac:dyDescent="0.2">
      <c r="A1592" s="2" t="s">
        <v>2241</v>
      </c>
      <c r="B1592" s="2">
        <f t="shared" si="48"/>
        <v>2019</v>
      </c>
      <c r="C1592" s="2" t="str">
        <f t="shared" si="49"/>
        <v>EC101</v>
      </c>
      <c r="D1592" s="2">
        <v>974</v>
      </c>
      <c r="F1592" s="1764"/>
      <c r="G1592" s="1764"/>
      <c r="H1592" s="1764"/>
      <c r="I1592" s="1764"/>
      <c r="J1592" s="1764"/>
      <c r="K1592" s="1764"/>
      <c r="L1592" s="1764"/>
      <c r="M1592" s="1765"/>
      <c r="N1592" s="1765"/>
      <c r="O1592" s="1765"/>
      <c r="P1592" s="1765"/>
      <c r="Q1592" s="1765"/>
      <c r="W1592" t="s">
        <v>2089</v>
      </c>
    </row>
    <row r="1593" spans="1:23" ht="13.15" customHeight="1" x14ac:dyDescent="0.2">
      <c r="A1593" s="2" t="s">
        <v>2241</v>
      </c>
      <c r="B1593" s="2">
        <f t="shared" si="48"/>
        <v>2019</v>
      </c>
      <c r="C1593" s="2" t="str">
        <f t="shared" si="49"/>
        <v>EC101</v>
      </c>
      <c r="D1593" s="2">
        <v>975</v>
      </c>
      <c r="F1593" s="1764"/>
      <c r="G1593" s="1764"/>
      <c r="H1593" s="1764"/>
      <c r="I1593" s="1764"/>
      <c r="J1593" s="1764"/>
      <c r="K1593" s="1764"/>
      <c r="L1593" s="1764"/>
      <c r="M1593" s="1765"/>
      <c r="N1593" s="1765"/>
      <c r="O1593" s="1765"/>
      <c r="P1593" s="1765"/>
      <c r="Q1593" s="1765"/>
      <c r="W1593" t="s">
        <v>2089</v>
      </c>
    </row>
    <row r="1594" spans="1:23" ht="13.15" customHeight="1" x14ac:dyDescent="0.2">
      <c r="A1594" s="2" t="s">
        <v>2241</v>
      </c>
      <c r="B1594" s="2">
        <f t="shared" si="48"/>
        <v>2019</v>
      </c>
      <c r="C1594" s="2" t="str">
        <f t="shared" si="49"/>
        <v>EC101</v>
      </c>
      <c r="D1594" s="2">
        <v>976</v>
      </c>
      <c r="F1594" s="1764"/>
      <c r="G1594" s="1764"/>
      <c r="H1594" s="1764"/>
      <c r="I1594" s="1764"/>
      <c r="J1594" s="1764"/>
      <c r="K1594" s="1764"/>
      <c r="L1594" s="1764"/>
      <c r="M1594" s="1765"/>
      <c r="N1594" s="1765"/>
      <c r="O1594" s="1765"/>
      <c r="P1594" s="1765"/>
      <c r="Q1594" s="1765"/>
      <c r="W1594" t="s">
        <v>2089</v>
      </c>
    </row>
    <row r="1595" spans="1:23" ht="13.15" customHeight="1" x14ac:dyDescent="0.2">
      <c r="A1595" s="2" t="s">
        <v>2241</v>
      </c>
      <c r="B1595" s="2">
        <f t="shared" si="48"/>
        <v>2019</v>
      </c>
      <c r="C1595" s="2" t="str">
        <f t="shared" si="49"/>
        <v>EC101</v>
      </c>
      <c r="D1595" s="2">
        <v>977</v>
      </c>
      <c r="F1595" s="1764"/>
      <c r="G1595" s="1764"/>
      <c r="H1595" s="1764"/>
      <c r="I1595" s="1764"/>
      <c r="J1595" s="1764"/>
      <c r="K1595" s="1764"/>
      <c r="L1595" s="1764"/>
      <c r="M1595" s="1765"/>
      <c r="N1595" s="1765"/>
      <c r="O1595" s="1765"/>
      <c r="P1595" s="1765"/>
      <c r="Q1595" s="1765"/>
      <c r="W1595" t="s">
        <v>2089</v>
      </c>
    </row>
    <row r="1596" spans="1:23" ht="13.15" customHeight="1" x14ac:dyDescent="0.2">
      <c r="A1596" s="2" t="s">
        <v>2241</v>
      </c>
      <c r="B1596" s="2">
        <f t="shared" si="48"/>
        <v>2019</v>
      </c>
      <c r="C1596" s="2" t="str">
        <f t="shared" si="49"/>
        <v>EC101</v>
      </c>
      <c r="D1596" s="2">
        <v>978</v>
      </c>
      <c r="F1596" s="1764"/>
      <c r="G1596" s="1764"/>
      <c r="H1596" s="1764"/>
      <c r="I1596" s="1764"/>
      <c r="J1596" s="1764"/>
      <c r="K1596" s="1764"/>
      <c r="L1596" s="1764"/>
      <c r="M1596" s="1765"/>
      <c r="N1596" s="1765"/>
      <c r="O1596" s="1765"/>
      <c r="P1596" s="1765"/>
      <c r="Q1596" s="1765"/>
      <c r="W1596" t="s">
        <v>2089</v>
      </c>
    </row>
    <row r="1597" spans="1:23" ht="13.15" customHeight="1" x14ac:dyDescent="0.2">
      <c r="A1597" s="2" t="s">
        <v>2241</v>
      </c>
      <c r="B1597" s="2">
        <f t="shared" si="48"/>
        <v>2019</v>
      </c>
      <c r="C1597" s="2" t="str">
        <f t="shared" si="49"/>
        <v>EC101</v>
      </c>
      <c r="D1597" s="2">
        <v>979</v>
      </c>
      <c r="F1597" s="1764"/>
      <c r="G1597" s="1764"/>
      <c r="H1597" s="1764"/>
      <c r="I1597" s="1764"/>
      <c r="J1597" s="1764"/>
      <c r="K1597" s="1764"/>
      <c r="L1597" s="1764"/>
      <c r="M1597" s="1765"/>
      <c r="N1597" s="1765"/>
      <c r="O1597" s="1765"/>
      <c r="P1597" s="1765"/>
      <c r="Q1597" s="1765"/>
      <c r="W1597" t="s">
        <v>2089</v>
      </c>
    </row>
    <row r="1598" spans="1:23" ht="13.15" customHeight="1" x14ac:dyDescent="0.2">
      <c r="A1598" s="2" t="s">
        <v>2241</v>
      </c>
      <c r="B1598" s="2">
        <f t="shared" si="48"/>
        <v>2019</v>
      </c>
      <c r="C1598" s="2" t="str">
        <f t="shared" si="49"/>
        <v>EC101</v>
      </c>
      <c r="D1598" s="2">
        <v>980</v>
      </c>
      <c r="F1598" s="1764"/>
      <c r="G1598" s="1764"/>
      <c r="H1598" s="1764"/>
      <c r="I1598" s="1764"/>
      <c r="J1598" s="1764"/>
      <c r="K1598" s="1764"/>
      <c r="L1598" s="1764"/>
      <c r="M1598" s="1765"/>
      <c r="N1598" s="1765"/>
      <c r="O1598" s="1765"/>
      <c r="P1598" s="1765"/>
      <c r="Q1598" s="1765"/>
      <c r="W1598" t="s">
        <v>2089</v>
      </c>
    </row>
    <row r="1599" spans="1:23" ht="13.15" customHeight="1" x14ac:dyDescent="0.2">
      <c r="A1599" s="2" t="s">
        <v>2241</v>
      </c>
      <c r="B1599" s="2">
        <f t="shared" si="48"/>
        <v>2019</v>
      </c>
      <c r="C1599" s="2" t="str">
        <f t="shared" si="49"/>
        <v>EC101</v>
      </c>
      <c r="D1599" s="2">
        <v>981</v>
      </c>
      <c r="F1599" s="1764"/>
      <c r="G1599" s="1764"/>
      <c r="H1599" s="1764"/>
      <c r="I1599" s="1764"/>
      <c r="J1599" s="1764"/>
      <c r="K1599" s="1764"/>
      <c r="L1599" s="1764"/>
      <c r="M1599" s="1765"/>
      <c r="N1599" s="1765"/>
      <c r="O1599" s="1765"/>
      <c r="P1599" s="1765"/>
      <c r="Q1599" s="1765"/>
      <c r="W1599" t="s">
        <v>2089</v>
      </c>
    </row>
    <row r="1600" spans="1:23" ht="13.15" customHeight="1" x14ac:dyDescent="0.2">
      <c r="A1600" s="2" t="s">
        <v>2241</v>
      </c>
      <c r="B1600" s="2">
        <f t="shared" si="48"/>
        <v>2019</v>
      </c>
      <c r="C1600" s="2" t="str">
        <f t="shared" si="49"/>
        <v>EC101</v>
      </c>
      <c r="D1600" s="2">
        <v>982</v>
      </c>
      <c r="F1600" s="1764"/>
      <c r="G1600" s="1764"/>
      <c r="H1600" s="1764"/>
      <c r="I1600" s="1764"/>
      <c r="J1600" s="1764"/>
      <c r="K1600" s="1764"/>
      <c r="L1600" s="1764"/>
      <c r="M1600" s="1765"/>
      <c r="N1600" s="1765"/>
      <c r="O1600" s="1765"/>
      <c r="P1600" s="1765"/>
      <c r="Q1600" s="1765"/>
      <c r="W1600" t="s">
        <v>2089</v>
      </c>
    </row>
    <row r="1601" spans="1:23" ht="13.15" customHeight="1" x14ac:dyDescent="0.2">
      <c r="A1601" s="2" t="s">
        <v>2241</v>
      </c>
      <c r="B1601" s="2">
        <f t="shared" si="48"/>
        <v>2019</v>
      </c>
      <c r="C1601" s="2" t="str">
        <f t="shared" si="49"/>
        <v>EC101</v>
      </c>
      <c r="D1601" s="2">
        <v>983</v>
      </c>
      <c r="F1601" s="1764"/>
      <c r="G1601" s="1764"/>
      <c r="H1601" s="1764"/>
      <c r="I1601" s="1764"/>
      <c r="J1601" s="1764"/>
      <c r="K1601" s="1764"/>
      <c r="L1601" s="1764"/>
      <c r="M1601" s="1765"/>
      <c r="N1601" s="1765"/>
      <c r="O1601" s="1765"/>
      <c r="P1601" s="1765"/>
      <c r="Q1601" s="1765"/>
      <c r="W1601" t="s">
        <v>2089</v>
      </c>
    </row>
    <row r="1602" spans="1:23" ht="13.15" customHeight="1" x14ac:dyDescent="0.2">
      <c r="A1602" s="2" t="s">
        <v>2241</v>
      </c>
      <c r="B1602" s="2">
        <f t="shared" ref="B1602:B1665" si="50">+MTREF</f>
        <v>2019</v>
      </c>
      <c r="C1602" s="2" t="str">
        <f t="shared" ref="C1602:C1665" si="51">LEFT(muni,(FIND(" ",muni,1)-1))</f>
        <v>EC101</v>
      </c>
      <c r="D1602" s="2">
        <v>984</v>
      </c>
      <c r="F1602" s="1764"/>
      <c r="G1602" s="1764"/>
      <c r="H1602" s="1764"/>
      <c r="I1602" s="1764"/>
      <c r="J1602" s="1764"/>
      <c r="K1602" s="1764"/>
      <c r="L1602" s="1764"/>
      <c r="M1602" s="1765"/>
      <c r="N1602" s="1765"/>
      <c r="O1602" s="1765"/>
      <c r="P1602" s="1765"/>
      <c r="Q1602" s="1765"/>
      <c r="W1602" t="s">
        <v>2089</v>
      </c>
    </row>
    <row r="1603" spans="1:23" ht="13.15" customHeight="1" x14ac:dyDescent="0.2">
      <c r="A1603" s="2" t="s">
        <v>2241</v>
      </c>
      <c r="B1603" s="2">
        <f t="shared" si="50"/>
        <v>2019</v>
      </c>
      <c r="C1603" s="2" t="str">
        <f t="shared" si="51"/>
        <v>EC101</v>
      </c>
      <c r="D1603" s="2">
        <v>985</v>
      </c>
      <c r="F1603" s="1764"/>
      <c r="G1603" s="1764"/>
      <c r="H1603" s="1764"/>
      <c r="I1603" s="1764"/>
      <c r="J1603" s="1764"/>
      <c r="K1603" s="1764"/>
      <c r="L1603" s="1764"/>
      <c r="M1603" s="1765"/>
      <c r="N1603" s="1765"/>
      <c r="O1603" s="1765"/>
      <c r="P1603" s="1765"/>
      <c r="Q1603" s="1765"/>
      <c r="W1603" t="s">
        <v>2089</v>
      </c>
    </row>
    <row r="1604" spans="1:23" ht="13.15" customHeight="1" x14ac:dyDescent="0.2">
      <c r="A1604" s="2" t="s">
        <v>2241</v>
      </c>
      <c r="B1604" s="2">
        <f t="shared" si="50"/>
        <v>2019</v>
      </c>
      <c r="C1604" s="2" t="str">
        <f t="shared" si="51"/>
        <v>EC101</v>
      </c>
      <c r="D1604" s="2">
        <v>986</v>
      </c>
      <c r="F1604" s="1764"/>
      <c r="G1604" s="1764"/>
      <c r="H1604" s="1764"/>
      <c r="I1604" s="1764"/>
      <c r="J1604" s="1764"/>
      <c r="K1604" s="1764"/>
      <c r="L1604" s="1764"/>
      <c r="M1604" s="1765"/>
      <c r="N1604" s="1765"/>
      <c r="O1604" s="1765"/>
      <c r="P1604" s="1765"/>
      <c r="Q1604" s="1765"/>
      <c r="W1604" t="s">
        <v>2089</v>
      </c>
    </row>
    <row r="1605" spans="1:23" ht="13.15" customHeight="1" x14ac:dyDescent="0.2">
      <c r="A1605" s="2" t="s">
        <v>2241</v>
      </c>
      <c r="B1605" s="2">
        <f t="shared" si="50"/>
        <v>2019</v>
      </c>
      <c r="C1605" s="2" t="str">
        <f t="shared" si="51"/>
        <v>EC101</v>
      </c>
      <c r="D1605" s="2">
        <v>987</v>
      </c>
      <c r="F1605" s="1764"/>
      <c r="G1605" s="1764"/>
      <c r="H1605" s="1764"/>
      <c r="I1605" s="1764"/>
      <c r="J1605" s="1764"/>
      <c r="K1605" s="1764"/>
      <c r="L1605" s="1764"/>
      <c r="M1605" s="1765"/>
      <c r="N1605" s="1765"/>
      <c r="O1605" s="1765"/>
      <c r="P1605" s="1765"/>
      <c r="Q1605" s="1765"/>
      <c r="W1605" t="s">
        <v>2089</v>
      </c>
    </row>
    <row r="1606" spans="1:23" ht="13.15" customHeight="1" x14ac:dyDescent="0.2">
      <c r="A1606" s="2" t="s">
        <v>2241</v>
      </c>
      <c r="B1606" s="2">
        <f t="shared" si="50"/>
        <v>2019</v>
      </c>
      <c r="C1606" s="2" t="str">
        <f t="shared" si="51"/>
        <v>EC101</v>
      </c>
      <c r="D1606" s="2">
        <v>988</v>
      </c>
      <c r="F1606" s="1764"/>
      <c r="G1606" s="1764"/>
      <c r="H1606" s="1764"/>
      <c r="I1606" s="1764"/>
      <c r="J1606" s="1764"/>
      <c r="K1606" s="1764"/>
      <c r="L1606" s="1764"/>
      <c r="M1606" s="1765"/>
      <c r="N1606" s="1765"/>
      <c r="O1606" s="1765"/>
      <c r="P1606" s="1765"/>
      <c r="Q1606" s="1765"/>
      <c r="W1606" t="s">
        <v>2089</v>
      </c>
    </row>
    <row r="1607" spans="1:23" ht="13.15" customHeight="1" x14ac:dyDescent="0.2">
      <c r="A1607" s="2" t="s">
        <v>2241</v>
      </c>
      <c r="B1607" s="2">
        <f t="shared" si="50"/>
        <v>2019</v>
      </c>
      <c r="C1607" s="2" t="str">
        <f t="shared" si="51"/>
        <v>EC101</v>
      </c>
      <c r="D1607" s="2">
        <v>989</v>
      </c>
      <c r="F1607" s="1764"/>
      <c r="G1607" s="1764"/>
      <c r="H1607" s="1764"/>
      <c r="I1607" s="1764"/>
      <c r="J1607" s="1764"/>
      <c r="K1607" s="1764"/>
      <c r="L1607" s="1764"/>
      <c r="M1607" s="1765"/>
      <c r="N1607" s="1765"/>
      <c r="O1607" s="1765"/>
      <c r="P1607" s="1765"/>
      <c r="Q1607" s="1765"/>
      <c r="W1607" t="s">
        <v>2089</v>
      </c>
    </row>
    <row r="1608" spans="1:23" ht="13.15" customHeight="1" x14ac:dyDescent="0.2">
      <c r="A1608" s="2" t="s">
        <v>2241</v>
      </c>
      <c r="B1608" s="2">
        <f t="shared" si="50"/>
        <v>2019</v>
      </c>
      <c r="C1608" s="2" t="str">
        <f t="shared" si="51"/>
        <v>EC101</v>
      </c>
      <c r="D1608" s="2">
        <v>990</v>
      </c>
      <c r="F1608" s="1764"/>
      <c r="G1608" s="1764"/>
      <c r="H1608" s="1764"/>
      <c r="I1608" s="1764"/>
      <c r="J1608" s="1764"/>
      <c r="K1608" s="1764"/>
      <c r="L1608" s="1764"/>
      <c r="M1608" s="1765"/>
      <c r="N1608" s="1765"/>
      <c r="O1608" s="1765"/>
      <c r="P1608" s="1765"/>
      <c r="Q1608" s="1765"/>
      <c r="W1608" t="s">
        <v>2089</v>
      </c>
    </row>
    <row r="1609" spans="1:23" ht="13.15" customHeight="1" x14ac:dyDescent="0.2">
      <c r="A1609" s="2" t="s">
        <v>2241</v>
      </c>
      <c r="B1609" s="2">
        <f t="shared" si="50"/>
        <v>2019</v>
      </c>
      <c r="C1609" s="2" t="str">
        <f t="shared" si="51"/>
        <v>EC101</v>
      </c>
      <c r="D1609" s="2">
        <v>991</v>
      </c>
      <c r="F1609" s="1764"/>
      <c r="G1609" s="1764"/>
      <c r="H1609" s="1764"/>
      <c r="I1609" s="1764"/>
      <c r="J1609" s="1764"/>
      <c r="K1609" s="1764"/>
      <c r="L1609" s="1764"/>
      <c r="M1609" s="1765"/>
      <c r="N1609" s="1765"/>
      <c r="O1609" s="1765"/>
      <c r="P1609" s="1765"/>
      <c r="Q1609" s="1765"/>
      <c r="W1609" t="s">
        <v>2089</v>
      </c>
    </row>
    <row r="1610" spans="1:23" ht="13.15" customHeight="1" x14ac:dyDescent="0.2">
      <c r="A1610" s="2" t="s">
        <v>2241</v>
      </c>
      <c r="B1610" s="2">
        <f t="shared" si="50"/>
        <v>2019</v>
      </c>
      <c r="C1610" s="2" t="str">
        <f t="shared" si="51"/>
        <v>EC101</v>
      </c>
      <c r="D1610" s="2">
        <v>992</v>
      </c>
      <c r="F1610" s="1764"/>
      <c r="G1610" s="1764"/>
      <c r="H1610" s="1764"/>
      <c r="I1610" s="1764"/>
      <c r="J1610" s="1764"/>
      <c r="K1610" s="1764"/>
      <c r="L1610" s="1764"/>
      <c r="M1610" s="1765"/>
      <c r="N1610" s="1765"/>
      <c r="O1610" s="1765"/>
      <c r="P1610" s="1765"/>
      <c r="Q1610" s="1765"/>
      <c r="W1610" t="s">
        <v>2089</v>
      </c>
    </row>
    <row r="1611" spans="1:23" ht="13.15" customHeight="1" x14ac:dyDescent="0.2">
      <c r="A1611" s="2" t="s">
        <v>2241</v>
      </c>
      <c r="B1611" s="2">
        <f t="shared" si="50"/>
        <v>2019</v>
      </c>
      <c r="C1611" s="2" t="str">
        <f t="shared" si="51"/>
        <v>EC101</v>
      </c>
      <c r="D1611" s="2">
        <v>993</v>
      </c>
      <c r="F1611" s="1764"/>
      <c r="G1611" s="1764"/>
      <c r="H1611" s="1764"/>
      <c r="I1611" s="1764"/>
      <c r="J1611" s="1764"/>
      <c r="K1611" s="1764"/>
      <c r="L1611" s="1764"/>
      <c r="M1611" s="1765"/>
      <c r="N1611" s="1765"/>
      <c r="O1611" s="1765"/>
      <c r="P1611" s="1765"/>
      <c r="Q1611" s="1765"/>
      <c r="W1611" t="s">
        <v>2089</v>
      </c>
    </row>
    <row r="1612" spans="1:23" ht="13.15" customHeight="1" x14ac:dyDescent="0.2">
      <c r="A1612" s="2" t="s">
        <v>2241</v>
      </c>
      <c r="B1612" s="2">
        <f t="shared" si="50"/>
        <v>2019</v>
      </c>
      <c r="C1612" s="2" t="str">
        <f t="shared" si="51"/>
        <v>EC101</v>
      </c>
      <c r="D1612" s="2">
        <v>994</v>
      </c>
      <c r="F1612" s="1764"/>
      <c r="G1612" s="1764"/>
      <c r="H1612" s="1764"/>
      <c r="I1612" s="1764"/>
      <c r="J1612" s="1764"/>
      <c r="K1612" s="1764"/>
      <c r="L1612" s="1764"/>
      <c r="M1612" s="1765"/>
      <c r="N1612" s="1765"/>
      <c r="O1612" s="1765"/>
      <c r="P1612" s="1765"/>
      <c r="Q1612" s="1765"/>
      <c r="W1612" t="s">
        <v>2089</v>
      </c>
    </row>
    <row r="1613" spans="1:23" ht="13.15" customHeight="1" x14ac:dyDescent="0.2">
      <c r="A1613" s="2" t="s">
        <v>2241</v>
      </c>
      <c r="B1613" s="2">
        <f t="shared" si="50"/>
        <v>2019</v>
      </c>
      <c r="C1613" s="2" t="str">
        <f t="shared" si="51"/>
        <v>EC101</v>
      </c>
      <c r="D1613" s="2">
        <v>995</v>
      </c>
      <c r="F1613" s="1764"/>
      <c r="G1613" s="1764"/>
      <c r="H1613" s="1764"/>
      <c r="I1613" s="1764"/>
      <c r="J1613" s="1764"/>
      <c r="K1613" s="1764"/>
      <c r="L1613" s="1764"/>
      <c r="M1613" s="1765"/>
      <c r="N1613" s="1765"/>
      <c r="O1613" s="1765"/>
      <c r="P1613" s="1765"/>
      <c r="Q1613" s="1765"/>
      <c r="W1613" t="s">
        <v>2089</v>
      </c>
    </row>
    <row r="1614" spans="1:23" ht="13.15" customHeight="1" x14ac:dyDescent="0.2">
      <c r="A1614" s="2" t="s">
        <v>2241</v>
      </c>
      <c r="B1614" s="2">
        <f t="shared" si="50"/>
        <v>2019</v>
      </c>
      <c r="C1614" s="2" t="str">
        <f t="shared" si="51"/>
        <v>EC101</v>
      </c>
      <c r="D1614" s="2">
        <v>996</v>
      </c>
      <c r="F1614" s="1764"/>
      <c r="G1614" s="1764"/>
      <c r="H1614" s="1764"/>
      <c r="I1614" s="1764"/>
      <c r="J1614" s="1764"/>
      <c r="K1614" s="1764"/>
      <c r="L1614" s="1764"/>
      <c r="M1614" s="1765"/>
      <c r="N1614" s="1765"/>
      <c r="O1614" s="1765"/>
      <c r="P1614" s="1765"/>
      <c r="Q1614" s="1765"/>
      <c r="W1614" t="s">
        <v>2089</v>
      </c>
    </row>
    <row r="1615" spans="1:23" ht="13.15" customHeight="1" x14ac:dyDescent="0.2">
      <c r="A1615" s="2" t="s">
        <v>2241</v>
      </c>
      <c r="B1615" s="2">
        <f t="shared" si="50"/>
        <v>2019</v>
      </c>
      <c r="C1615" s="2" t="str">
        <f t="shared" si="51"/>
        <v>EC101</v>
      </c>
      <c r="D1615" s="2">
        <v>997</v>
      </c>
      <c r="F1615" s="1764"/>
      <c r="G1615" s="1764"/>
      <c r="H1615" s="1764"/>
      <c r="I1615" s="1764"/>
      <c r="J1615" s="1764"/>
      <c r="K1615" s="1764"/>
      <c r="L1615" s="1764"/>
      <c r="M1615" s="1765"/>
      <c r="N1615" s="1765"/>
      <c r="O1615" s="1765"/>
      <c r="P1615" s="1765"/>
      <c r="Q1615" s="1765"/>
      <c r="W1615" t="s">
        <v>2089</v>
      </c>
    </row>
    <row r="1616" spans="1:23" ht="13.15" customHeight="1" x14ac:dyDescent="0.2">
      <c r="A1616" s="2" t="s">
        <v>2241</v>
      </c>
      <c r="B1616" s="2">
        <f t="shared" si="50"/>
        <v>2019</v>
      </c>
      <c r="C1616" s="2" t="str">
        <f t="shared" si="51"/>
        <v>EC101</v>
      </c>
      <c r="D1616" s="2">
        <v>998</v>
      </c>
      <c r="F1616" s="1764"/>
      <c r="G1616" s="1764"/>
      <c r="H1616" s="1764"/>
      <c r="I1616" s="1764"/>
      <c r="J1616" s="1764"/>
      <c r="K1616" s="1764"/>
      <c r="L1616" s="1764"/>
      <c r="M1616" s="1765"/>
      <c r="N1616" s="1765"/>
      <c r="O1616" s="1765"/>
      <c r="P1616" s="1765"/>
      <c r="Q1616" s="1765"/>
      <c r="W1616" t="s">
        <v>2089</v>
      </c>
    </row>
    <row r="1617" spans="1:23" ht="13.15" customHeight="1" x14ac:dyDescent="0.2">
      <c r="A1617" s="2" t="s">
        <v>2241</v>
      </c>
      <c r="B1617" s="2">
        <f t="shared" si="50"/>
        <v>2019</v>
      </c>
      <c r="C1617" s="2" t="str">
        <f t="shared" si="51"/>
        <v>EC101</v>
      </c>
      <c r="D1617" s="2">
        <v>999</v>
      </c>
      <c r="F1617" s="1764"/>
      <c r="G1617" s="1764"/>
      <c r="H1617" s="1764"/>
      <c r="I1617" s="1764"/>
      <c r="J1617" s="1764"/>
      <c r="K1617" s="1764"/>
      <c r="L1617" s="1764"/>
      <c r="M1617" s="1765"/>
      <c r="N1617" s="1765"/>
      <c r="O1617" s="1765"/>
      <c r="P1617" s="1765"/>
      <c r="Q1617" s="1765"/>
      <c r="W1617" t="s">
        <v>2089</v>
      </c>
    </row>
    <row r="1618" spans="1:23" ht="13.15" customHeight="1" x14ac:dyDescent="0.2">
      <c r="A1618" s="2" t="s">
        <v>2241</v>
      </c>
      <c r="B1618" s="2">
        <f t="shared" si="50"/>
        <v>2019</v>
      </c>
      <c r="C1618" s="2" t="str">
        <f t="shared" si="51"/>
        <v>EC101</v>
      </c>
      <c r="D1618" s="2">
        <v>1000</v>
      </c>
      <c r="F1618" s="1764"/>
      <c r="G1618" s="1764"/>
      <c r="H1618" s="1764"/>
      <c r="I1618" s="1764"/>
      <c r="J1618" s="1764"/>
      <c r="K1618" s="1764"/>
      <c r="L1618" s="1764"/>
      <c r="M1618" s="1765"/>
      <c r="N1618" s="1765"/>
      <c r="O1618" s="1765"/>
      <c r="P1618" s="1765"/>
      <c r="Q1618" s="1765"/>
      <c r="W1618" t="s">
        <v>2089</v>
      </c>
    </row>
    <row r="1619" spans="1:23" ht="13.15" customHeight="1" x14ac:dyDescent="0.2">
      <c r="A1619" s="2" t="s">
        <v>2242</v>
      </c>
      <c r="B1619" s="2">
        <f t="shared" si="50"/>
        <v>2019</v>
      </c>
      <c r="C1619" s="2" t="str">
        <f t="shared" si="51"/>
        <v>EC101</v>
      </c>
      <c r="D1619" s="2">
        <v>1</v>
      </c>
      <c r="F1619" s="1764"/>
      <c r="G1619" s="1764"/>
      <c r="H1619" s="1764"/>
      <c r="I1619" s="1764"/>
      <c r="J1619" s="1764"/>
      <c r="K1619" s="1764"/>
      <c r="L1619" s="1766"/>
      <c r="M1619" s="1766"/>
      <c r="N1619" s="1766"/>
      <c r="O1619" s="1766"/>
      <c r="P1619" s="1766"/>
      <c r="W1619" t="s">
        <v>2089</v>
      </c>
    </row>
    <row r="1620" spans="1:23" ht="13.15" customHeight="1" x14ac:dyDescent="0.2">
      <c r="A1620" s="2" t="s">
        <v>2242</v>
      </c>
      <c r="B1620" s="2">
        <f t="shared" si="50"/>
        <v>2019</v>
      </c>
      <c r="C1620" s="2" t="str">
        <f t="shared" si="51"/>
        <v>EC101</v>
      </c>
      <c r="D1620" s="2">
        <v>2</v>
      </c>
      <c r="F1620" s="1764"/>
      <c r="G1620" s="1764"/>
      <c r="H1620" s="1764"/>
      <c r="I1620" s="1764"/>
      <c r="J1620" s="1764"/>
      <c r="K1620" s="1764"/>
      <c r="L1620" s="1766"/>
      <c r="M1620" s="1766"/>
      <c r="N1620" s="1766"/>
      <c r="O1620" s="1766"/>
      <c r="P1620" s="1766"/>
      <c r="W1620" t="s">
        <v>2089</v>
      </c>
    </row>
    <row r="1621" spans="1:23" ht="13.15" customHeight="1" x14ac:dyDescent="0.2">
      <c r="A1621" s="2" t="s">
        <v>2242</v>
      </c>
      <c r="B1621" s="2">
        <f t="shared" si="50"/>
        <v>2019</v>
      </c>
      <c r="C1621" s="2" t="str">
        <f t="shared" si="51"/>
        <v>EC101</v>
      </c>
      <c r="D1621" s="2">
        <v>3</v>
      </c>
      <c r="F1621" s="1764"/>
      <c r="G1621" s="1764"/>
      <c r="H1621" s="1764"/>
      <c r="I1621" s="1764"/>
      <c r="J1621" s="1764"/>
      <c r="K1621" s="1764"/>
      <c r="L1621" s="1766"/>
      <c r="M1621" s="1766"/>
      <c r="N1621" s="1766"/>
      <c r="O1621" s="1766"/>
      <c r="P1621" s="1766"/>
      <c r="W1621" t="s">
        <v>2089</v>
      </c>
    </row>
    <row r="1622" spans="1:23" ht="13.15" customHeight="1" x14ac:dyDescent="0.2">
      <c r="A1622" s="2" t="s">
        <v>2242</v>
      </c>
      <c r="B1622" s="2">
        <f t="shared" si="50"/>
        <v>2019</v>
      </c>
      <c r="C1622" s="2" t="str">
        <f t="shared" si="51"/>
        <v>EC101</v>
      </c>
      <c r="D1622" s="2">
        <v>4</v>
      </c>
      <c r="F1622" s="1764"/>
      <c r="G1622" s="1764"/>
      <c r="H1622" s="1764"/>
      <c r="I1622" s="1764"/>
      <c r="J1622" s="1764"/>
      <c r="K1622" s="1764"/>
      <c r="L1622" s="1766"/>
      <c r="M1622" s="1766"/>
      <c r="N1622" s="1766"/>
      <c r="O1622" s="1766"/>
      <c r="P1622" s="1766"/>
      <c r="W1622" t="s">
        <v>2089</v>
      </c>
    </row>
    <row r="1623" spans="1:23" ht="13.15" customHeight="1" x14ac:dyDescent="0.2">
      <c r="A1623" s="2" t="s">
        <v>2242</v>
      </c>
      <c r="B1623" s="2">
        <f t="shared" si="50"/>
        <v>2019</v>
      </c>
      <c r="C1623" s="2" t="str">
        <f t="shared" si="51"/>
        <v>EC101</v>
      </c>
      <c r="D1623" s="2">
        <v>5</v>
      </c>
      <c r="F1623" s="1764"/>
      <c r="G1623" s="1764"/>
      <c r="H1623" s="1764"/>
      <c r="I1623" s="1764"/>
      <c r="J1623" s="1764"/>
      <c r="K1623" s="1764"/>
      <c r="L1623" s="1766"/>
      <c r="M1623" s="1766"/>
      <c r="N1623" s="1766"/>
      <c r="O1623" s="1766"/>
      <c r="P1623" s="1766"/>
      <c r="W1623" t="s">
        <v>2089</v>
      </c>
    </row>
    <row r="1624" spans="1:23" ht="13.15" customHeight="1" x14ac:dyDescent="0.2">
      <c r="A1624" s="2" t="s">
        <v>2242</v>
      </c>
      <c r="B1624" s="2">
        <f t="shared" si="50"/>
        <v>2019</v>
      </c>
      <c r="C1624" s="2" t="str">
        <f t="shared" si="51"/>
        <v>EC101</v>
      </c>
      <c r="D1624" s="2">
        <v>6</v>
      </c>
      <c r="F1624" s="1764"/>
      <c r="G1624" s="1764"/>
      <c r="H1624" s="1764"/>
      <c r="I1624" s="1764"/>
      <c r="J1624" s="1764"/>
      <c r="K1624" s="1764"/>
      <c r="L1624" s="1766"/>
      <c r="M1624" s="1766"/>
      <c r="N1624" s="1766"/>
      <c r="O1624" s="1766"/>
      <c r="P1624" s="1766"/>
      <c r="W1624" t="s">
        <v>2089</v>
      </c>
    </row>
    <row r="1625" spans="1:23" ht="13.15" customHeight="1" x14ac:dyDescent="0.2">
      <c r="A1625" s="2" t="s">
        <v>2242</v>
      </c>
      <c r="B1625" s="2">
        <f t="shared" si="50"/>
        <v>2019</v>
      </c>
      <c r="C1625" s="2" t="str">
        <f t="shared" si="51"/>
        <v>EC101</v>
      </c>
      <c r="D1625" s="2">
        <v>7</v>
      </c>
      <c r="F1625" s="1764"/>
      <c r="G1625" s="1764"/>
      <c r="H1625" s="1764"/>
      <c r="I1625" s="1764"/>
      <c r="J1625" s="1764"/>
      <c r="K1625" s="1764"/>
      <c r="L1625" s="1766"/>
      <c r="M1625" s="1766"/>
      <c r="N1625" s="1766"/>
      <c r="O1625" s="1766"/>
      <c r="P1625" s="1766"/>
      <c r="W1625" t="s">
        <v>2089</v>
      </c>
    </row>
    <row r="1626" spans="1:23" ht="13.15" customHeight="1" x14ac:dyDescent="0.2">
      <c r="A1626" s="2" t="s">
        <v>2242</v>
      </c>
      <c r="B1626" s="2">
        <f t="shared" si="50"/>
        <v>2019</v>
      </c>
      <c r="C1626" s="2" t="str">
        <f t="shared" si="51"/>
        <v>EC101</v>
      </c>
      <c r="D1626" s="2">
        <v>8</v>
      </c>
      <c r="F1626" s="1764"/>
      <c r="G1626" s="1764"/>
      <c r="H1626" s="1764"/>
      <c r="I1626" s="1764"/>
      <c r="J1626" s="1764"/>
      <c r="K1626" s="1764"/>
      <c r="L1626" s="1766"/>
      <c r="M1626" s="1766"/>
      <c r="N1626" s="1766"/>
      <c r="O1626" s="1766"/>
      <c r="P1626" s="1766"/>
      <c r="W1626" t="s">
        <v>2089</v>
      </c>
    </row>
    <row r="1627" spans="1:23" ht="13.15" customHeight="1" x14ac:dyDescent="0.2">
      <c r="A1627" s="2" t="s">
        <v>2242</v>
      </c>
      <c r="B1627" s="2">
        <f t="shared" si="50"/>
        <v>2019</v>
      </c>
      <c r="C1627" s="2" t="str">
        <f t="shared" si="51"/>
        <v>EC101</v>
      </c>
      <c r="D1627" s="2">
        <v>9</v>
      </c>
      <c r="F1627" s="1764"/>
      <c r="G1627" s="1764"/>
      <c r="H1627" s="1764"/>
      <c r="I1627" s="1764"/>
      <c r="J1627" s="1764"/>
      <c r="K1627" s="1764"/>
      <c r="L1627" s="1766"/>
      <c r="M1627" s="1766"/>
      <c r="N1627" s="1766"/>
      <c r="O1627" s="1766"/>
      <c r="P1627" s="1766"/>
      <c r="W1627" t="s">
        <v>2089</v>
      </c>
    </row>
    <row r="1628" spans="1:23" ht="13.15" customHeight="1" x14ac:dyDescent="0.2">
      <c r="A1628" s="2" t="s">
        <v>2242</v>
      </c>
      <c r="B1628" s="2">
        <f t="shared" si="50"/>
        <v>2019</v>
      </c>
      <c r="C1628" s="2" t="str">
        <f t="shared" si="51"/>
        <v>EC101</v>
      </c>
      <c r="D1628" s="2">
        <v>10</v>
      </c>
      <c r="F1628" s="1764"/>
      <c r="G1628" s="1764"/>
      <c r="H1628" s="1764"/>
      <c r="I1628" s="1764"/>
      <c r="J1628" s="1764"/>
      <c r="K1628" s="1764"/>
      <c r="L1628" s="1766"/>
      <c r="M1628" s="1766"/>
      <c r="N1628" s="1766"/>
      <c r="O1628" s="1766"/>
      <c r="P1628" s="1766"/>
      <c r="W1628" t="s">
        <v>2089</v>
      </c>
    </row>
    <row r="1629" spans="1:23" ht="13.15" customHeight="1" x14ac:dyDescent="0.2">
      <c r="A1629" s="2" t="s">
        <v>2242</v>
      </c>
      <c r="B1629" s="2">
        <f t="shared" si="50"/>
        <v>2019</v>
      </c>
      <c r="C1629" s="2" t="str">
        <f t="shared" si="51"/>
        <v>EC101</v>
      </c>
      <c r="D1629" s="2">
        <v>11</v>
      </c>
      <c r="F1629" s="1764"/>
      <c r="G1629" s="1764"/>
      <c r="H1629" s="1764"/>
      <c r="I1629" s="1764"/>
      <c r="J1629" s="1764"/>
      <c r="K1629" s="1764"/>
      <c r="L1629" s="1766"/>
      <c r="M1629" s="1766"/>
      <c r="N1629" s="1766"/>
      <c r="O1629" s="1766"/>
      <c r="P1629" s="1766"/>
      <c r="W1629" t="s">
        <v>2089</v>
      </c>
    </row>
    <row r="1630" spans="1:23" ht="13.15" customHeight="1" x14ac:dyDescent="0.2">
      <c r="A1630" s="2" t="s">
        <v>2242</v>
      </c>
      <c r="B1630" s="2">
        <f t="shared" si="50"/>
        <v>2019</v>
      </c>
      <c r="C1630" s="2" t="str">
        <f t="shared" si="51"/>
        <v>EC101</v>
      </c>
      <c r="D1630" s="2">
        <v>12</v>
      </c>
      <c r="F1630" s="1764"/>
      <c r="G1630" s="1764"/>
      <c r="H1630" s="1764"/>
      <c r="I1630" s="1764"/>
      <c r="J1630" s="1764"/>
      <c r="K1630" s="1764"/>
      <c r="L1630" s="1766"/>
      <c r="M1630" s="1766"/>
      <c r="N1630" s="1766"/>
      <c r="O1630" s="1766"/>
      <c r="P1630" s="1766"/>
      <c r="W1630" t="s">
        <v>2089</v>
      </c>
    </row>
    <row r="1631" spans="1:23" ht="13.15" customHeight="1" x14ac:dyDescent="0.2">
      <c r="A1631" s="2" t="s">
        <v>2242</v>
      </c>
      <c r="B1631" s="2">
        <f t="shared" si="50"/>
        <v>2019</v>
      </c>
      <c r="C1631" s="2" t="str">
        <f t="shared" si="51"/>
        <v>EC101</v>
      </c>
      <c r="D1631" s="2">
        <v>13</v>
      </c>
      <c r="F1631" s="1764"/>
      <c r="G1631" s="1764"/>
      <c r="H1631" s="1764"/>
      <c r="I1631" s="1764"/>
      <c r="J1631" s="1764"/>
      <c r="K1631" s="1764"/>
      <c r="L1631" s="1766"/>
      <c r="M1631" s="1766"/>
      <c r="N1631" s="1766"/>
      <c r="O1631" s="1766"/>
      <c r="P1631" s="1766"/>
      <c r="W1631" t="s">
        <v>2089</v>
      </c>
    </row>
    <row r="1632" spans="1:23" ht="13.15" customHeight="1" x14ac:dyDescent="0.2">
      <c r="A1632" s="2" t="s">
        <v>2242</v>
      </c>
      <c r="B1632" s="2">
        <f t="shared" si="50"/>
        <v>2019</v>
      </c>
      <c r="C1632" s="2" t="str">
        <f t="shared" si="51"/>
        <v>EC101</v>
      </c>
      <c r="D1632" s="2">
        <v>14</v>
      </c>
      <c r="F1632" s="1764"/>
      <c r="G1632" s="1764"/>
      <c r="H1632" s="1764"/>
      <c r="I1632" s="1764"/>
      <c r="J1632" s="1764"/>
      <c r="K1632" s="1764"/>
      <c r="L1632" s="1766"/>
      <c r="M1632" s="1766"/>
      <c r="N1632" s="1766"/>
      <c r="O1632" s="1766"/>
      <c r="P1632" s="1766"/>
      <c r="W1632" t="s">
        <v>2089</v>
      </c>
    </row>
    <row r="1633" spans="1:23" ht="13.15" customHeight="1" x14ac:dyDescent="0.2">
      <c r="A1633" s="2" t="s">
        <v>2242</v>
      </c>
      <c r="B1633" s="2">
        <f t="shared" si="50"/>
        <v>2019</v>
      </c>
      <c r="C1633" s="2" t="str">
        <f t="shared" si="51"/>
        <v>EC101</v>
      </c>
      <c r="D1633" s="2">
        <v>15</v>
      </c>
      <c r="F1633" s="1764"/>
      <c r="G1633" s="1764"/>
      <c r="H1633" s="1764"/>
      <c r="I1633" s="1764"/>
      <c r="J1633" s="1764"/>
      <c r="K1633" s="1764"/>
      <c r="L1633" s="1766"/>
      <c r="M1633" s="1766"/>
      <c r="N1633" s="1766"/>
      <c r="O1633" s="1766"/>
      <c r="P1633" s="1766"/>
      <c r="W1633" t="s">
        <v>2089</v>
      </c>
    </row>
    <row r="1634" spans="1:23" ht="13.15" customHeight="1" x14ac:dyDescent="0.2">
      <c r="A1634" s="2" t="s">
        <v>2242</v>
      </c>
      <c r="B1634" s="2">
        <f t="shared" si="50"/>
        <v>2019</v>
      </c>
      <c r="C1634" s="2" t="str">
        <f t="shared" si="51"/>
        <v>EC101</v>
      </c>
      <c r="D1634" s="2">
        <v>16</v>
      </c>
      <c r="F1634" s="1764"/>
      <c r="G1634" s="1764"/>
      <c r="H1634" s="1764"/>
      <c r="I1634" s="1764"/>
      <c r="J1634" s="1764"/>
      <c r="K1634" s="1764"/>
      <c r="L1634" s="1766"/>
      <c r="M1634" s="1766"/>
      <c r="N1634" s="1766"/>
      <c r="O1634" s="1766"/>
      <c r="P1634" s="1766"/>
      <c r="W1634" t="s">
        <v>2089</v>
      </c>
    </row>
    <row r="1635" spans="1:23" ht="13.15" customHeight="1" x14ac:dyDescent="0.2">
      <c r="A1635" s="2" t="s">
        <v>2242</v>
      </c>
      <c r="B1635" s="2">
        <f t="shared" si="50"/>
        <v>2019</v>
      </c>
      <c r="C1635" s="2" t="str">
        <f t="shared" si="51"/>
        <v>EC101</v>
      </c>
      <c r="D1635" s="2">
        <v>17</v>
      </c>
      <c r="F1635" s="1764"/>
      <c r="G1635" s="1764"/>
      <c r="H1635" s="1764"/>
      <c r="I1635" s="1764"/>
      <c r="J1635" s="1764"/>
      <c r="K1635" s="1764"/>
      <c r="L1635" s="1766"/>
      <c r="M1635" s="1766"/>
      <c r="N1635" s="1766"/>
      <c r="O1635" s="1766"/>
      <c r="P1635" s="1766"/>
      <c r="W1635" t="s">
        <v>2089</v>
      </c>
    </row>
    <row r="1636" spans="1:23" ht="13.15" customHeight="1" x14ac:dyDescent="0.2">
      <c r="A1636" s="2" t="s">
        <v>2242</v>
      </c>
      <c r="B1636" s="2">
        <f t="shared" si="50"/>
        <v>2019</v>
      </c>
      <c r="C1636" s="2" t="str">
        <f t="shared" si="51"/>
        <v>EC101</v>
      </c>
      <c r="D1636" s="2">
        <v>18</v>
      </c>
      <c r="F1636" s="1764"/>
      <c r="G1636" s="1764"/>
      <c r="H1636" s="1764"/>
      <c r="I1636" s="1764"/>
      <c r="J1636" s="1764"/>
      <c r="K1636" s="1764"/>
      <c r="L1636" s="1766"/>
      <c r="M1636" s="1766"/>
      <c r="N1636" s="1766"/>
      <c r="O1636" s="1766"/>
      <c r="P1636" s="1766"/>
      <c r="W1636" t="s">
        <v>2089</v>
      </c>
    </row>
    <row r="1637" spans="1:23" ht="13.15" customHeight="1" x14ac:dyDescent="0.2">
      <c r="A1637" s="2" t="s">
        <v>2242</v>
      </c>
      <c r="B1637" s="2">
        <f t="shared" si="50"/>
        <v>2019</v>
      </c>
      <c r="C1637" s="2" t="str">
        <f t="shared" si="51"/>
        <v>EC101</v>
      </c>
      <c r="D1637" s="2">
        <v>19</v>
      </c>
      <c r="F1637" s="1764"/>
      <c r="G1637" s="1764"/>
      <c r="H1637" s="1764"/>
      <c r="I1637" s="1764"/>
      <c r="J1637" s="1764"/>
      <c r="K1637" s="1764"/>
      <c r="L1637" s="1766"/>
      <c r="M1637" s="1766"/>
      <c r="N1637" s="1766"/>
      <c r="O1637" s="1766"/>
      <c r="P1637" s="1766"/>
      <c r="W1637" t="s">
        <v>2089</v>
      </c>
    </row>
    <row r="1638" spans="1:23" ht="13.15" customHeight="1" x14ac:dyDescent="0.2">
      <c r="A1638" s="2" t="s">
        <v>2242</v>
      </c>
      <c r="B1638" s="2">
        <f t="shared" si="50"/>
        <v>2019</v>
      </c>
      <c r="C1638" s="2" t="str">
        <f t="shared" si="51"/>
        <v>EC101</v>
      </c>
      <c r="D1638" s="2">
        <v>20</v>
      </c>
      <c r="F1638" s="1764"/>
      <c r="G1638" s="1764"/>
      <c r="H1638" s="1764"/>
      <c r="I1638" s="1764"/>
      <c r="J1638" s="1764"/>
      <c r="K1638" s="1764"/>
      <c r="L1638" s="1766"/>
      <c r="M1638" s="1766"/>
      <c r="N1638" s="1766"/>
      <c r="O1638" s="1766"/>
      <c r="P1638" s="1766"/>
      <c r="W1638" t="s">
        <v>2089</v>
      </c>
    </row>
    <row r="1639" spans="1:23" ht="13.15" customHeight="1" x14ac:dyDescent="0.2">
      <c r="A1639" s="2" t="s">
        <v>2242</v>
      </c>
      <c r="B1639" s="2">
        <f t="shared" si="50"/>
        <v>2019</v>
      </c>
      <c r="C1639" s="2" t="str">
        <f t="shared" si="51"/>
        <v>EC101</v>
      </c>
      <c r="D1639" s="2">
        <v>21</v>
      </c>
      <c r="F1639" s="1764"/>
      <c r="G1639" s="1764"/>
      <c r="H1639" s="1764"/>
      <c r="I1639" s="1764"/>
      <c r="J1639" s="1764"/>
      <c r="K1639" s="1764"/>
      <c r="L1639" s="1766"/>
      <c r="M1639" s="1766"/>
      <c r="N1639" s="1766"/>
      <c r="O1639" s="1766"/>
      <c r="P1639" s="1766"/>
      <c r="W1639" t="s">
        <v>2089</v>
      </c>
    </row>
    <row r="1640" spans="1:23" ht="13.15" customHeight="1" x14ac:dyDescent="0.2">
      <c r="A1640" s="2" t="s">
        <v>2242</v>
      </c>
      <c r="B1640" s="2">
        <f t="shared" si="50"/>
        <v>2019</v>
      </c>
      <c r="C1640" s="2" t="str">
        <f t="shared" si="51"/>
        <v>EC101</v>
      </c>
      <c r="D1640" s="2">
        <v>22</v>
      </c>
      <c r="F1640" s="1764"/>
      <c r="G1640" s="1764"/>
      <c r="H1640" s="1764"/>
      <c r="I1640" s="1764"/>
      <c r="J1640" s="1764"/>
      <c r="K1640" s="1764"/>
      <c r="L1640" s="1766"/>
      <c r="M1640" s="1766"/>
      <c r="N1640" s="1766"/>
      <c r="O1640" s="1766"/>
      <c r="P1640" s="1766"/>
      <c r="W1640" t="s">
        <v>2089</v>
      </c>
    </row>
    <row r="1641" spans="1:23" ht="13.15" customHeight="1" x14ac:dyDescent="0.2">
      <c r="A1641" s="2" t="s">
        <v>2242</v>
      </c>
      <c r="B1641" s="2">
        <f t="shared" si="50"/>
        <v>2019</v>
      </c>
      <c r="C1641" s="2" t="str">
        <f t="shared" si="51"/>
        <v>EC101</v>
      </c>
      <c r="D1641" s="2">
        <v>23</v>
      </c>
      <c r="F1641" s="1764"/>
      <c r="G1641" s="1764"/>
      <c r="H1641" s="1764"/>
      <c r="I1641" s="1764"/>
      <c r="J1641" s="1764"/>
      <c r="K1641" s="1764"/>
      <c r="L1641" s="1766"/>
      <c r="M1641" s="1766"/>
      <c r="N1641" s="1766"/>
      <c r="O1641" s="1766"/>
      <c r="P1641" s="1766"/>
      <c r="W1641" t="s">
        <v>2089</v>
      </c>
    </row>
    <row r="1642" spans="1:23" ht="13.15" customHeight="1" x14ac:dyDescent="0.2">
      <c r="A1642" s="2" t="s">
        <v>2242</v>
      </c>
      <c r="B1642" s="2">
        <f t="shared" si="50"/>
        <v>2019</v>
      </c>
      <c r="C1642" s="2" t="str">
        <f t="shared" si="51"/>
        <v>EC101</v>
      </c>
      <c r="D1642" s="2">
        <v>24</v>
      </c>
      <c r="F1642" s="1764"/>
      <c r="G1642" s="1764"/>
      <c r="H1642" s="1764"/>
      <c r="I1642" s="1764"/>
      <c r="J1642" s="1764"/>
      <c r="K1642" s="1764"/>
      <c r="L1642" s="1766"/>
      <c r="M1642" s="1766"/>
      <c r="N1642" s="1766"/>
      <c r="O1642" s="1766"/>
      <c r="P1642" s="1766"/>
      <c r="W1642" t="s">
        <v>2089</v>
      </c>
    </row>
    <row r="1643" spans="1:23" ht="13.15" customHeight="1" x14ac:dyDescent="0.2">
      <c r="A1643" s="2" t="s">
        <v>2242</v>
      </c>
      <c r="B1643" s="2">
        <f t="shared" si="50"/>
        <v>2019</v>
      </c>
      <c r="C1643" s="2" t="str">
        <f t="shared" si="51"/>
        <v>EC101</v>
      </c>
      <c r="D1643" s="2">
        <v>25</v>
      </c>
      <c r="F1643" s="1764"/>
      <c r="G1643" s="1764"/>
      <c r="H1643" s="1764"/>
      <c r="I1643" s="1764"/>
      <c r="J1643" s="1764"/>
      <c r="K1643" s="1764"/>
      <c r="L1643" s="1766"/>
      <c r="M1643" s="1766"/>
      <c r="N1643" s="1766"/>
      <c r="O1643" s="1766"/>
      <c r="P1643" s="1766"/>
      <c r="W1643" t="s">
        <v>2089</v>
      </c>
    </row>
    <row r="1644" spans="1:23" ht="13.15" customHeight="1" x14ac:dyDescent="0.2">
      <c r="A1644" s="2" t="s">
        <v>2242</v>
      </c>
      <c r="B1644" s="2">
        <f t="shared" si="50"/>
        <v>2019</v>
      </c>
      <c r="C1644" s="2" t="str">
        <f t="shared" si="51"/>
        <v>EC101</v>
      </c>
      <c r="D1644" s="2">
        <v>26</v>
      </c>
      <c r="F1644" s="1764"/>
      <c r="G1644" s="1764"/>
      <c r="H1644" s="1764"/>
      <c r="I1644" s="1764"/>
      <c r="J1644" s="1764"/>
      <c r="K1644" s="1764"/>
      <c r="L1644" s="1766"/>
      <c r="M1644" s="1766"/>
      <c r="N1644" s="1766"/>
      <c r="O1644" s="1766"/>
      <c r="P1644" s="1766"/>
      <c r="W1644" t="s">
        <v>2089</v>
      </c>
    </row>
    <row r="1645" spans="1:23" ht="13.15" customHeight="1" x14ac:dyDescent="0.2">
      <c r="A1645" s="2" t="s">
        <v>2242</v>
      </c>
      <c r="B1645" s="2">
        <f t="shared" si="50"/>
        <v>2019</v>
      </c>
      <c r="C1645" s="2" t="str">
        <f t="shared" si="51"/>
        <v>EC101</v>
      </c>
      <c r="D1645" s="2">
        <v>27</v>
      </c>
      <c r="F1645" s="1764"/>
      <c r="G1645" s="1764"/>
      <c r="H1645" s="1764"/>
      <c r="I1645" s="1764"/>
      <c r="J1645" s="1764"/>
      <c r="K1645" s="1764"/>
      <c r="L1645" s="1766"/>
      <c r="M1645" s="1766"/>
      <c r="N1645" s="1766"/>
      <c r="O1645" s="1766"/>
      <c r="P1645" s="1766"/>
      <c r="W1645" t="s">
        <v>2089</v>
      </c>
    </row>
    <row r="1646" spans="1:23" ht="13.15" customHeight="1" x14ac:dyDescent="0.2">
      <c r="A1646" s="2" t="s">
        <v>2242</v>
      </c>
      <c r="B1646" s="2">
        <f t="shared" si="50"/>
        <v>2019</v>
      </c>
      <c r="C1646" s="2" t="str">
        <f t="shared" si="51"/>
        <v>EC101</v>
      </c>
      <c r="D1646" s="2">
        <v>28</v>
      </c>
      <c r="F1646" s="1764"/>
      <c r="G1646" s="1764"/>
      <c r="H1646" s="1764"/>
      <c r="I1646" s="1764"/>
      <c r="J1646" s="1764"/>
      <c r="K1646" s="1764"/>
      <c r="L1646" s="1766"/>
      <c r="M1646" s="1766"/>
      <c r="N1646" s="1766"/>
      <c r="O1646" s="1766"/>
      <c r="P1646" s="1766"/>
      <c r="W1646" t="s">
        <v>2089</v>
      </c>
    </row>
    <row r="1647" spans="1:23" ht="13.15" customHeight="1" x14ac:dyDescent="0.2">
      <c r="A1647" s="2" t="s">
        <v>2242</v>
      </c>
      <c r="B1647" s="2">
        <f t="shared" si="50"/>
        <v>2019</v>
      </c>
      <c r="C1647" s="2" t="str">
        <f t="shared" si="51"/>
        <v>EC101</v>
      </c>
      <c r="D1647" s="2">
        <v>29</v>
      </c>
      <c r="F1647" s="1764"/>
      <c r="G1647" s="1764"/>
      <c r="H1647" s="1764"/>
      <c r="I1647" s="1764"/>
      <c r="J1647" s="1764"/>
      <c r="K1647" s="1764"/>
      <c r="L1647" s="1766"/>
      <c r="M1647" s="1766"/>
      <c r="N1647" s="1766"/>
      <c r="O1647" s="1766"/>
      <c r="P1647" s="1766"/>
      <c r="W1647" t="s">
        <v>2089</v>
      </c>
    </row>
    <row r="1648" spans="1:23" ht="13.15" customHeight="1" x14ac:dyDescent="0.2">
      <c r="A1648" s="2" t="s">
        <v>2242</v>
      </c>
      <c r="B1648" s="2">
        <f t="shared" si="50"/>
        <v>2019</v>
      </c>
      <c r="C1648" s="2" t="str">
        <f t="shared" si="51"/>
        <v>EC101</v>
      </c>
      <c r="D1648" s="2">
        <v>30</v>
      </c>
      <c r="F1648" s="1764"/>
      <c r="G1648" s="1764"/>
      <c r="H1648" s="1764"/>
      <c r="I1648" s="1764"/>
      <c r="J1648" s="1764"/>
      <c r="K1648" s="1764"/>
      <c r="L1648" s="1766"/>
      <c r="M1648" s="1766"/>
      <c r="N1648" s="1766"/>
      <c r="O1648" s="1766"/>
      <c r="P1648" s="1766"/>
      <c r="W1648" t="s">
        <v>2089</v>
      </c>
    </row>
    <row r="1649" spans="1:23" ht="13.15" customHeight="1" x14ac:dyDescent="0.2">
      <c r="A1649" s="2" t="s">
        <v>2242</v>
      </c>
      <c r="B1649" s="2">
        <f t="shared" si="50"/>
        <v>2019</v>
      </c>
      <c r="C1649" s="2" t="str">
        <f t="shared" si="51"/>
        <v>EC101</v>
      </c>
      <c r="D1649" s="2">
        <v>31</v>
      </c>
      <c r="F1649" s="1764"/>
      <c r="G1649" s="1764"/>
      <c r="H1649" s="1764"/>
      <c r="I1649" s="1764"/>
      <c r="J1649" s="1764"/>
      <c r="K1649" s="1764"/>
      <c r="L1649" s="1766"/>
      <c r="M1649" s="1766"/>
      <c r="N1649" s="1766"/>
      <c r="O1649" s="1766"/>
      <c r="P1649" s="1766"/>
      <c r="W1649" t="s">
        <v>2089</v>
      </c>
    </row>
    <row r="1650" spans="1:23" ht="13.15" customHeight="1" x14ac:dyDescent="0.2">
      <c r="A1650" s="2" t="s">
        <v>2242</v>
      </c>
      <c r="B1650" s="2">
        <f t="shared" si="50"/>
        <v>2019</v>
      </c>
      <c r="C1650" s="2" t="str">
        <f t="shared" si="51"/>
        <v>EC101</v>
      </c>
      <c r="D1650" s="2">
        <v>32</v>
      </c>
      <c r="F1650" s="1764"/>
      <c r="G1650" s="1764"/>
      <c r="H1650" s="1764"/>
      <c r="I1650" s="1764"/>
      <c r="J1650" s="1764"/>
      <c r="K1650" s="1764"/>
      <c r="L1650" s="1766"/>
      <c r="M1650" s="1766"/>
      <c r="N1650" s="1766"/>
      <c r="O1650" s="1766"/>
      <c r="P1650" s="1766"/>
      <c r="W1650" t="s">
        <v>2089</v>
      </c>
    </row>
    <row r="1651" spans="1:23" ht="13.15" customHeight="1" x14ac:dyDescent="0.2">
      <c r="A1651" s="2" t="s">
        <v>2242</v>
      </c>
      <c r="B1651" s="2">
        <f t="shared" si="50"/>
        <v>2019</v>
      </c>
      <c r="C1651" s="2" t="str">
        <f t="shared" si="51"/>
        <v>EC101</v>
      </c>
      <c r="D1651" s="2">
        <v>33</v>
      </c>
      <c r="F1651" s="1764"/>
      <c r="G1651" s="1764"/>
      <c r="H1651" s="1764"/>
      <c r="I1651" s="1764"/>
      <c r="J1651" s="1764"/>
      <c r="K1651" s="1764"/>
      <c r="L1651" s="1766"/>
      <c r="M1651" s="1766"/>
      <c r="N1651" s="1766"/>
      <c r="O1651" s="1766"/>
      <c r="P1651" s="1766"/>
      <c r="W1651" t="s">
        <v>2089</v>
      </c>
    </row>
    <row r="1652" spans="1:23" ht="13.15" customHeight="1" x14ac:dyDescent="0.2">
      <c r="A1652" s="2" t="s">
        <v>2242</v>
      </c>
      <c r="B1652" s="2">
        <f t="shared" si="50"/>
        <v>2019</v>
      </c>
      <c r="C1652" s="2" t="str">
        <f t="shared" si="51"/>
        <v>EC101</v>
      </c>
      <c r="D1652" s="2">
        <v>34</v>
      </c>
      <c r="F1652" s="1764"/>
      <c r="G1652" s="1764"/>
      <c r="H1652" s="1764"/>
      <c r="I1652" s="1764"/>
      <c r="J1652" s="1764"/>
      <c r="K1652" s="1764"/>
      <c r="L1652" s="1766"/>
      <c r="M1652" s="1766"/>
      <c r="N1652" s="1766"/>
      <c r="O1652" s="1766"/>
      <c r="P1652" s="1766"/>
      <c r="W1652" t="s">
        <v>2089</v>
      </c>
    </row>
    <row r="1653" spans="1:23" ht="13.15" customHeight="1" x14ac:dyDescent="0.2">
      <c r="A1653" s="2" t="s">
        <v>2242</v>
      </c>
      <c r="B1653" s="2">
        <f t="shared" si="50"/>
        <v>2019</v>
      </c>
      <c r="C1653" s="2" t="str">
        <f t="shared" si="51"/>
        <v>EC101</v>
      </c>
      <c r="D1653" s="2">
        <v>35</v>
      </c>
      <c r="F1653" s="1764"/>
      <c r="G1653" s="1764"/>
      <c r="H1653" s="1764"/>
      <c r="I1653" s="1764"/>
      <c r="J1653" s="1764"/>
      <c r="K1653" s="1764"/>
      <c r="L1653" s="1766"/>
      <c r="M1653" s="1766"/>
      <c r="N1653" s="1766"/>
      <c r="O1653" s="1766"/>
      <c r="P1653" s="1766"/>
      <c r="W1653" t="s">
        <v>2089</v>
      </c>
    </row>
    <row r="1654" spans="1:23" ht="13.15" customHeight="1" x14ac:dyDescent="0.2">
      <c r="A1654" s="2" t="s">
        <v>2242</v>
      </c>
      <c r="B1654" s="2">
        <f t="shared" si="50"/>
        <v>2019</v>
      </c>
      <c r="C1654" s="2" t="str">
        <f t="shared" si="51"/>
        <v>EC101</v>
      </c>
      <c r="D1654" s="2">
        <v>36</v>
      </c>
      <c r="F1654" s="1764"/>
      <c r="G1654" s="1764"/>
      <c r="H1654" s="1764"/>
      <c r="I1654" s="1764"/>
      <c r="J1654" s="1764"/>
      <c r="K1654" s="1764"/>
      <c r="L1654" s="1766"/>
      <c r="M1654" s="1766"/>
      <c r="N1654" s="1766"/>
      <c r="O1654" s="1766"/>
      <c r="P1654" s="1766"/>
      <c r="W1654" t="s">
        <v>2089</v>
      </c>
    </row>
    <row r="1655" spans="1:23" ht="13.15" customHeight="1" x14ac:dyDescent="0.2">
      <c r="A1655" s="2" t="s">
        <v>2242</v>
      </c>
      <c r="B1655" s="2">
        <f t="shared" si="50"/>
        <v>2019</v>
      </c>
      <c r="C1655" s="2" t="str">
        <f t="shared" si="51"/>
        <v>EC101</v>
      </c>
      <c r="D1655" s="2">
        <v>37</v>
      </c>
      <c r="F1655" s="1764"/>
      <c r="G1655" s="1764"/>
      <c r="H1655" s="1764"/>
      <c r="I1655" s="1764"/>
      <c r="J1655" s="1764"/>
      <c r="K1655" s="1764"/>
      <c r="L1655" s="1766"/>
      <c r="M1655" s="1766"/>
      <c r="N1655" s="1766"/>
      <c r="O1655" s="1766"/>
      <c r="P1655" s="1766"/>
      <c r="W1655" t="s">
        <v>2089</v>
      </c>
    </row>
    <row r="1656" spans="1:23" ht="13.15" customHeight="1" x14ac:dyDescent="0.2">
      <c r="A1656" s="2" t="s">
        <v>2242</v>
      </c>
      <c r="B1656" s="2">
        <f t="shared" si="50"/>
        <v>2019</v>
      </c>
      <c r="C1656" s="2" t="str">
        <f t="shared" si="51"/>
        <v>EC101</v>
      </c>
      <c r="D1656" s="2">
        <v>38</v>
      </c>
      <c r="F1656" s="1764"/>
      <c r="G1656" s="1764"/>
      <c r="H1656" s="1764"/>
      <c r="I1656" s="1764"/>
      <c r="J1656" s="1764"/>
      <c r="K1656" s="1764"/>
      <c r="L1656" s="1766"/>
      <c r="M1656" s="1766"/>
      <c r="N1656" s="1766"/>
      <c r="O1656" s="1766"/>
      <c r="P1656" s="1766"/>
      <c r="W1656" t="s">
        <v>2089</v>
      </c>
    </row>
    <row r="1657" spans="1:23" ht="13.15" customHeight="1" x14ac:dyDescent="0.2">
      <c r="A1657" s="2" t="s">
        <v>2242</v>
      </c>
      <c r="B1657" s="2">
        <f t="shared" si="50"/>
        <v>2019</v>
      </c>
      <c r="C1657" s="2" t="str">
        <f t="shared" si="51"/>
        <v>EC101</v>
      </c>
      <c r="D1657" s="2">
        <v>39</v>
      </c>
      <c r="F1657" s="1764"/>
      <c r="G1657" s="1764"/>
      <c r="H1657" s="1764"/>
      <c r="I1657" s="1764"/>
      <c r="J1657" s="1764"/>
      <c r="K1657" s="1764"/>
      <c r="L1657" s="1766"/>
      <c r="M1657" s="1766"/>
      <c r="N1657" s="1766"/>
      <c r="O1657" s="1766"/>
      <c r="P1657" s="1766"/>
      <c r="W1657" t="s">
        <v>2089</v>
      </c>
    </row>
    <row r="1658" spans="1:23" ht="13.15" customHeight="1" x14ac:dyDescent="0.2">
      <c r="A1658" s="2" t="s">
        <v>2242</v>
      </c>
      <c r="B1658" s="2">
        <f t="shared" si="50"/>
        <v>2019</v>
      </c>
      <c r="C1658" s="2" t="str">
        <f t="shared" si="51"/>
        <v>EC101</v>
      </c>
      <c r="D1658" s="2">
        <v>40</v>
      </c>
      <c r="F1658" s="1764"/>
      <c r="G1658" s="1764"/>
      <c r="H1658" s="1764"/>
      <c r="I1658" s="1764"/>
      <c r="J1658" s="1764"/>
      <c r="K1658" s="1764"/>
      <c r="L1658" s="1766"/>
      <c r="M1658" s="1766"/>
      <c r="N1658" s="1766"/>
      <c r="O1658" s="1766"/>
      <c r="P1658" s="1766"/>
      <c r="W1658" t="s">
        <v>2089</v>
      </c>
    </row>
    <row r="1659" spans="1:23" ht="13.15" customHeight="1" x14ac:dyDescent="0.2">
      <c r="A1659" s="2" t="s">
        <v>2242</v>
      </c>
      <c r="B1659" s="2">
        <f t="shared" si="50"/>
        <v>2019</v>
      </c>
      <c r="C1659" s="2" t="str">
        <f t="shared" si="51"/>
        <v>EC101</v>
      </c>
      <c r="D1659" s="2">
        <v>41</v>
      </c>
      <c r="F1659" s="1764"/>
      <c r="G1659" s="1764"/>
      <c r="H1659" s="1764"/>
      <c r="I1659" s="1764"/>
      <c r="J1659" s="1764"/>
      <c r="K1659" s="1764"/>
      <c r="L1659" s="1766"/>
      <c r="M1659" s="1766"/>
      <c r="N1659" s="1766"/>
      <c r="O1659" s="1766"/>
      <c r="P1659" s="1766"/>
      <c r="W1659" t="s">
        <v>2089</v>
      </c>
    </row>
    <row r="1660" spans="1:23" ht="13.15" customHeight="1" x14ac:dyDescent="0.2">
      <c r="A1660" s="2" t="s">
        <v>2242</v>
      </c>
      <c r="B1660" s="2">
        <f t="shared" si="50"/>
        <v>2019</v>
      </c>
      <c r="C1660" s="2" t="str">
        <f t="shared" si="51"/>
        <v>EC101</v>
      </c>
      <c r="D1660" s="2">
        <v>42</v>
      </c>
      <c r="F1660" s="1764"/>
      <c r="G1660" s="1764"/>
      <c r="H1660" s="1764"/>
      <c r="I1660" s="1764"/>
      <c r="J1660" s="1764"/>
      <c r="K1660" s="1764"/>
      <c r="L1660" s="1766"/>
      <c r="M1660" s="1766"/>
      <c r="N1660" s="1766"/>
      <c r="O1660" s="1766"/>
      <c r="P1660" s="1766"/>
      <c r="W1660" t="s">
        <v>2089</v>
      </c>
    </row>
    <row r="1661" spans="1:23" ht="13.15" customHeight="1" x14ac:dyDescent="0.2">
      <c r="A1661" s="2" t="s">
        <v>2242</v>
      </c>
      <c r="B1661" s="2">
        <f t="shared" si="50"/>
        <v>2019</v>
      </c>
      <c r="C1661" s="2" t="str">
        <f t="shared" si="51"/>
        <v>EC101</v>
      </c>
      <c r="D1661" s="2">
        <v>43</v>
      </c>
      <c r="F1661" s="1764"/>
      <c r="G1661" s="1764"/>
      <c r="H1661" s="1764"/>
      <c r="I1661" s="1764"/>
      <c r="J1661" s="1764"/>
      <c r="K1661" s="1764"/>
      <c r="L1661" s="1766"/>
      <c r="M1661" s="1766"/>
      <c r="N1661" s="1766"/>
      <c r="O1661" s="1766"/>
      <c r="P1661" s="1766"/>
      <c r="W1661" t="s">
        <v>2089</v>
      </c>
    </row>
    <row r="1662" spans="1:23" ht="13.15" customHeight="1" x14ac:dyDescent="0.2">
      <c r="A1662" s="2" t="s">
        <v>2242</v>
      </c>
      <c r="B1662" s="2">
        <f t="shared" si="50"/>
        <v>2019</v>
      </c>
      <c r="C1662" s="2" t="str">
        <f t="shared" si="51"/>
        <v>EC101</v>
      </c>
      <c r="D1662" s="2">
        <v>44</v>
      </c>
      <c r="F1662" s="1764"/>
      <c r="G1662" s="1764"/>
      <c r="H1662" s="1764"/>
      <c r="I1662" s="1764"/>
      <c r="J1662" s="1764"/>
      <c r="K1662" s="1764"/>
      <c r="L1662" s="1766"/>
      <c r="M1662" s="1766"/>
      <c r="N1662" s="1766"/>
      <c r="O1662" s="1766"/>
      <c r="P1662" s="1766"/>
      <c r="W1662" t="s">
        <v>2089</v>
      </c>
    </row>
    <row r="1663" spans="1:23" ht="13.15" customHeight="1" x14ac:dyDescent="0.2">
      <c r="A1663" s="2" t="s">
        <v>2242</v>
      </c>
      <c r="B1663" s="2">
        <f t="shared" si="50"/>
        <v>2019</v>
      </c>
      <c r="C1663" s="2" t="str">
        <f t="shared" si="51"/>
        <v>EC101</v>
      </c>
      <c r="D1663" s="2">
        <v>45</v>
      </c>
      <c r="F1663" s="1764"/>
      <c r="G1663" s="1764"/>
      <c r="H1663" s="1764"/>
      <c r="I1663" s="1764"/>
      <c r="J1663" s="1764"/>
      <c r="K1663" s="1764"/>
      <c r="L1663" s="1766"/>
      <c r="M1663" s="1766"/>
      <c r="N1663" s="1766"/>
      <c r="O1663" s="1766"/>
      <c r="P1663" s="1766"/>
      <c r="W1663" t="s">
        <v>2089</v>
      </c>
    </row>
    <row r="1664" spans="1:23" ht="13.15" customHeight="1" x14ac:dyDescent="0.2">
      <c r="A1664" s="2" t="s">
        <v>2242</v>
      </c>
      <c r="B1664" s="2">
        <f t="shared" si="50"/>
        <v>2019</v>
      </c>
      <c r="C1664" s="2" t="str">
        <f t="shared" si="51"/>
        <v>EC101</v>
      </c>
      <c r="D1664" s="2">
        <v>46</v>
      </c>
      <c r="F1664" s="1764"/>
      <c r="G1664" s="1764"/>
      <c r="H1664" s="1764"/>
      <c r="I1664" s="1764"/>
      <c r="J1664" s="1764"/>
      <c r="K1664" s="1764"/>
      <c r="L1664" s="1766"/>
      <c r="M1664" s="1766"/>
      <c r="N1664" s="1766"/>
      <c r="O1664" s="1766"/>
      <c r="P1664" s="1766"/>
      <c r="W1664" t="s">
        <v>2089</v>
      </c>
    </row>
    <row r="1665" spans="1:23" ht="13.15" customHeight="1" x14ac:dyDescent="0.2">
      <c r="A1665" s="2" t="s">
        <v>2242</v>
      </c>
      <c r="B1665" s="2">
        <f t="shared" si="50"/>
        <v>2019</v>
      </c>
      <c r="C1665" s="2" t="str">
        <f t="shared" si="51"/>
        <v>EC101</v>
      </c>
      <c r="D1665" s="2">
        <v>47</v>
      </c>
      <c r="F1665" s="1764"/>
      <c r="G1665" s="1764"/>
      <c r="H1665" s="1764"/>
      <c r="I1665" s="1764"/>
      <c r="J1665" s="1764"/>
      <c r="K1665" s="1764"/>
      <c r="L1665" s="1766"/>
      <c r="M1665" s="1766"/>
      <c r="N1665" s="1766"/>
      <c r="O1665" s="1766"/>
      <c r="P1665" s="1766"/>
      <c r="W1665" t="s">
        <v>2089</v>
      </c>
    </row>
    <row r="1666" spans="1:23" ht="13.15" customHeight="1" x14ac:dyDescent="0.2">
      <c r="A1666" s="2" t="s">
        <v>2242</v>
      </c>
      <c r="B1666" s="2">
        <f t="shared" ref="B1666:B1729" si="52">+MTREF</f>
        <v>2019</v>
      </c>
      <c r="C1666" s="2" t="str">
        <f t="shared" ref="C1666:C1729" si="53">LEFT(muni,(FIND(" ",muni,1)-1))</f>
        <v>EC101</v>
      </c>
      <c r="D1666" s="2">
        <v>48</v>
      </c>
      <c r="F1666" s="1764"/>
      <c r="G1666" s="1764"/>
      <c r="H1666" s="1764"/>
      <c r="I1666" s="1764"/>
      <c r="J1666" s="1764"/>
      <c r="K1666" s="1764"/>
      <c r="L1666" s="1766"/>
      <c r="M1666" s="1766"/>
      <c r="N1666" s="1766"/>
      <c r="O1666" s="1766"/>
      <c r="P1666" s="1766"/>
      <c r="W1666" t="s">
        <v>2089</v>
      </c>
    </row>
    <row r="1667" spans="1:23" ht="13.15" customHeight="1" x14ac:dyDescent="0.2">
      <c r="A1667" s="2" t="s">
        <v>2242</v>
      </c>
      <c r="B1667" s="2">
        <f t="shared" si="52"/>
        <v>2019</v>
      </c>
      <c r="C1667" s="2" t="str">
        <f t="shared" si="53"/>
        <v>EC101</v>
      </c>
      <c r="D1667" s="2">
        <v>49</v>
      </c>
      <c r="F1667" s="1764"/>
      <c r="G1667" s="1764"/>
      <c r="H1667" s="1764"/>
      <c r="I1667" s="1764"/>
      <c r="J1667" s="1764"/>
      <c r="K1667" s="1764"/>
      <c r="L1667" s="1766"/>
      <c r="M1667" s="1766"/>
      <c r="N1667" s="1766"/>
      <c r="O1667" s="1766"/>
      <c r="P1667" s="1766"/>
      <c r="W1667" t="s">
        <v>2089</v>
      </c>
    </row>
    <row r="1668" spans="1:23" ht="13.15" customHeight="1" x14ac:dyDescent="0.2">
      <c r="A1668" s="2" t="s">
        <v>2242</v>
      </c>
      <c r="B1668" s="2">
        <f t="shared" si="52"/>
        <v>2019</v>
      </c>
      <c r="C1668" s="2" t="str">
        <f t="shared" si="53"/>
        <v>EC101</v>
      </c>
      <c r="D1668" s="2">
        <v>50</v>
      </c>
      <c r="F1668" s="1764"/>
      <c r="G1668" s="1764"/>
      <c r="H1668" s="1764"/>
      <c r="I1668" s="1764"/>
      <c r="J1668" s="1764"/>
      <c r="K1668" s="1764"/>
      <c r="L1668" s="1766"/>
      <c r="M1668" s="1766"/>
      <c r="N1668" s="1766"/>
      <c r="O1668" s="1766"/>
      <c r="P1668" s="1766"/>
      <c r="W1668" t="s">
        <v>2089</v>
      </c>
    </row>
    <row r="1669" spans="1:23" ht="13.15" customHeight="1" x14ac:dyDescent="0.2">
      <c r="A1669" s="2" t="s">
        <v>2242</v>
      </c>
      <c r="B1669" s="2">
        <f t="shared" si="52"/>
        <v>2019</v>
      </c>
      <c r="C1669" s="2" t="str">
        <f t="shared" si="53"/>
        <v>EC101</v>
      </c>
      <c r="D1669" s="2">
        <v>51</v>
      </c>
      <c r="F1669" s="1764"/>
      <c r="G1669" s="1764"/>
      <c r="H1669" s="1764"/>
      <c r="I1669" s="1764"/>
      <c r="J1669" s="1764"/>
      <c r="K1669" s="1764"/>
      <c r="L1669" s="1766"/>
      <c r="M1669" s="1766"/>
      <c r="N1669" s="1766"/>
      <c r="O1669" s="1766"/>
      <c r="P1669" s="1766"/>
      <c r="W1669" t="s">
        <v>2089</v>
      </c>
    </row>
    <row r="1670" spans="1:23" ht="13.15" customHeight="1" x14ac:dyDescent="0.2">
      <c r="A1670" s="2" t="s">
        <v>2242</v>
      </c>
      <c r="B1670" s="2">
        <f t="shared" si="52"/>
        <v>2019</v>
      </c>
      <c r="C1670" s="2" t="str">
        <f t="shared" si="53"/>
        <v>EC101</v>
      </c>
      <c r="D1670" s="2">
        <v>52</v>
      </c>
      <c r="F1670" s="1764"/>
      <c r="G1670" s="1764"/>
      <c r="H1670" s="1764"/>
      <c r="I1670" s="1764"/>
      <c r="J1670" s="1764"/>
      <c r="K1670" s="1764"/>
      <c r="L1670" s="1766"/>
      <c r="M1670" s="1766"/>
      <c r="N1670" s="1766"/>
      <c r="O1670" s="1766"/>
      <c r="P1670" s="1766"/>
      <c r="W1670" t="s">
        <v>2089</v>
      </c>
    </row>
    <row r="1671" spans="1:23" ht="13.15" customHeight="1" x14ac:dyDescent="0.2">
      <c r="A1671" s="2" t="s">
        <v>2242</v>
      </c>
      <c r="B1671" s="2">
        <f t="shared" si="52"/>
        <v>2019</v>
      </c>
      <c r="C1671" s="2" t="str">
        <f t="shared" si="53"/>
        <v>EC101</v>
      </c>
      <c r="D1671" s="2">
        <v>53</v>
      </c>
      <c r="F1671" s="1764"/>
      <c r="G1671" s="1764"/>
      <c r="H1671" s="1764"/>
      <c r="I1671" s="1764"/>
      <c r="J1671" s="1764"/>
      <c r="K1671" s="1764"/>
      <c r="L1671" s="1766"/>
      <c r="M1671" s="1766"/>
      <c r="N1671" s="1766"/>
      <c r="O1671" s="1766"/>
      <c r="P1671" s="1766"/>
      <c r="W1671" t="s">
        <v>2089</v>
      </c>
    </row>
    <row r="1672" spans="1:23" ht="13.15" customHeight="1" x14ac:dyDescent="0.2">
      <c r="A1672" s="2" t="s">
        <v>2242</v>
      </c>
      <c r="B1672" s="2">
        <f t="shared" si="52"/>
        <v>2019</v>
      </c>
      <c r="C1672" s="2" t="str">
        <f t="shared" si="53"/>
        <v>EC101</v>
      </c>
      <c r="D1672" s="2">
        <v>54</v>
      </c>
      <c r="F1672" s="1764"/>
      <c r="G1672" s="1764"/>
      <c r="H1672" s="1764"/>
      <c r="I1672" s="1764"/>
      <c r="J1672" s="1764"/>
      <c r="K1672" s="1764"/>
      <c r="L1672" s="1766"/>
      <c r="M1672" s="1766"/>
      <c r="N1672" s="1766"/>
      <c r="O1672" s="1766"/>
      <c r="P1672" s="1766"/>
      <c r="W1672" t="s">
        <v>2089</v>
      </c>
    </row>
    <row r="1673" spans="1:23" ht="13.15" customHeight="1" x14ac:dyDescent="0.2">
      <c r="A1673" s="2" t="s">
        <v>2242</v>
      </c>
      <c r="B1673" s="2">
        <f t="shared" si="52"/>
        <v>2019</v>
      </c>
      <c r="C1673" s="2" t="str">
        <f t="shared" si="53"/>
        <v>EC101</v>
      </c>
      <c r="D1673" s="2">
        <v>55</v>
      </c>
      <c r="F1673" s="1764"/>
      <c r="G1673" s="1764"/>
      <c r="H1673" s="1764"/>
      <c r="I1673" s="1764"/>
      <c r="J1673" s="1764"/>
      <c r="K1673" s="1764"/>
      <c r="L1673" s="1766"/>
      <c r="M1673" s="1766"/>
      <c r="N1673" s="1766"/>
      <c r="O1673" s="1766"/>
      <c r="P1673" s="1766"/>
      <c r="W1673" t="s">
        <v>2089</v>
      </c>
    </row>
    <row r="1674" spans="1:23" ht="13.15" customHeight="1" x14ac:dyDescent="0.2">
      <c r="A1674" s="2" t="s">
        <v>2242</v>
      </c>
      <c r="B1674" s="2">
        <f t="shared" si="52"/>
        <v>2019</v>
      </c>
      <c r="C1674" s="2" t="str">
        <f t="shared" si="53"/>
        <v>EC101</v>
      </c>
      <c r="D1674" s="2">
        <v>56</v>
      </c>
      <c r="F1674" s="1764"/>
      <c r="G1674" s="1764"/>
      <c r="H1674" s="1764"/>
      <c r="I1674" s="1764"/>
      <c r="J1674" s="1764"/>
      <c r="K1674" s="1764"/>
      <c r="L1674" s="1766"/>
      <c r="M1674" s="1766"/>
      <c r="N1674" s="1766"/>
      <c r="O1674" s="1766"/>
      <c r="P1674" s="1766"/>
      <c r="W1674" t="s">
        <v>2089</v>
      </c>
    </row>
    <row r="1675" spans="1:23" ht="13.15" customHeight="1" x14ac:dyDescent="0.2">
      <c r="A1675" s="2" t="s">
        <v>2242</v>
      </c>
      <c r="B1675" s="2">
        <f t="shared" si="52"/>
        <v>2019</v>
      </c>
      <c r="C1675" s="2" t="str">
        <f t="shared" si="53"/>
        <v>EC101</v>
      </c>
      <c r="D1675" s="2">
        <v>57</v>
      </c>
      <c r="F1675" s="1764"/>
      <c r="G1675" s="1764"/>
      <c r="H1675" s="1764"/>
      <c r="I1675" s="1764"/>
      <c r="J1675" s="1764"/>
      <c r="K1675" s="1764"/>
      <c r="L1675" s="1766"/>
      <c r="M1675" s="1766"/>
      <c r="N1675" s="1766"/>
      <c r="O1675" s="1766"/>
      <c r="P1675" s="1766"/>
      <c r="W1675" t="s">
        <v>2089</v>
      </c>
    </row>
    <row r="1676" spans="1:23" ht="13.15" customHeight="1" x14ac:dyDescent="0.2">
      <c r="A1676" s="2" t="s">
        <v>2242</v>
      </c>
      <c r="B1676" s="2">
        <f t="shared" si="52"/>
        <v>2019</v>
      </c>
      <c r="C1676" s="2" t="str">
        <f t="shared" si="53"/>
        <v>EC101</v>
      </c>
      <c r="D1676" s="2">
        <v>58</v>
      </c>
      <c r="F1676" s="1764"/>
      <c r="G1676" s="1764"/>
      <c r="H1676" s="1764"/>
      <c r="I1676" s="1764"/>
      <c r="J1676" s="1764"/>
      <c r="K1676" s="1764"/>
      <c r="L1676" s="1766"/>
      <c r="M1676" s="1766"/>
      <c r="N1676" s="1766"/>
      <c r="O1676" s="1766"/>
      <c r="P1676" s="1766"/>
      <c r="W1676" t="s">
        <v>2089</v>
      </c>
    </row>
    <row r="1677" spans="1:23" ht="13.15" customHeight="1" x14ac:dyDescent="0.2">
      <c r="A1677" s="2" t="s">
        <v>2242</v>
      </c>
      <c r="B1677" s="2">
        <f t="shared" si="52"/>
        <v>2019</v>
      </c>
      <c r="C1677" s="2" t="str">
        <f t="shared" si="53"/>
        <v>EC101</v>
      </c>
      <c r="D1677" s="2">
        <v>59</v>
      </c>
      <c r="F1677" s="1764"/>
      <c r="G1677" s="1764"/>
      <c r="H1677" s="1764"/>
      <c r="I1677" s="1764"/>
      <c r="J1677" s="1764"/>
      <c r="K1677" s="1764"/>
      <c r="L1677" s="1766"/>
      <c r="M1677" s="1766"/>
      <c r="N1677" s="1766"/>
      <c r="O1677" s="1766"/>
      <c r="P1677" s="1766"/>
      <c r="W1677" t="s">
        <v>2089</v>
      </c>
    </row>
    <row r="1678" spans="1:23" ht="13.15" customHeight="1" x14ac:dyDescent="0.2">
      <c r="A1678" s="2" t="s">
        <v>2242</v>
      </c>
      <c r="B1678" s="2">
        <f t="shared" si="52"/>
        <v>2019</v>
      </c>
      <c r="C1678" s="2" t="str">
        <f t="shared" si="53"/>
        <v>EC101</v>
      </c>
      <c r="D1678" s="2">
        <v>60</v>
      </c>
      <c r="F1678" s="1764"/>
      <c r="G1678" s="1764"/>
      <c r="H1678" s="1764"/>
      <c r="I1678" s="1764"/>
      <c r="J1678" s="1764"/>
      <c r="K1678" s="1764"/>
      <c r="L1678" s="1766"/>
      <c r="M1678" s="1766"/>
      <c r="N1678" s="1766"/>
      <c r="O1678" s="1766"/>
      <c r="P1678" s="1766"/>
      <c r="W1678" t="s">
        <v>2089</v>
      </c>
    </row>
    <row r="1679" spans="1:23" ht="13.15" customHeight="1" x14ac:dyDescent="0.2">
      <c r="A1679" s="2" t="s">
        <v>2242</v>
      </c>
      <c r="B1679" s="2">
        <f t="shared" si="52"/>
        <v>2019</v>
      </c>
      <c r="C1679" s="2" t="str">
        <f t="shared" si="53"/>
        <v>EC101</v>
      </c>
      <c r="D1679" s="2">
        <v>61</v>
      </c>
      <c r="F1679" s="1764"/>
      <c r="G1679" s="1764"/>
      <c r="H1679" s="1764"/>
      <c r="I1679" s="1764"/>
      <c r="J1679" s="1764"/>
      <c r="K1679" s="1764"/>
      <c r="L1679" s="1766"/>
      <c r="M1679" s="1766"/>
      <c r="N1679" s="1766"/>
      <c r="O1679" s="1766"/>
      <c r="P1679" s="1766"/>
      <c r="W1679" t="s">
        <v>2089</v>
      </c>
    </row>
    <row r="1680" spans="1:23" ht="13.15" customHeight="1" x14ac:dyDescent="0.2">
      <c r="A1680" s="2" t="s">
        <v>2242</v>
      </c>
      <c r="B1680" s="2">
        <f t="shared" si="52"/>
        <v>2019</v>
      </c>
      <c r="C1680" s="2" t="str">
        <f t="shared" si="53"/>
        <v>EC101</v>
      </c>
      <c r="D1680" s="2">
        <v>62</v>
      </c>
      <c r="F1680" s="1764"/>
      <c r="G1680" s="1764"/>
      <c r="H1680" s="1764"/>
      <c r="I1680" s="1764"/>
      <c r="J1680" s="1764"/>
      <c r="K1680" s="1764"/>
      <c r="L1680" s="1766"/>
      <c r="M1680" s="1766"/>
      <c r="N1680" s="1766"/>
      <c r="O1680" s="1766"/>
      <c r="P1680" s="1766"/>
      <c r="W1680" t="s">
        <v>2089</v>
      </c>
    </row>
    <row r="1681" spans="1:23" ht="13.15" customHeight="1" x14ac:dyDescent="0.2">
      <c r="A1681" s="2" t="s">
        <v>2242</v>
      </c>
      <c r="B1681" s="2">
        <f t="shared" si="52"/>
        <v>2019</v>
      </c>
      <c r="C1681" s="2" t="str">
        <f t="shared" si="53"/>
        <v>EC101</v>
      </c>
      <c r="D1681" s="2">
        <v>63</v>
      </c>
      <c r="F1681" s="1764"/>
      <c r="G1681" s="1764"/>
      <c r="H1681" s="1764"/>
      <c r="I1681" s="1764"/>
      <c r="J1681" s="1764"/>
      <c r="K1681" s="1764"/>
      <c r="L1681" s="1766"/>
      <c r="M1681" s="1766"/>
      <c r="N1681" s="1766"/>
      <c r="O1681" s="1766"/>
      <c r="P1681" s="1766"/>
      <c r="W1681" t="s">
        <v>2089</v>
      </c>
    </row>
    <row r="1682" spans="1:23" ht="13.15" customHeight="1" x14ac:dyDescent="0.2">
      <c r="A1682" s="2" t="s">
        <v>2242</v>
      </c>
      <c r="B1682" s="2">
        <f t="shared" si="52"/>
        <v>2019</v>
      </c>
      <c r="C1682" s="2" t="str">
        <f t="shared" si="53"/>
        <v>EC101</v>
      </c>
      <c r="D1682" s="2">
        <v>64</v>
      </c>
      <c r="F1682" s="1764"/>
      <c r="G1682" s="1764"/>
      <c r="H1682" s="1764"/>
      <c r="I1682" s="1764"/>
      <c r="J1682" s="1764"/>
      <c r="K1682" s="1764"/>
      <c r="L1682" s="1766"/>
      <c r="M1682" s="1766"/>
      <c r="N1682" s="1766"/>
      <c r="O1682" s="1766"/>
      <c r="P1682" s="1766"/>
      <c r="W1682" t="s">
        <v>2089</v>
      </c>
    </row>
    <row r="1683" spans="1:23" ht="13.15" customHeight="1" x14ac:dyDescent="0.2">
      <c r="A1683" s="2" t="s">
        <v>2242</v>
      </c>
      <c r="B1683" s="2">
        <f t="shared" si="52"/>
        <v>2019</v>
      </c>
      <c r="C1683" s="2" t="str">
        <f t="shared" si="53"/>
        <v>EC101</v>
      </c>
      <c r="D1683" s="2">
        <v>65</v>
      </c>
      <c r="F1683" s="1764"/>
      <c r="G1683" s="1764"/>
      <c r="H1683" s="1764"/>
      <c r="I1683" s="1764"/>
      <c r="J1683" s="1764"/>
      <c r="K1683" s="1764"/>
      <c r="L1683" s="1766"/>
      <c r="M1683" s="1766"/>
      <c r="N1683" s="1766"/>
      <c r="O1683" s="1766"/>
      <c r="P1683" s="1766"/>
      <c r="W1683" t="s">
        <v>2089</v>
      </c>
    </row>
    <row r="1684" spans="1:23" ht="13.15" customHeight="1" x14ac:dyDescent="0.2">
      <c r="A1684" s="2" t="s">
        <v>2242</v>
      </c>
      <c r="B1684" s="2">
        <f t="shared" si="52"/>
        <v>2019</v>
      </c>
      <c r="C1684" s="2" t="str">
        <f t="shared" si="53"/>
        <v>EC101</v>
      </c>
      <c r="D1684" s="2">
        <v>66</v>
      </c>
      <c r="F1684" s="1764"/>
      <c r="G1684" s="1764"/>
      <c r="H1684" s="1764"/>
      <c r="I1684" s="1764"/>
      <c r="J1684" s="1764"/>
      <c r="K1684" s="1764"/>
      <c r="L1684" s="1766"/>
      <c r="M1684" s="1766"/>
      <c r="N1684" s="1766"/>
      <c r="O1684" s="1766"/>
      <c r="P1684" s="1766"/>
      <c r="W1684" t="s">
        <v>2089</v>
      </c>
    </row>
    <row r="1685" spans="1:23" ht="13.15" customHeight="1" x14ac:dyDescent="0.2">
      <c r="A1685" s="2" t="s">
        <v>2242</v>
      </c>
      <c r="B1685" s="2">
        <f t="shared" si="52"/>
        <v>2019</v>
      </c>
      <c r="C1685" s="2" t="str">
        <f t="shared" si="53"/>
        <v>EC101</v>
      </c>
      <c r="D1685" s="2">
        <v>67</v>
      </c>
      <c r="F1685" s="1764"/>
      <c r="G1685" s="1764"/>
      <c r="H1685" s="1764"/>
      <c r="I1685" s="1764"/>
      <c r="J1685" s="1764"/>
      <c r="K1685" s="1764"/>
      <c r="L1685" s="1766"/>
      <c r="M1685" s="1766"/>
      <c r="N1685" s="1766"/>
      <c r="O1685" s="1766"/>
      <c r="P1685" s="1766"/>
      <c r="W1685" t="s">
        <v>2089</v>
      </c>
    </row>
    <row r="1686" spans="1:23" ht="13.15" customHeight="1" x14ac:dyDescent="0.2">
      <c r="A1686" s="2" t="s">
        <v>2242</v>
      </c>
      <c r="B1686" s="2">
        <f t="shared" si="52"/>
        <v>2019</v>
      </c>
      <c r="C1686" s="2" t="str">
        <f t="shared" si="53"/>
        <v>EC101</v>
      </c>
      <c r="D1686" s="2">
        <v>68</v>
      </c>
      <c r="F1686" s="1764"/>
      <c r="G1686" s="1764"/>
      <c r="H1686" s="1764"/>
      <c r="I1686" s="1764"/>
      <c r="J1686" s="1764"/>
      <c r="K1686" s="1764"/>
      <c r="L1686" s="1766"/>
      <c r="M1686" s="1766"/>
      <c r="N1686" s="1766"/>
      <c r="O1686" s="1766"/>
      <c r="P1686" s="1766"/>
      <c r="W1686" t="s">
        <v>2089</v>
      </c>
    </row>
    <row r="1687" spans="1:23" ht="13.15" customHeight="1" x14ac:dyDescent="0.2">
      <c r="A1687" s="2" t="s">
        <v>2242</v>
      </c>
      <c r="B1687" s="2">
        <f t="shared" si="52"/>
        <v>2019</v>
      </c>
      <c r="C1687" s="2" t="str">
        <f t="shared" si="53"/>
        <v>EC101</v>
      </c>
      <c r="D1687" s="2">
        <v>69</v>
      </c>
      <c r="F1687" s="1764"/>
      <c r="G1687" s="1764"/>
      <c r="H1687" s="1764"/>
      <c r="I1687" s="1764"/>
      <c r="J1687" s="1764"/>
      <c r="K1687" s="1764"/>
      <c r="L1687" s="1766"/>
      <c r="M1687" s="1766"/>
      <c r="N1687" s="1766"/>
      <c r="O1687" s="1766"/>
      <c r="P1687" s="1766"/>
      <c r="W1687" t="s">
        <v>2089</v>
      </c>
    </row>
    <row r="1688" spans="1:23" ht="13.15" customHeight="1" x14ac:dyDescent="0.2">
      <c r="A1688" s="2" t="s">
        <v>2242</v>
      </c>
      <c r="B1688" s="2">
        <f t="shared" si="52"/>
        <v>2019</v>
      </c>
      <c r="C1688" s="2" t="str">
        <f t="shared" si="53"/>
        <v>EC101</v>
      </c>
      <c r="D1688" s="2">
        <v>70</v>
      </c>
      <c r="F1688" s="1764"/>
      <c r="G1688" s="1764"/>
      <c r="H1688" s="1764"/>
      <c r="I1688" s="1764"/>
      <c r="J1688" s="1764"/>
      <c r="K1688" s="1764"/>
      <c r="L1688" s="1766"/>
      <c r="M1688" s="1766"/>
      <c r="N1688" s="1766"/>
      <c r="O1688" s="1766"/>
      <c r="P1688" s="1766"/>
      <c r="W1688" t="s">
        <v>2089</v>
      </c>
    </row>
    <row r="1689" spans="1:23" ht="13.15" customHeight="1" x14ac:dyDescent="0.2">
      <c r="A1689" s="2" t="s">
        <v>2242</v>
      </c>
      <c r="B1689" s="2">
        <f t="shared" si="52"/>
        <v>2019</v>
      </c>
      <c r="C1689" s="2" t="str">
        <f t="shared" si="53"/>
        <v>EC101</v>
      </c>
      <c r="D1689" s="2">
        <v>71</v>
      </c>
      <c r="F1689" s="1764"/>
      <c r="G1689" s="1764"/>
      <c r="H1689" s="1764"/>
      <c r="I1689" s="1764"/>
      <c r="J1689" s="1764"/>
      <c r="K1689" s="1764"/>
      <c r="L1689" s="1766"/>
      <c r="M1689" s="1766"/>
      <c r="N1689" s="1766"/>
      <c r="O1689" s="1766"/>
      <c r="P1689" s="1766"/>
      <c r="W1689" t="s">
        <v>2089</v>
      </c>
    </row>
    <row r="1690" spans="1:23" ht="13.15" customHeight="1" x14ac:dyDescent="0.2">
      <c r="A1690" s="2" t="s">
        <v>2242</v>
      </c>
      <c r="B1690" s="2">
        <f t="shared" si="52"/>
        <v>2019</v>
      </c>
      <c r="C1690" s="2" t="str">
        <f t="shared" si="53"/>
        <v>EC101</v>
      </c>
      <c r="D1690" s="2">
        <v>72</v>
      </c>
      <c r="F1690" s="1764"/>
      <c r="G1690" s="1764"/>
      <c r="H1690" s="1764"/>
      <c r="I1690" s="1764"/>
      <c r="J1690" s="1764"/>
      <c r="K1690" s="1764"/>
      <c r="L1690" s="1766"/>
      <c r="M1690" s="1766"/>
      <c r="N1690" s="1766"/>
      <c r="O1690" s="1766"/>
      <c r="P1690" s="1766"/>
      <c r="W1690" t="s">
        <v>2089</v>
      </c>
    </row>
    <row r="1691" spans="1:23" ht="13.15" customHeight="1" x14ac:dyDescent="0.2">
      <c r="A1691" s="2" t="s">
        <v>2242</v>
      </c>
      <c r="B1691" s="2">
        <f t="shared" si="52"/>
        <v>2019</v>
      </c>
      <c r="C1691" s="2" t="str">
        <f t="shared" si="53"/>
        <v>EC101</v>
      </c>
      <c r="D1691" s="2">
        <v>73</v>
      </c>
      <c r="F1691" s="1764"/>
      <c r="G1691" s="1764"/>
      <c r="H1691" s="1764"/>
      <c r="I1691" s="1764"/>
      <c r="J1691" s="1764"/>
      <c r="K1691" s="1764"/>
      <c r="L1691" s="1766"/>
      <c r="M1691" s="1766"/>
      <c r="N1691" s="1766"/>
      <c r="O1691" s="1766"/>
      <c r="P1691" s="1766"/>
      <c r="W1691" t="s">
        <v>2089</v>
      </c>
    </row>
    <row r="1692" spans="1:23" ht="13.15" customHeight="1" x14ac:dyDescent="0.2">
      <c r="A1692" s="2" t="s">
        <v>2242</v>
      </c>
      <c r="B1692" s="2">
        <f t="shared" si="52"/>
        <v>2019</v>
      </c>
      <c r="C1692" s="2" t="str">
        <f t="shared" si="53"/>
        <v>EC101</v>
      </c>
      <c r="D1692" s="2">
        <v>74</v>
      </c>
      <c r="F1692" s="1764"/>
      <c r="G1692" s="1764"/>
      <c r="H1692" s="1764"/>
      <c r="I1692" s="1764"/>
      <c r="J1692" s="1764"/>
      <c r="K1692" s="1764"/>
      <c r="L1692" s="1766"/>
      <c r="M1692" s="1766"/>
      <c r="N1692" s="1766"/>
      <c r="O1692" s="1766"/>
      <c r="P1692" s="1766"/>
      <c r="W1692" t="s">
        <v>2089</v>
      </c>
    </row>
    <row r="1693" spans="1:23" ht="13.15" customHeight="1" x14ac:dyDescent="0.2">
      <c r="A1693" s="2" t="s">
        <v>2242</v>
      </c>
      <c r="B1693" s="2">
        <f t="shared" si="52"/>
        <v>2019</v>
      </c>
      <c r="C1693" s="2" t="str">
        <f t="shared" si="53"/>
        <v>EC101</v>
      </c>
      <c r="D1693" s="2">
        <v>75</v>
      </c>
      <c r="F1693" s="1764"/>
      <c r="G1693" s="1764"/>
      <c r="H1693" s="1764"/>
      <c r="I1693" s="1764"/>
      <c r="J1693" s="1764"/>
      <c r="K1693" s="1764"/>
      <c r="L1693" s="1766"/>
      <c r="M1693" s="1766"/>
      <c r="N1693" s="1766"/>
      <c r="O1693" s="1766"/>
      <c r="P1693" s="1766"/>
      <c r="W1693" t="s">
        <v>2089</v>
      </c>
    </row>
    <row r="1694" spans="1:23" ht="13.15" customHeight="1" x14ac:dyDescent="0.2">
      <c r="A1694" s="2" t="s">
        <v>2242</v>
      </c>
      <c r="B1694" s="2">
        <f t="shared" si="52"/>
        <v>2019</v>
      </c>
      <c r="C1694" s="2" t="str">
        <f t="shared" si="53"/>
        <v>EC101</v>
      </c>
      <c r="D1694" s="2">
        <v>76</v>
      </c>
      <c r="F1694" s="1764"/>
      <c r="G1694" s="1764"/>
      <c r="H1694" s="1764"/>
      <c r="I1694" s="1764"/>
      <c r="J1694" s="1764"/>
      <c r="K1694" s="1764"/>
      <c r="L1694" s="1766"/>
      <c r="M1694" s="1766"/>
      <c r="N1694" s="1766"/>
      <c r="O1694" s="1766"/>
      <c r="P1694" s="1766"/>
      <c r="W1694" t="s">
        <v>2089</v>
      </c>
    </row>
    <row r="1695" spans="1:23" ht="13.15" customHeight="1" x14ac:dyDescent="0.2">
      <c r="A1695" s="2" t="s">
        <v>2242</v>
      </c>
      <c r="B1695" s="2">
        <f t="shared" si="52"/>
        <v>2019</v>
      </c>
      <c r="C1695" s="2" t="str">
        <f t="shared" si="53"/>
        <v>EC101</v>
      </c>
      <c r="D1695" s="2">
        <v>77</v>
      </c>
      <c r="F1695" s="1764"/>
      <c r="G1695" s="1764"/>
      <c r="H1695" s="1764"/>
      <c r="I1695" s="1764"/>
      <c r="J1695" s="1764"/>
      <c r="K1695" s="1764"/>
      <c r="L1695" s="1766"/>
      <c r="M1695" s="1766"/>
      <c r="N1695" s="1766"/>
      <c r="O1695" s="1766"/>
      <c r="P1695" s="1766"/>
      <c r="W1695" t="s">
        <v>2089</v>
      </c>
    </row>
    <row r="1696" spans="1:23" ht="13.15" customHeight="1" x14ac:dyDescent="0.2">
      <c r="A1696" s="2" t="s">
        <v>2242</v>
      </c>
      <c r="B1696" s="2">
        <f t="shared" si="52"/>
        <v>2019</v>
      </c>
      <c r="C1696" s="2" t="str">
        <f t="shared" si="53"/>
        <v>EC101</v>
      </c>
      <c r="D1696" s="2">
        <v>78</v>
      </c>
      <c r="F1696" s="1764"/>
      <c r="G1696" s="1764"/>
      <c r="H1696" s="1764"/>
      <c r="I1696" s="1764"/>
      <c r="J1696" s="1764"/>
      <c r="K1696" s="1764"/>
      <c r="L1696" s="1766"/>
      <c r="M1696" s="1766"/>
      <c r="N1696" s="1766"/>
      <c r="O1696" s="1766"/>
      <c r="P1696" s="1766"/>
      <c r="W1696" t="s">
        <v>2089</v>
      </c>
    </row>
    <row r="1697" spans="1:23" ht="13.15" customHeight="1" x14ac:dyDescent="0.2">
      <c r="A1697" s="2" t="s">
        <v>2242</v>
      </c>
      <c r="B1697" s="2">
        <f t="shared" si="52"/>
        <v>2019</v>
      </c>
      <c r="C1697" s="2" t="str">
        <f t="shared" si="53"/>
        <v>EC101</v>
      </c>
      <c r="D1697" s="2">
        <v>79</v>
      </c>
      <c r="F1697" s="1764"/>
      <c r="G1697" s="1764"/>
      <c r="H1697" s="1764"/>
      <c r="I1697" s="1764"/>
      <c r="J1697" s="1764"/>
      <c r="K1697" s="1764"/>
      <c r="L1697" s="1766"/>
      <c r="M1697" s="1766"/>
      <c r="N1697" s="1766"/>
      <c r="O1697" s="1766"/>
      <c r="P1697" s="1766"/>
      <c r="W1697" t="s">
        <v>2089</v>
      </c>
    </row>
    <row r="1698" spans="1:23" ht="13.15" customHeight="1" x14ac:dyDescent="0.2">
      <c r="A1698" s="2" t="s">
        <v>2242</v>
      </c>
      <c r="B1698" s="2">
        <f t="shared" si="52"/>
        <v>2019</v>
      </c>
      <c r="C1698" s="2" t="str">
        <f t="shared" si="53"/>
        <v>EC101</v>
      </c>
      <c r="D1698" s="2">
        <v>80</v>
      </c>
      <c r="F1698" s="1764"/>
      <c r="G1698" s="1764"/>
      <c r="H1698" s="1764"/>
      <c r="I1698" s="1764"/>
      <c r="J1698" s="1764"/>
      <c r="K1698" s="1764"/>
      <c r="L1698" s="1766"/>
      <c r="M1698" s="1766"/>
      <c r="N1698" s="1766"/>
      <c r="O1698" s="1766"/>
      <c r="P1698" s="1766"/>
      <c r="W1698" t="s">
        <v>2089</v>
      </c>
    </row>
    <row r="1699" spans="1:23" ht="13.15" customHeight="1" x14ac:dyDescent="0.2">
      <c r="A1699" s="2" t="s">
        <v>2242</v>
      </c>
      <c r="B1699" s="2">
        <f t="shared" si="52"/>
        <v>2019</v>
      </c>
      <c r="C1699" s="2" t="str">
        <f t="shared" si="53"/>
        <v>EC101</v>
      </c>
      <c r="D1699" s="2">
        <v>81</v>
      </c>
      <c r="F1699" s="1764"/>
      <c r="G1699" s="1764"/>
      <c r="H1699" s="1764"/>
      <c r="I1699" s="1764"/>
      <c r="J1699" s="1764"/>
      <c r="K1699" s="1764"/>
      <c r="L1699" s="1766"/>
      <c r="M1699" s="1766"/>
      <c r="N1699" s="1766"/>
      <c r="O1699" s="1766"/>
      <c r="P1699" s="1766"/>
      <c r="W1699" t="s">
        <v>2089</v>
      </c>
    </row>
    <row r="1700" spans="1:23" ht="13.15" customHeight="1" x14ac:dyDescent="0.2">
      <c r="A1700" s="2" t="s">
        <v>2242</v>
      </c>
      <c r="B1700" s="2">
        <f t="shared" si="52"/>
        <v>2019</v>
      </c>
      <c r="C1700" s="2" t="str">
        <f t="shared" si="53"/>
        <v>EC101</v>
      </c>
      <c r="D1700" s="2">
        <v>82</v>
      </c>
      <c r="F1700" s="1764"/>
      <c r="G1700" s="1764"/>
      <c r="H1700" s="1764"/>
      <c r="I1700" s="1764"/>
      <c r="J1700" s="1764"/>
      <c r="K1700" s="1764"/>
      <c r="L1700" s="1766"/>
      <c r="M1700" s="1766"/>
      <c r="N1700" s="1766"/>
      <c r="O1700" s="1766"/>
      <c r="P1700" s="1766"/>
      <c r="W1700" t="s">
        <v>2089</v>
      </c>
    </row>
    <row r="1701" spans="1:23" ht="13.15" customHeight="1" x14ac:dyDescent="0.2">
      <c r="A1701" s="2" t="s">
        <v>2242</v>
      </c>
      <c r="B1701" s="2">
        <f t="shared" si="52"/>
        <v>2019</v>
      </c>
      <c r="C1701" s="2" t="str">
        <f t="shared" si="53"/>
        <v>EC101</v>
      </c>
      <c r="D1701" s="2">
        <v>83</v>
      </c>
      <c r="F1701" s="1764"/>
      <c r="G1701" s="1764"/>
      <c r="H1701" s="1764"/>
      <c r="I1701" s="1764"/>
      <c r="J1701" s="1764"/>
      <c r="K1701" s="1764"/>
      <c r="L1701" s="1766"/>
      <c r="M1701" s="1766"/>
      <c r="N1701" s="1766"/>
      <c r="O1701" s="1766"/>
      <c r="P1701" s="1766"/>
      <c r="W1701" t="s">
        <v>2089</v>
      </c>
    </row>
    <row r="1702" spans="1:23" ht="13.15" customHeight="1" x14ac:dyDescent="0.2">
      <c r="A1702" s="2" t="s">
        <v>2242</v>
      </c>
      <c r="B1702" s="2">
        <f t="shared" si="52"/>
        <v>2019</v>
      </c>
      <c r="C1702" s="2" t="str">
        <f t="shared" si="53"/>
        <v>EC101</v>
      </c>
      <c r="D1702" s="2">
        <v>84</v>
      </c>
      <c r="F1702" s="1764"/>
      <c r="G1702" s="1764"/>
      <c r="H1702" s="1764"/>
      <c r="I1702" s="1764"/>
      <c r="J1702" s="1764"/>
      <c r="K1702" s="1764"/>
      <c r="L1702" s="1766"/>
      <c r="M1702" s="1766"/>
      <c r="N1702" s="1766"/>
      <c r="O1702" s="1766"/>
      <c r="P1702" s="1766"/>
      <c r="W1702" t="s">
        <v>2089</v>
      </c>
    </row>
    <row r="1703" spans="1:23" ht="13.15" customHeight="1" x14ac:dyDescent="0.2">
      <c r="A1703" s="2" t="s">
        <v>2242</v>
      </c>
      <c r="B1703" s="2">
        <f t="shared" si="52"/>
        <v>2019</v>
      </c>
      <c r="C1703" s="2" t="str">
        <f t="shared" si="53"/>
        <v>EC101</v>
      </c>
      <c r="D1703" s="2">
        <v>85</v>
      </c>
      <c r="F1703" s="1764"/>
      <c r="G1703" s="1764"/>
      <c r="H1703" s="1764"/>
      <c r="I1703" s="1764"/>
      <c r="J1703" s="1764"/>
      <c r="K1703" s="1764"/>
      <c r="L1703" s="1766"/>
      <c r="M1703" s="1766"/>
      <c r="N1703" s="1766"/>
      <c r="O1703" s="1766"/>
      <c r="P1703" s="1766"/>
      <c r="W1703" t="s">
        <v>2089</v>
      </c>
    </row>
    <row r="1704" spans="1:23" ht="13.15" customHeight="1" x14ac:dyDescent="0.2">
      <c r="A1704" s="2" t="s">
        <v>2242</v>
      </c>
      <c r="B1704" s="2">
        <f t="shared" si="52"/>
        <v>2019</v>
      </c>
      <c r="C1704" s="2" t="str">
        <f t="shared" si="53"/>
        <v>EC101</v>
      </c>
      <c r="D1704" s="2">
        <v>86</v>
      </c>
      <c r="F1704" s="1764"/>
      <c r="G1704" s="1764"/>
      <c r="H1704" s="1764"/>
      <c r="I1704" s="1764"/>
      <c r="J1704" s="1764"/>
      <c r="K1704" s="1764"/>
      <c r="L1704" s="1766"/>
      <c r="M1704" s="1766"/>
      <c r="N1704" s="1766"/>
      <c r="O1704" s="1766"/>
      <c r="P1704" s="1766"/>
      <c r="W1704" t="s">
        <v>2089</v>
      </c>
    </row>
    <row r="1705" spans="1:23" ht="13.15" customHeight="1" x14ac:dyDescent="0.2">
      <c r="A1705" s="2" t="s">
        <v>2242</v>
      </c>
      <c r="B1705" s="2">
        <f t="shared" si="52"/>
        <v>2019</v>
      </c>
      <c r="C1705" s="2" t="str">
        <f t="shared" si="53"/>
        <v>EC101</v>
      </c>
      <c r="D1705" s="2">
        <v>87</v>
      </c>
      <c r="F1705" s="1764"/>
      <c r="G1705" s="1764"/>
      <c r="H1705" s="1764"/>
      <c r="I1705" s="1764"/>
      <c r="J1705" s="1764"/>
      <c r="K1705" s="1764"/>
      <c r="L1705" s="1766"/>
      <c r="M1705" s="1766"/>
      <c r="N1705" s="1766"/>
      <c r="O1705" s="1766"/>
      <c r="P1705" s="1766"/>
      <c r="W1705" t="s">
        <v>2089</v>
      </c>
    </row>
    <row r="1706" spans="1:23" ht="13.15" customHeight="1" x14ac:dyDescent="0.2">
      <c r="A1706" s="2" t="s">
        <v>2242</v>
      </c>
      <c r="B1706" s="2">
        <f t="shared" si="52"/>
        <v>2019</v>
      </c>
      <c r="C1706" s="2" t="str">
        <f t="shared" si="53"/>
        <v>EC101</v>
      </c>
      <c r="D1706" s="2">
        <v>88</v>
      </c>
      <c r="F1706" s="1764"/>
      <c r="G1706" s="1764"/>
      <c r="H1706" s="1764"/>
      <c r="I1706" s="1764"/>
      <c r="J1706" s="1764"/>
      <c r="K1706" s="1764"/>
      <c r="L1706" s="1766"/>
      <c r="M1706" s="1766"/>
      <c r="N1706" s="1766"/>
      <c r="O1706" s="1766"/>
      <c r="P1706" s="1766"/>
      <c r="W1706" t="s">
        <v>2089</v>
      </c>
    </row>
    <row r="1707" spans="1:23" ht="13.15" customHeight="1" x14ac:dyDescent="0.2">
      <c r="A1707" s="2" t="s">
        <v>2242</v>
      </c>
      <c r="B1707" s="2">
        <f t="shared" si="52"/>
        <v>2019</v>
      </c>
      <c r="C1707" s="2" t="str">
        <f t="shared" si="53"/>
        <v>EC101</v>
      </c>
      <c r="D1707" s="2">
        <v>89</v>
      </c>
      <c r="F1707" s="1764"/>
      <c r="G1707" s="1764"/>
      <c r="H1707" s="1764"/>
      <c r="I1707" s="1764"/>
      <c r="J1707" s="1764"/>
      <c r="K1707" s="1764"/>
      <c r="L1707" s="1766"/>
      <c r="M1707" s="1766"/>
      <c r="N1707" s="1766"/>
      <c r="O1707" s="1766"/>
      <c r="P1707" s="1766"/>
      <c r="W1707" t="s">
        <v>2089</v>
      </c>
    </row>
    <row r="1708" spans="1:23" ht="13.15" customHeight="1" x14ac:dyDescent="0.2">
      <c r="A1708" s="2" t="s">
        <v>2242</v>
      </c>
      <c r="B1708" s="2">
        <f t="shared" si="52"/>
        <v>2019</v>
      </c>
      <c r="C1708" s="2" t="str">
        <f t="shared" si="53"/>
        <v>EC101</v>
      </c>
      <c r="D1708" s="2">
        <v>90</v>
      </c>
      <c r="F1708" s="1764"/>
      <c r="G1708" s="1764"/>
      <c r="H1708" s="1764"/>
      <c r="I1708" s="1764"/>
      <c r="J1708" s="1764"/>
      <c r="K1708" s="1764"/>
      <c r="L1708" s="1766"/>
      <c r="M1708" s="1766"/>
      <c r="N1708" s="1766"/>
      <c r="O1708" s="1766"/>
      <c r="P1708" s="1766"/>
      <c r="W1708" t="s">
        <v>2089</v>
      </c>
    </row>
    <row r="1709" spans="1:23" ht="13.15" customHeight="1" x14ac:dyDescent="0.2">
      <c r="A1709" s="2" t="s">
        <v>2242</v>
      </c>
      <c r="B1709" s="2">
        <f t="shared" si="52"/>
        <v>2019</v>
      </c>
      <c r="C1709" s="2" t="str">
        <f t="shared" si="53"/>
        <v>EC101</v>
      </c>
      <c r="D1709" s="2">
        <v>91</v>
      </c>
      <c r="F1709" s="1764"/>
      <c r="G1709" s="1764"/>
      <c r="H1709" s="1764"/>
      <c r="I1709" s="1764"/>
      <c r="J1709" s="1764"/>
      <c r="K1709" s="1764"/>
      <c r="L1709" s="1766"/>
      <c r="M1709" s="1766"/>
      <c r="N1709" s="1766"/>
      <c r="O1709" s="1766"/>
      <c r="P1709" s="1766"/>
      <c r="W1709" t="s">
        <v>2089</v>
      </c>
    </row>
    <row r="1710" spans="1:23" ht="13.15" customHeight="1" x14ac:dyDescent="0.2">
      <c r="A1710" s="2" t="s">
        <v>2242</v>
      </c>
      <c r="B1710" s="2">
        <f t="shared" si="52"/>
        <v>2019</v>
      </c>
      <c r="C1710" s="2" t="str">
        <f t="shared" si="53"/>
        <v>EC101</v>
      </c>
      <c r="D1710" s="2">
        <v>92</v>
      </c>
      <c r="F1710" s="1764"/>
      <c r="G1710" s="1764"/>
      <c r="H1710" s="1764"/>
      <c r="I1710" s="1764"/>
      <c r="J1710" s="1764"/>
      <c r="K1710" s="1764"/>
      <c r="L1710" s="1766"/>
      <c r="M1710" s="1766"/>
      <c r="N1710" s="1766"/>
      <c r="O1710" s="1766"/>
      <c r="P1710" s="1766"/>
      <c r="W1710" t="s">
        <v>2089</v>
      </c>
    </row>
    <row r="1711" spans="1:23" ht="13.15" customHeight="1" x14ac:dyDescent="0.2">
      <c r="A1711" s="2" t="s">
        <v>2242</v>
      </c>
      <c r="B1711" s="2">
        <f t="shared" si="52"/>
        <v>2019</v>
      </c>
      <c r="C1711" s="2" t="str">
        <f t="shared" si="53"/>
        <v>EC101</v>
      </c>
      <c r="D1711" s="2">
        <v>93</v>
      </c>
      <c r="F1711" s="1764"/>
      <c r="G1711" s="1764"/>
      <c r="H1711" s="1764"/>
      <c r="I1711" s="1764"/>
      <c r="J1711" s="1764"/>
      <c r="K1711" s="1764"/>
      <c r="L1711" s="1766"/>
      <c r="M1711" s="1766"/>
      <c r="N1711" s="1766"/>
      <c r="O1711" s="1766"/>
      <c r="P1711" s="1766"/>
      <c r="W1711" t="s">
        <v>2089</v>
      </c>
    </row>
    <row r="1712" spans="1:23" ht="13.15" customHeight="1" x14ac:dyDescent="0.2">
      <c r="A1712" s="2" t="s">
        <v>2242</v>
      </c>
      <c r="B1712" s="2">
        <f t="shared" si="52"/>
        <v>2019</v>
      </c>
      <c r="C1712" s="2" t="str">
        <f t="shared" si="53"/>
        <v>EC101</v>
      </c>
      <c r="D1712" s="2">
        <v>94</v>
      </c>
      <c r="F1712" s="1764"/>
      <c r="G1712" s="1764"/>
      <c r="H1712" s="1764"/>
      <c r="I1712" s="1764"/>
      <c r="J1712" s="1764"/>
      <c r="K1712" s="1764"/>
      <c r="L1712" s="1766"/>
      <c r="M1712" s="1766"/>
      <c r="N1712" s="1766"/>
      <c r="O1712" s="1766"/>
      <c r="P1712" s="1766"/>
      <c r="W1712" t="s">
        <v>2089</v>
      </c>
    </row>
    <row r="1713" spans="1:23" ht="13.15" customHeight="1" x14ac:dyDescent="0.2">
      <c r="A1713" s="2" t="s">
        <v>2242</v>
      </c>
      <c r="B1713" s="2">
        <f t="shared" si="52"/>
        <v>2019</v>
      </c>
      <c r="C1713" s="2" t="str">
        <f t="shared" si="53"/>
        <v>EC101</v>
      </c>
      <c r="D1713" s="2">
        <v>95</v>
      </c>
      <c r="F1713" s="1764"/>
      <c r="G1713" s="1764"/>
      <c r="H1713" s="1764"/>
      <c r="I1713" s="1764"/>
      <c r="J1713" s="1764"/>
      <c r="K1713" s="1764"/>
      <c r="L1713" s="1766"/>
      <c r="M1713" s="1766"/>
      <c r="N1713" s="1766"/>
      <c r="O1713" s="1766"/>
      <c r="P1713" s="1766"/>
      <c r="W1713" t="s">
        <v>2089</v>
      </c>
    </row>
    <row r="1714" spans="1:23" ht="13.15" customHeight="1" x14ac:dyDescent="0.2">
      <c r="A1714" s="2" t="s">
        <v>2242</v>
      </c>
      <c r="B1714" s="2">
        <f t="shared" si="52"/>
        <v>2019</v>
      </c>
      <c r="C1714" s="2" t="str">
        <f t="shared" si="53"/>
        <v>EC101</v>
      </c>
      <c r="D1714" s="2">
        <v>96</v>
      </c>
      <c r="F1714" s="1764"/>
      <c r="G1714" s="1764"/>
      <c r="H1714" s="1764"/>
      <c r="I1714" s="1764"/>
      <c r="J1714" s="1764"/>
      <c r="K1714" s="1764"/>
      <c r="L1714" s="1766"/>
      <c r="M1714" s="1766"/>
      <c r="N1714" s="1766"/>
      <c r="O1714" s="1766"/>
      <c r="P1714" s="1766"/>
      <c r="W1714" t="s">
        <v>2089</v>
      </c>
    </row>
    <row r="1715" spans="1:23" ht="13.15" customHeight="1" x14ac:dyDescent="0.2">
      <c r="A1715" s="2" t="s">
        <v>2242</v>
      </c>
      <c r="B1715" s="2">
        <f t="shared" si="52"/>
        <v>2019</v>
      </c>
      <c r="C1715" s="2" t="str">
        <f t="shared" si="53"/>
        <v>EC101</v>
      </c>
      <c r="D1715" s="2">
        <v>97</v>
      </c>
      <c r="F1715" s="1764"/>
      <c r="G1715" s="1764"/>
      <c r="H1715" s="1764"/>
      <c r="I1715" s="1764"/>
      <c r="J1715" s="1764"/>
      <c r="K1715" s="1764"/>
      <c r="L1715" s="1766"/>
      <c r="M1715" s="1766"/>
      <c r="N1715" s="1766"/>
      <c r="O1715" s="1766"/>
      <c r="P1715" s="1766"/>
      <c r="W1715" t="s">
        <v>2089</v>
      </c>
    </row>
    <row r="1716" spans="1:23" ht="13.15" customHeight="1" x14ac:dyDescent="0.2">
      <c r="A1716" s="2" t="s">
        <v>2242</v>
      </c>
      <c r="B1716" s="2">
        <f t="shared" si="52"/>
        <v>2019</v>
      </c>
      <c r="C1716" s="2" t="str">
        <f t="shared" si="53"/>
        <v>EC101</v>
      </c>
      <c r="D1716" s="2">
        <v>98</v>
      </c>
      <c r="F1716" s="1764"/>
      <c r="G1716" s="1764"/>
      <c r="H1716" s="1764"/>
      <c r="I1716" s="1764"/>
      <c r="J1716" s="1764"/>
      <c r="K1716" s="1764"/>
      <c r="L1716" s="1766"/>
      <c r="M1716" s="1766"/>
      <c r="N1716" s="1766"/>
      <c r="O1716" s="1766"/>
      <c r="P1716" s="1766"/>
      <c r="W1716" t="s">
        <v>2089</v>
      </c>
    </row>
    <row r="1717" spans="1:23" ht="13.15" customHeight="1" x14ac:dyDescent="0.2">
      <c r="A1717" s="2" t="s">
        <v>2242</v>
      </c>
      <c r="B1717" s="2">
        <f t="shared" si="52"/>
        <v>2019</v>
      </c>
      <c r="C1717" s="2" t="str">
        <f t="shared" si="53"/>
        <v>EC101</v>
      </c>
      <c r="D1717" s="2">
        <v>99</v>
      </c>
      <c r="F1717" s="1764"/>
      <c r="G1717" s="1764"/>
      <c r="H1717" s="1764"/>
      <c r="I1717" s="1764"/>
      <c r="J1717" s="1764"/>
      <c r="K1717" s="1764"/>
      <c r="L1717" s="1766"/>
      <c r="M1717" s="1766"/>
      <c r="N1717" s="1766"/>
      <c r="O1717" s="1766"/>
      <c r="P1717" s="1766"/>
      <c r="W1717" t="s">
        <v>2089</v>
      </c>
    </row>
    <row r="1718" spans="1:23" ht="13.15" customHeight="1" x14ac:dyDescent="0.2">
      <c r="A1718" s="2" t="s">
        <v>2242</v>
      </c>
      <c r="B1718" s="2">
        <f t="shared" si="52"/>
        <v>2019</v>
      </c>
      <c r="C1718" s="2" t="str">
        <f t="shared" si="53"/>
        <v>EC101</v>
      </c>
      <c r="D1718" s="2">
        <v>100</v>
      </c>
      <c r="F1718" s="1764"/>
      <c r="G1718" s="1764"/>
      <c r="H1718" s="1764"/>
      <c r="I1718" s="1764"/>
      <c r="J1718" s="1764"/>
      <c r="K1718" s="1764"/>
      <c r="L1718" s="1766"/>
      <c r="M1718" s="1766"/>
      <c r="N1718" s="1766"/>
      <c r="O1718" s="1766"/>
      <c r="P1718" s="1766"/>
      <c r="W1718" t="s">
        <v>2089</v>
      </c>
    </row>
    <row r="1719" spans="1:23" ht="13.15" customHeight="1" x14ac:dyDescent="0.2">
      <c r="A1719" s="2" t="s">
        <v>2242</v>
      </c>
      <c r="B1719" s="2">
        <f t="shared" si="52"/>
        <v>2019</v>
      </c>
      <c r="C1719" s="2" t="str">
        <f t="shared" si="53"/>
        <v>EC101</v>
      </c>
      <c r="D1719" s="2">
        <v>101</v>
      </c>
      <c r="F1719" s="1764"/>
      <c r="G1719" s="1764"/>
      <c r="H1719" s="1764"/>
      <c r="I1719" s="1764"/>
      <c r="J1719" s="1764"/>
      <c r="K1719" s="1764"/>
      <c r="L1719" s="1766"/>
      <c r="M1719" s="1766"/>
      <c r="N1719" s="1766"/>
      <c r="O1719" s="1766"/>
      <c r="P1719" s="1766"/>
      <c r="W1719" t="s">
        <v>2089</v>
      </c>
    </row>
    <row r="1720" spans="1:23" ht="13.15" customHeight="1" x14ac:dyDescent="0.2">
      <c r="A1720" s="2" t="s">
        <v>2242</v>
      </c>
      <c r="B1720" s="2">
        <f t="shared" si="52"/>
        <v>2019</v>
      </c>
      <c r="C1720" s="2" t="str">
        <f t="shared" si="53"/>
        <v>EC101</v>
      </c>
      <c r="D1720" s="2">
        <v>102</v>
      </c>
      <c r="F1720" s="1764"/>
      <c r="G1720" s="1764"/>
      <c r="H1720" s="1764"/>
      <c r="I1720" s="1764"/>
      <c r="J1720" s="1764"/>
      <c r="K1720" s="1764"/>
      <c r="L1720" s="1766"/>
      <c r="M1720" s="1766"/>
      <c r="N1720" s="1766"/>
      <c r="O1720" s="1766"/>
      <c r="P1720" s="1766"/>
      <c r="W1720" t="s">
        <v>2089</v>
      </c>
    </row>
    <row r="1721" spans="1:23" ht="13.15" customHeight="1" x14ac:dyDescent="0.2">
      <c r="A1721" s="2" t="s">
        <v>2242</v>
      </c>
      <c r="B1721" s="2">
        <f t="shared" si="52"/>
        <v>2019</v>
      </c>
      <c r="C1721" s="2" t="str">
        <f t="shared" si="53"/>
        <v>EC101</v>
      </c>
      <c r="D1721" s="2">
        <v>103</v>
      </c>
      <c r="F1721" s="1764"/>
      <c r="G1721" s="1764"/>
      <c r="H1721" s="1764"/>
      <c r="I1721" s="1764"/>
      <c r="J1721" s="1764"/>
      <c r="K1721" s="1764"/>
      <c r="L1721" s="1766"/>
      <c r="M1721" s="1766"/>
      <c r="N1721" s="1766"/>
      <c r="O1721" s="1766"/>
      <c r="P1721" s="1766"/>
      <c r="W1721" t="s">
        <v>2089</v>
      </c>
    </row>
    <row r="1722" spans="1:23" ht="13.15" customHeight="1" x14ac:dyDescent="0.2">
      <c r="A1722" s="2" t="s">
        <v>2242</v>
      </c>
      <c r="B1722" s="2">
        <f t="shared" si="52"/>
        <v>2019</v>
      </c>
      <c r="C1722" s="2" t="str">
        <f t="shared" si="53"/>
        <v>EC101</v>
      </c>
      <c r="D1722" s="2">
        <v>104</v>
      </c>
      <c r="F1722" s="1764"/>
      <c r="G1722" s="1764"/>
      <c r="H1722" s="1764"/>
      <c r="I1722" s="1764"/>
      <c r="J1722" s="1764"/>
      <c r="K1722" s="1764"/>
      <c r="L1722" s="1766"/>
      <c r="M1722" s="1766"/>
      <c r="N1722" s="1766"/>
      <c r="O1722" s="1766"/>
      <c r="P1722" s="1766"/>
      <c r="W1722" t="s">
        <v>2089</v>
      </c>
    </row>
    <row r="1723" spans="1:23" ht="13.15" customHeight="1" x14ac:dyDescent="0.2">
      <c r="A1723" s="2" t="s">
        <v>2242</v>
      </c>
      <c r="B1723" s="2">
        <f t="shared" si="52"/>
        <v>2019</v>
      </c>
      <c r="C1723" s="2" t="str">
        <f t="shared" si="53"/>
        <v>EC101</v>
      </c>
      <c r="D1723" s="2">
        <v>105</v>
      </c>
      <c r="F1723" s="1764"/>
      <c r="G1723" s="1764"/>
      <c r="H1723" s="1764"/>
      <c r="I1723" s="1764"/>
      <c r="J1723" s="1764"/>
      <c r="K1723" s="1764"/>
      <c r="L1723" s="1766"/>
      <c r="M1723" s="1766"/>
      <c r="N1723" s="1766"/>
      <c r="O1723" s="1766"/>
      <c r="P1723" s="1766"/>
      <c r="W1723" t="s">
        <v>2089</v>
      </c>
    </row>
    <row r="1724" spans="1:23" ht="13.15" customHeight="1" x14ac:dyDescent="0.2">
      <c r="A1724" s="2" t="s">
        <v>2242</v>
      </c>
      <c r="B1724" s="2">
        <f t="shared" si="52"/>
        <v>2019</v>
      </c>
      <c r="C1724" s="2" t="str">
        <f t="shared" si="53"/>
        <v>EC101</v>
      </c>
      <c r="D1724" s="2">
        <v>106</v>
      </c>
      <c r="F1724" s="1764"/>
      <c r="G1724" s="1764"/>
      <c r="H1724" s="1764"/>
      <c r="I1724" s="1764"/>
      <c r="J1724" s="1764"/>
      <c r="K1724" s="1764"/>
      <c r="L1724" s="1766"/>
      <c r="M1724" s="1766"/>
      <c r="N1724" s="1766"/>
      <c r="O1724" s="1766"/>
      <c r="P1724" s="1766"/>
      <c r="W1724" t="s">
        <v>2089</v>
      </c>
    </row>
    <row r="1725" spans="1:23" ht="13.15" customHeight="1" x14ac:dyDescent="0.2">
      <c r="A1725" s="2" t="s">
        <v>2242</v>
      </c>
      <c r="B1725" s="2">
        <f t="shared" si="52"/>
        <v>2019</v>
      </c>
      <c r="C1725" s="2" t="str">
        <f t="shared" si="53"/>
        <v>EC101</v>
      </c>
      <c r="D1725" s="2">
        <v>107</v>
      </c>
      <c r="F1725" s="1764"/>
      <c r="G1725" s="1764"/>
      <c r="H1725" s="1764"/>
      <c r="I1725" s="1764"/>
      <c r="J1725" s="1764"/>
      <c r="K1725" s="1764"/>
      <c r="L1725" s="1766"/>
      <c r="M1725" s="1766"/>
      <c r="N1725" s="1766"/>
      <c r="O1725" s="1766"/>
      <c r="P1725" s="1766"/>
      <c r="W1725" t="s">
        <v>2089</v>
      </c>
    </row>
    <row r="1726" spans="1:23" ht="13.15" customHeight="1" x14ac:dyDescent="0.2">
      <c r="A1726" s="2" t="s">
        <v>2242</v>
      </c>
      <c r="B1726" s="2">
        <f t="shared" si="52"/>
        <v>2019</v>
      </c>
      <c r="C1726" s="2" t="str">
        <f t="shared" si="53"/>
        <v>EC101</v>
      </c>
      <c r="D1726" s="2">
        <v>108</v>
      </c>
      <c r="F1726" s="1764"/>
      <c r="G1726" s="1764"/>
      <c r="H1726" s="1764"/>
      <c r="I1726" s="1764"/>
      <c r="J1726" s="1764"/>
      <c r="K1726" s="1764"/>
      <c r="L1726" s="1766"/>
      <c r="M1726" s="1766"/>
      <c r="N1726" s="1766"/>
      <c r="O1726" s="1766"/>
      <c r="P1726" s="1766"/>
      <c r="W1726" t="s">
        <v>2089</v>
      </c>
    </row>
    <row r="1727" spans="1:23" ht="13.15" customHeight="1" x14ac:dyDescent="0.2">
      <c r="A1727" s="2" t="s">
        <v>2242</v>
      </c>
      <c r="B1727" s="2">
        <f t="shared" si="52"/>
        <v>2019</v>
      </c>
      <c r="C1727" s="2" t="str">
        <f t="shared" si="53"/>
        <v>EC101</v>
      </c>
      <c r="D1727" s="2">
        <v>109</v>
      </c>
      <c r="F1727" s="1764"/>
      <c r="G1727" s="1764"/>
      <c r="H1727" s="1764"/>
      <c r="I1727" s="1764"/>
      <c r="J1727" s="1764"/>
      <c r="K1727" s="1764"/>
      <c r="L1727" s="1766"/>
      <c r="M1727" s="1766"/>
      <c r="N1727" s="1766"/>
      <c r="O1727" s="1766"/>
      <c r="P1727" s="1766"/>
      <c r="W1727" t="s">
        <v>2089</v>
      </c>
    </row>
    <row r="1728" spans="1:23" ht="13.15" customHeight="1" x14ac:dyDescent="0.2">
      <c r="A1728" s="2" t="s">
        <v>2242</v>
      </c>
      <c r="B1728" s="2">
        <f t="shared" si="52"/>
        <v>2019</v>
      </c>
      <c r="C1728" s="2" t="str">
        <f t="shared" si="53"/>
        <v>EC101</v>
      </c>
      <c r="D1728" s="2">
        <v>110</v>
      </c>
      <c r="F1728" s="1764"/>
      <c r="G1728" s="1764"/>
      <c r="H1728" s="1764"/>
      <c r="I1728" s="1764"/>
      <c r="J1728" s="1764"/>
      <c r="K1728" s="1764"/>
      <c r="L1728" s="1766"/>
      <c r="M1728" s="1766"/>
      <c r="N1728" s="1766"/>
      <c r="O1728" s="1766"/>
      <c r="P1728" s="1766"/>
      <c r="W1728" t="s">
        <v>2089</v>
      </c>
    </row>
    <row r="1729" spans="1:23" ht="13.15" customHeight="1" x14ac:dyDescent="0.2">
      <c r="A1729" s="2" t="s">
        <v>2242</v>
      </c>
      <c r="B1729" s="2">
        <f t="shared" si="52"/>
        <v>2019</v>
      </c>
      <c r="C1729" s="2" t="str">
        <f t="shared" si="53"/>
        <v>EC101</v>
      </c>
      <c r="D1729" s="2">
        <v>111</v>
      </c>
      <c r="F1729" s="1764"/>
      <c r="G1729" s="1764"/>
      <c r="H1729" s="1764"/>
      <c r="I1729" s="1764"/>
      <c r="J1729" s="1764"/>
      <c r="K1729" s="1764"/>
      <c r="L1729" s="1766"/>
      <c r="M1729" s="1766"/>
      <c r="N1729" s="1766"/>
      <c r="O1729" s="1766"/>
      <c r="P1729" s="1766"/>
      <c r="W1729" t="s">
        <v>2089</v>
      </c>
    </row>
    <row r="1730" spans="1:23" ht="13.15" customHeight="1" x14ac:dyDescent="0.2">
      <c r="A1730" s="2" t="s">
        <v>2242</v>
      </c>
      <c r="B1730" s="2">
        <f t="shared" ref="B1730:B1793" si="54">+MTREF</f>
        <v>2019</v>
      </c>
      <c r="C1730" s="2" t="str">
        <f t="shared" ref="C1730:C1793" si="55">LEFT(muni,(FIND(" ",muni,1)-1))</f>
        <v>EC101</v>
      </c>
      <c r="D1730" s="2">
        <v>112</v>
      </c>
      <c r="F1730" s="1764"/>
      <c r="G1730" s="1764"/>
      <c r="H1730" s="1764"/>
      <c r="I1730" s="1764"/>
      <c r="J1730" s="1764"/>
      <c r="K1730" s="1764"/>
      <c r="L1730" s="1766"/>
      <c r="M1730" s="1766"/>
      <c r="N1730" s="1766"/>
      <c r="O1730" s="1766"/>
      <c r="P1730" s="1766"/>
      <c r="W1730" t="s">
        <v>2089</v>
      </c>
    </row>
    <row r="1731" spans="1:23" ht="13.15" customHeight="1" x14ac:dyDescent="0.2">
      <c r="A1731" s="2" t="s">
        <v>2242</v>
      </c>
      <c r="B1731" s="2">
        <f t="shared" si="54"/>
        <v>2019</v>
      </c>
      <c r="C1731" s="2" t="str">
        <f t="shared" si="55"/>
        <v>EC101</v>
      </c>
      <c r="D1731" s="2">
        <v>113</v>
      </c>
      <c r="F1731" s="1764"/>
      <c r="G1731" s="1764"/>
      <c r="H1731" s="1764"/>
      <c r="I1731" s="1764"/>
      <c r="J1731" s="1764"/>
      <c r="K1731" s="1764"/>
      <c r="L1731" s="1766"/>
      <c r="M1731" s="1766"/>
      <c r="N1731" s="1766"/>
      <c r="O1731" s="1766"/>
      <c r="P1731" s="1766"/>
      <c r="W1731" t="s">
        <v>2089</v>
      </c>
    </row>
    <row r="1732" spans="1:23" ht="13.15" customHeight="1" x14ac:dyDescent="0.2">
      <c r="A1732" s="2" t="s">
        <v>2242</v>
      </c>
      <c r="B1732" s="2">
        <f t="shared" si="54"/>
        <v>2019</v>
      </c>
      <c r="C1732" s="2" t="str">
        <f t="shared" si="55"/>
        <v>EC101</v>
      </c>
      <c r="D1732" s="2">
        <v>114</v>
      </c>
      <c r="F1732" s="1764"/>
      <c r="G1732" s="1764"/>
      <c r="H1732" s="1764"/>
      <c r="I1732" s="1764"/>
      <c r="J1732" s="1764"/>
      <c r="K1732" s="1764"/>
      <c r="L1732" s="1766"/>
      <c r="M1732" s="1766"/>
      <c r="N1732" s="1766"/>
      <c r="O1732" s="1766"/>
      <c r="P1732" s="1766"/>
      <c r="W1732" t="s">
        <v>2089</v>
      </c>
    </row>
    <row r="1733" spans="1:23" ht="13.15" customHeight="1" x14ac:dyDescent="0.2">
      <c r="A1733" s="2" t="s">
        <v>2242</v>
      </c>
      <c r="B1733" s="2">
        <f t="shared" si="54"/>
        <v>2019</v>
      </c>
      <c r="C1733" s="2" t="str">
        <f t="shared" si="55"/>
        <v>EC101</v>
      </c>
      <c r="D1733" s="2">
        <v>115</v>
      </c>
      <c r="F1733" s="1764"/>
      <c r="G1733" s="1764"/>
      <c r="H1733" s="1764"/>
      <c r="I1733" s="1764"/>
      <c r="J1733" s="1764"/>
      <c r="K1733" s="1764"/>
      <c r="L1733" s="1766"/>
      <c r="M1733" s="1766"/>
      <c r="N1733" s="1766"/>
      <c r="O1733" s="1766"/>
      <c r="P1733" s="1766"/>
      <c r="W1733" t="s">
        <v>2089</v>
      </c>
    </row>
    <row r="1734" spans="1:23" ht="13.15" customHeight="1" x14ac:dyDescent="0.2">
      <c r="A1734" s="2" t="s">
        <v>2242</v>
      </c>
      <c r="B1734" s="2">
        <f t="shared" si="54"/>
        <v>2019</v>
      </c>
      <c r="C1734" s="2" t="str">
        <f t="shared" si="55"/>
        <v>EC101</v>
      </c>
      <c r="D1734" s="2">
        <v>116</v>
      </c>
      <c r="F1734" s="1764"/>
      <c r="G1734" s="1764"/>
      <c r="H1734" s="1764"/>
      <c r="I1734" s="1764"/>
      <c r="J1734" s="1764"/>
      <c r="K1734" s="1764"/>
      <c r="L1734" s="1766"/>
      <c r="M1734" s="1766"/>
      <c r="N1734" s="1766"/>
      <c r="O1734" s="1766"/>
      <c r="P1734" s="1766"/>
      <c r="W1734" t="s">
        <v>2089</v>
      </c>
    </row>
    <row r="1735" spans="1:23" ht="13.15" customHeight="1" x14ac:dyDescent="0.2">
      <c r="A1735" s="2" t="s">
        <v>2242</v>
      </c>
      <c r="B1735" s="2">
        <f t="shared" si="54"/>
        <v>2019</v>
      </c>
      <c r="C1735" s="2" t="str">
        <f t="shared" si="55"/>
        <v>EC101</v>
      </c>
      <c r="D1735" s="2">
        <v>117</v>
      </c>
      <c r="F1735" s="1764"/>
      <c r="G1735" s="1764"/>
      <c r="H1735" s="1764"/>
      <c r="I1735" s="1764"/>
      <c r="J1735" s="1764"/>
      <c r="K1735" s="1764"/>
      <c r="L1735" s="1766"/>
      <c r="M1735" s="1766"/>
      <c r="N1735" s="1766"/>
      <c r="O1735" s="1766"/>
      <c r="P1735" s="1766"/>
      <c r="W1735" t="s">
        <v>2089</v>
      </c>
    </row>
    <row r="1736" spans="1:23" ht="13.15" customHeight="1" x14ac:dyDescent="0.2">
      <c r="A1736" s="2" t="s">
        <v>2242</v>
      </c>
      <c r="B1736" s="2">
        <f t="shared" si="54"/>
        <v>2019</v>
      </c>
      <c r="C1736" s="2" t="str">
        <f t="shared" si="55"/>
        <v>EC101</v>
      </c>
      <c r="D1736" s="2">
        <v>118</v>
      </c>
      <c r="F1736" s="1764"/>
      <c r="G1736" s="1764"/>
      <c r="H1736" s="1764"/>
      <c r="I1736" s="1764"/>
      <c r="J1736" s="1764"/>
      <c r="K1736" s="1764"/>
      <c r="L1736" s="1766"/>
      <c r="M1736" s="1766"/>
      <c r="N1736" s="1766"/>
      <c r="O1736" s="1766"/>
      <c r="P1736" s="1766"/>
      <c r="W1736" t="s">
        <v>2089</v>
      </c>
    </row>
    <row r="1737" spans="1:23" ht="13.15" customHeight="1" x14ac:dyDescent="0.2">
      <c r="A1737" s="2" t="s">
        <v>2242</v>
      </c>
      <c r="B1737" s="2">
        <f t="shared" si="54"/>
        <v>2019</v>
      </c>
      <c r="C1737" s="2" t="str">
        <f t="shared" si="55"/>
        <v>EC101</v>
      </c>
      <c r="D1737" s="2">
        <v>119</v>
      </c>
      <c r="F1737" s="1764"/>
      <c r="G1737" s="1764"/>
      <c r="H1737" s="1764"/>
      <c r="I1737" s="1764"/>
      <c r="J1737" s="1764"/>
      <c r="K1737" s="1764"/>
      <c r="L1737" s="1766"/>
      <c r="M1737" s="1766"/>
      <c r="N1737" s="1766"/>
      <c r="O1737" s="1766"/>
      <c r="P1737" s="1766"/>
      <c r="W1737" t="s">
        <v>2089</v>
      </c>
    </row>
    <row r="1738" spans="1:23" ht="13.15" customHeight="1" x14ac:dyDescent="0.2">
      <c r="A1738" s="2" t="s">
        <v>2242</v>
      </c>
      <c r="B1738" s="2">
        <f t="shared" si="54"/>
        <v>2019</v>
      </c>
      <c r="C1738" s="2" t="str">
        <f t="shared" si="55"/>
        <v>EC101</v>
      </c>
      <c r="D1738" s="2">
        <v>120</v>
      </c>
      <c r="F1738" s="1764"/>
      <c r="G1738" s="1764"/>
      <c r="H1738" s="1764"/>
      <c r="I1738" s="1764"/>
      <c r="J1738" s="1764"/>
      <c r="K1738" s="1764"/>
      <c r="L1738" s="1766"/>
      <c r="M1738" s="1766"/>
      <c r="N1738" s="1766"/>
      <c r="O1738" s="1766"/>
      <c r="P1738" s="1766"/>
      <c r="W1738" t="s">
        <v>2089</v>
      </c>
    </row>
    <row r="1739" spans="1:23" ht="13.15" customHeight="1" x14ac:dyDescent="0.2">
      <c r="A1739" s="2" t="s">
        <v>2242</v>
      </c>
      <c r="B1739" s="2">
        <f t="shared" si="54"/>
        <v>2019</v>
      </c>
      <c r="C1739" s="2" t="str">
        <f t="shared" si="55"/>
        <v>EC101</v>
      </c>
      <c r="D1739" s="2">
        <v>121</v>
      </c>
      <c r="F1739" s="1764"/>
      <c r="G1739" s="1764"/>
      <c r="H1739" s="1764"/>
      <c r="I1739" s="1764"/>
      <c r="J1739" s="1764"/>
      <c r="K1739" s="1764"/>
      <c r="L1739" s="1766"/>
      <c r="M1739" s="1766"/>
      <c r="N1739" s="1766"/>
      <c r="O1739" s="1766"/>
      <c r="P1739" s="1766"/>
      <c r="W1739" t="s">
        <v>2089</v>
      </c>
    </row>
    <row r="1740" spans="1:23" ht="13.15" customHeight="1" x14ac:dyDescent="0.2">
      <c r="A1740" s="2" t="s">
        <v>2242</v>
      </c>
      <c r="B1740" s="2">
        <f t="shared" si="54"/>
        <v>2019</v>
      </c>
      <c r="C1740" s="2" t="str">
        <f t="shared" si="55"/>
        <v>EC101</v>
      </c>
      <c r="D1740" s="2">
        <v>122</v>
      </c>
      <c r="F1740" s="1764"/>
      <c r="G1740" s="1764"/>
      <c r="H1740" s="1764"/>
      <c r="I1740" s="1764"/>
      <c r="J1740" s="1764"/>
      <c r="K1740" s="1764"/>
      <c r="L1740" s="1766"/>
      <c r="M1740" s="1766"/>
      <c r="N1740" s="1766"/>
      <c r="O1740" s="1766"/>
      <c r="P1740" s="1766"/>
      <c r="W1740" t="s">
        <v>2089</v>
      </c>
    </row>
    <row r="1741" spans="1:23" ht="13.15" customHeight="1" x14ac:dyDescent="0.2">
      <c r="A1741" s="2" t="s">
        <v>2242</v>
      </c>
      <c r="B1741" s="2">
        <f t="shared" si="54"/>
        <v>2019</v>
      </c>
      <c r="C1741" s="2" t="str">
        <f t="shared" si="55"/>
        <v>EC101</v>
      </c>
      <c r="D1741" s="2">
        <v>123</v>
      </c>
      <c r="F1741" s="1764"/>
      <c r="G1741" s="1764"/>
      <c r="H1741" s="1764"/>
      <c r="I1741" s="1764"/>
      <c r="J1741" s="1764"/>
      <c r="K1741" s="1764"/>
      <c r="L1741" s="1766"/>
      <c r="M1741" s="1766"/>
      <c r="N1741" s="1766"/>
      <c r="O1741" s="1766"/>
      <c r="P1741" s="1766"/>
      <c r="W1741" t="s">
        <v>2089</v>
      </c>
    </row>
    <row r="1742" spans="1:23" ht="13.15" customHeight="1" x14ac:dyDescent="0.2">
      <c r="A1742" s="2" t="s">
        <v>2242</v>
      </c>
      <c r="B1742" s="2">
        <f t="shared" si="54"/>
        <v>2019</v>
      </c>
      <c r="C1742" s="2" t="str">
        <f t="shared" si="55"/>
        <v>EC101</v>
      </c>
      <c r="D1742" s="2">
        <v>124</v>
      </c>
      <c r="F1742" s="1764"/>
      <c r="G1742" s="1764"/>
      <c r="H1742" s="1764"/>
      <c r="I1742" s="1764"/>
      <c r="J1742" s="1764"/>
      <c r="K1742" s="1764"/>
      <c r="L1742" s="1766"/>
      <c r="M1742" s="1766"/>
      <c r="N1742" s="1766"/>
      <c r="O1742" s="1766"/>
      <c r="P1742" s="1766"/>
      <c r="W1742" t="s">
        <v>2089</v>
      </c>
    </row>
    <row r="1743" spans="1:23" ht="13.15" customHeight="1" x14ac:dyDescent="0.2">
      <c r="A1743" s="2" t="s">
        <v>2242</v>
      </c>
      <c r="B1743" s="2">
        <f t="shared" si="54"/>
        <v>2019</v>
      </c>
      <c r="C1743" s="2" t="str">
        <f t="shared" si="55"/>
        <v>EC101</v>
      </c>
      <c r="D1743" s="2">
        <v>125</v>
      </c>
      <c r="F1743" s="1764"/>
      <c r="G1743" s="1764"/>
      <c r="H1743" s="1764"/>
      <c r="I1743" s="1764"/>
      <c r="J1743" s="1764"/>
      <c r="K1743" s="1764"/>
      <c r="L1743" s="1766"/>
      <c r="M1743" s="1766"/>
      <c r="N1743" s="1766"/>
      <c r="O1743" s="1766"/>
      <c r="P1743" s="1766"/>
      <c r="W1743" t="s">
        <v>2089</v>
      </c>
    </row>
    <row r="1744" spans="1:23" ht="13.15" customHeight="1" x14ac:dyDescent="0.2">
      <c r="A1744" s="2" t="s">
        <v>2242</v>
      </c>
      <c r="B1744" s="2">
        <f t="shared" si="54"/>
        <v>2019</v>
      </c>
      <c r="C1744" s="2" t="str">
        <f t="shared" si="55"/>
        <v>EC101</v>
      </c>
      <c r="D1744" s="2">
        <v>126</v>
      </c>
      <c r="F1744" s="1764"/>
      <c r="G1744" s="1764"/>
      <c r="H1744" s="1764"/>
      <c r="I1744" s="1764"/>
      <c r="J1744" s="1764"/>
      <c r="K1744" s="1764"/>
      <c r="L1744" s="1766"/>
      <c r="M1744" s="1766"/>
      <c r="N1744" s="1766"/>
      <c r="O1744" s="1766"/>
      <c r="P1744" s="1766"/>
      <c r="W1744" t="s">
        <v>2089</v>
      </c>
    </row>
    <row r="1745" spans="1:23" ht="13.15" customHeight="1" x14ac:dyDescent="0.2">
      <c r="A1745" s="2" t="s">
        <v>2242</v>
      </c>
      <c r="B1745" s="2">
        <f t="shared" si="54"/>
        <v>2019</v>
      </c>
      <c r="C1745" s="2" t="str">
        <f t="shared" si="55"/>
        <v>EC101</v>
      </c>
      <c r="D1745" s="2">
        <v>127</v>
      </c>
      <c r="F1745" s="1764"/>
      <c r="G1745" s="1764"/>
      <c r="H1745" s="1764"/>
      <c r="I1745" s="1764"/>
      <c r="J1745" s="1764"/>
      <c r="K1745" s="1764"/>
      <c r="L1745" s="1766"/>
      <c r="M1745" s="1766"/>
      <c r="N1745" s="1766"/>
      <c r="O1745" s="1766"/>
      <c r="P1745" s="1766"/>
      <c r="W1745" t="s">
        <v>2089</v>
      </c>
    </row>
    <row r="1746" spans="1:23" ht="13.15" customHeight="1" x14ac:dyDescent="0.2">
      <c r="A1746" s="2" t="s">
        <v>2242</v>
      </c>
      <c r="B1746" s="2">
        <f t="shared" si="54"/>
        <v>2019</v>
      </c>
      <c r="C1746" s="2" t="str">
        <f t="shared" si="55"/>
        <v>EC101</v>
      </c>
      <c r="D1746" s="2">
        <v>128</v>
      </c>
      <c r="F1746" s="1764"/>
      <c r="G1746" s="1764"/>
      <c r="H1746" s="1764"/>
      <c r="I1746" s="1764"/>
      <c r="J1746" s="1764"/>
      <c r="K1746" s="1764"/>
      <c r="L1746" s="1766"/>
      <c r="M1746" s="1766"/>
      <c r="N1746" s="1766"/>
      <c r="O1746" s="1766"/>
      <c r="P1746" s="1766"/>
      <c r="W1746" t="s">
        <v>2089</v>
      </c>
    </row>
    <row r="1747" spans="1:23" ht="13.15" customHeight="1" x14ac:dyDescent="0.2">
      <c r="A1747" s="2" t="s">
        <v>2242</v>
      </c>
      <c r="B1747" s="2">
        <f t="shared" si="54"/>
        <v>2019</v>
      </c>
      <c r="C1747" s="2" t="str">
        <f t="shared" si="55"/>
        <v>EC101</v>
      </c>
      <c r="D1747" s="2">
        <v>129</v>
      </c>
      <c r="F1747" s="1764"/>
      <c r="G1747" s="1764"/>
      <c r="H1747" s="1764"/>
      <c r="I1747" s="1764"/>
      <c r="J1747" s="1764"/>
      <c r="K1747" s="1764"/>
      <c r="L1747" s="1766"/>
      <c r="M1747" s="1766"/>
      <c r="N1747" s="1766"/>
      <c r="O1747" s="1766"/>
      <c r="P1747" s="1766"/>
      <c r="W1747" t="s">
        <v>2089</v>
      </c>
    </row>
    <row r="1748" spans="1:23" ht="13.15" customHeight="1" x14ac:dyDescent="0.2">
      <c r="A1748" s="2" t="s">
        <v>2242</v>
      </c>
      <c r="B1748" s="2">
        <f t="shared" si="54"/>
        <v>2019</v>
      </c>
      <c r="C1748" s="2" t="str">
        <f t="shared" si="55"/>
        <v>EC101</v>
      </c>
      <c r="D1748" s="2">
        <v>130</v>
      </c>
      <c r="F1748" s="1764"/>
      <c r="G1748" s="1764"/>
      <c r="H1748" s="1764"/>
      <c r="I1748" s="1764"/>
      <c r="J1748" s="1764"/>
      <c r="K1748" s="1764"/>
      <c r="L1748" s="1766"/>
      <c r="M1748" s="1766"/>
      <c r="N1748" s="1766"/>
      <c r="O1748" s="1766"/>
      <c r="P1748" s="1766"/>
      <c r="W1748" t="s">
        <v>2089</v>
      </c>
    </row>
    <row r="1749" spans="1:23" ht="13.15" customHeight="1" x14ac:dyDescent="0.2">
      <c r="A1749" s="2" t="s">
        <v>2242</v>
      </c>
      <c r="B1749" s="2">
        <f t="shared" si="54"/>
        <v>2019</v>
      </c>
      <c r="C1749" s="2" t="str">
        <f t="shared" si="55"/>
        <v>EC101</v>
      </c>
      <c r="D1749" s="2">
        <v>131</v>
      </c>
      <c r="F1749" s="1764"/>
      <c r="G1749" s="1764"/>
      <c r="H1749" s="1764"/>
      <c r="I1749" s="1764"/>
      <c r="J1749" s="1764"/>
      <c r="K1749" s="1764"/>
      <c r="L1749" s="1766"/>
      <c r="M1749" s="1766"/>
      <c r="N1749" s="1766"/>
      <c r="O1749" s="1766"/>
      <c r="P1749" s="1766"/>
      <c r="W1749" t="s">
        <v>2089</v>
      </c>
    </row>
    <row r="1750" spans="1:23" ht="13.15" customHeight="1" x14ac:dyDescent="0.2">
      <c r="A1750" s="2" t="s">
        <v>2242</v>
      </c>
      <c r="B1750" s="2">
        <f t="shared" si="54"/>
        <v>2019</v>
      </c>
      <c r="C1750" s="2" t="str">
        <f t="shared" si="55"/>
        <v>EC101</v>
      </c>
      <c r="D1750" s="2">
        <v>132</v>
      </c>
      <c r="F1750" s="1764"/>
      <c r="G1750" s="1764"/>
      <c r="H1750" s="1764"/>
      <c r="I1750" s="1764"/>
      <c r="J1750" s="1764"/>
      <c r="K1750" s="1764"/>
      <c r="L1750" s="1766"/>
      <c r="M1750" s="1766"/>
      <c r="N1750" s="1766"/>
      <c r="O1750" s="1766"/>
      <c r="P1750" s="1766"/>
      <c r="W1750" t="s">
        <v>2089</v>
      </c>
    </row>
    <row r="1751" spans="1:23" ht="13.15" customHeight="1" x14ac:dyDescent="0.2">
      <c r="A1751" s="2" t="s">
        <v>2242</v>
      </c>
      <c r="B1751" s="2">
        <f t="shared" si="54"/>
        <v>2019</v>
      </c>
      <c r="C1751" s="2" t="str">
        <f t="shared" si="55"/>
        <v>EC101</v>
      </c>
      <c r="D1751" s="2">
        <v>133</v>
      </c>
      <c r="F1751" s="1764"/>
      <c r="G1751" s="1764"/>
      <c r="H1751" s="1764"/>
      <c r="I1751" s="1764"/>
      <c r="J1751" s="1764"/>
      <c r="K1751" s="1764"/>
      <c r="L1751" s="1766"/>
      <c r="M1751" s="1766"/>
      <c r="N1751" s="1766"/>
      <c r="O1751" s="1766"/>
      <c r="P1751" s="1766"/>
      <c r="W1751" t="s">
        <v>2089</v>
      </c>
    </row>
    <row r="1752" spans="1:23" ht="13.15" customHeight="1" x14ac:dyDescent="0.2">
      <c r="A1752" s="2" t="s">
        <v>2242</v>
      </c>
      <c r="B1752" s="2">
        <f t="shared" si="54"/>
        <v>2019</v>
      </c>
      <c r="C1752" s="2" t="str">
        <f t="shared" si="55"/>
        <v>EC101</v>
      </c>
      <c r="D1752" s="2">
        <v>134</v>
      </c>
      <c r="F1752" s="1764"/>
      <c r="G1752" s="1764"/>
      <c r="H1752" s="1764"/>
      <c r="I1752" s="1764"/>
      <c r="J1752" s="1764"/>
      <c r="K1752" s="1764"/>
      <c r="L1752" s="1766"/>
      <c r="M1752" s="1766"/>
      <c r="N1752" s="1766"/>
      <c r="O1752" s="1766"/>
      <c r="P1752" s="1766"/>
      <c r="W1752" t="s">
        <v>2089</v>
      </c>
    </row>
    <row r="1753" spans="1:23" ht="13.15" customHeight="1" x14ac:dyDescent="0.2">
      <c r="A1753" s="2" t="s">
        <v>2242</v>
      </c>
      <c r="B1753" s="2">
        <f t="shared" si="54"/>
        <v>2019</v>
      </c>
      <c r="C1753" s="2" t="str">
        <f t="shared" si="55"/>
        <v>EC101</v>
      </c>
      <c r="D1753" s="2">
        <v>135</v>
      </c>
      <c r="F1753" s="1764"/>
      <c r="G1753" s="1764"/>
      <c r="H1753" s="1764"/>
      <c r="I1753" s="1764"/>
      <c r="J1753" s="1764"/>
      <c r="K1753" s="1764"/>
      <c r="L1753" s="1766"/>
      <c r="M1753" s="1766"/>
      <c r="N1753" s="1766"/>
      <c r="O1753" s="1766"/>
      <c r="P1753" s="1766"/>
      <c r="W1753" t="s">
        <v>2089</v>
      </c>
    </row>
    <row r="1754" spans="1:23" ht="13.15" customHeight="1" x14ac:dyDescent="0.2">
      <c r="A1754" s="2" t="s">
        <v>2242</v>
      </c>
      <c r="B1754" s="2">
        <f t="shared" si="54"/>
        <v>2019</v>
      </c>
      <c r="C1754" s="2" t="str">
        <f t="shared" si="55"/>
        <v>EC101</v>
      </c>
      <c r="D1754" s="2">
        <v>136</v>
      </c>
      <c r="F1754" s="1764"/>
      <c r="G1754" s="1764"/>
      <c r="H1754" s="1764"/>
      <c r="I1754" s="1764"/>
      <c r="J1754" s="1764"/>
      <c r="K1754" s="1764"/>
      <c r="L1754" s="1766"/>
      <c r="M1754" s="1766"/>
      <c r="N1754" s="1766"/>
      <c r="O1754" s="1766"/>
      <c r="P1754" s="1766"/>
      <c r="W1754" t="s">
        <v>2089</v>
      </c>
    </row>
    <row r="1755" spans="1:23" ht="13.15" customHeight="1" x14ac:dyDescent="0.2">
      <c r="A1755" s="2" t="s">
        <v>2242</v>
      </c>
      <c r="B1755" s="2">
        <f t="shared" si="54"/>
        <v>2019</v>
      </c>
      <c r="C1755" s="2" t="str">
        <f t="shared" si="55"/>
        <v>EC101</v>
      </c>
      <c r="D1755" s="2">
        <v>137</v>
      </c>
      <c r="F1755" s="1764"/>
      <c r="G1755" s="1764"/>
      <c r="H1755" s="1764"/>
      <c r="I1755" s="1764"/>
      <c r="J1755" s="1764"/>
      <c r="K1755" s="1764"/>
      <c r="L1755" s="1766"/>
      <c r="M1755" s="1766"/>
      <c r="N1755" s="1766"/>
      <c r="O1755" s="1766"/>
      <c r="P1755" s="1766"/>
      <c r="W1755" t="s">
        <v>2089</v>
      </c>
    </row>
    <row r="1756" spans="1:23" ht="13.15" customHeight="1" x14ac:dyDescent="0.2">
      <c r="A1756" s="2" t="s">
        <v>2242</v>
      </c>
      <c r="B1756" s="2">
        <f t="shared" si="54"/>
        <v>2019</v>
      </c>
      <c r="C1756" s="2" t="str">
        <f t="shared" si="55"/>
        <v>EC101</v>
      </c>
      <c r="D1756" s="2">
        <v>138</v>
      </c>
      <c r="F1756" s="1764"/>
      <c r="G1756" s="1764"/>
      <c r="H1756" s="1764"/>
      <c r="I1756" s="1764"/>
      <c r="J1756" s="1764"/>
      <c r="K1756" s="1764"/>
      <c r="L1756" s="1766"/>
      <c r="M1756" s="1766"/>
      <c r="N1756" s="1766"/>
      <c r="O1756" s="1766"/>
      <c r="P1756" s="1766"/>
      <c r="W1756" t="s">
        <v>2089</v>
      </c>
    </row>
    <row r="1757" spans="1:23" ht="13.15" customHeight="1" x14ac:dyDescent="0.2">
      <c r="A1757" s="2" t="s">
        <v>2242</v>
      </c>
      <c r="B1757" s="2">
        <f t="shared" si="54"/>
        <v>2019</v>
      </c>
      <c r="C1757" s="2" t="str">
        <f t="shared" si="55"/>
        <v>EC101</v>
      </c>
      <c r="D1757" s="2">
        <v>139</v>
      </c>
      <c r="F1757" s="1764"/>
      <c r="G1757" s="1764"/>
      <c r="H1757" s="1764"/>
      <c r="I1757" s="1764"/>
      <c r="J1757" s="1764"/>
      <c r="K1757" s="1764"/>
      <c r="L1757" s="1766"/>
      <c r="M1757" s="1766"/>
      <c r="N1757" s="1766"/>
      <c r="O1757" s="1766"/>
      <c r="P1757" s="1766"/>
      <c r="W1757" t="s">
        <v>2089</v>
      </c>
    </row>
    <row r="1758" spans="1:23" ht="13.15" customHeight="1" x14ac:dyDescent="0.2">
      <c r="A1758" s="2" t="s">
        <v>2242</v>
      </c>
      <c r="B1758" s="2">
        <f t="shared" si="54"/>
        <v>2019</v>
      </c>
      <c r="C1758" s="2" t="str">
        <f t="shared" si="55"/>
        <v>EC101</v>
      </c>
      <c r="D1758" s="2">
        <v>140</v>
      </c>
      <c r="F1758" s="1764"/>
      <c r="G1758" s="1764"/>
      <c r="H1758" s="1764"/>
      <c r="I1758" s="1764"/>
      <c r="J1758" s="1764"/>
      <c r="K1758" s="1764"/>
      <c r="L1758" s="1766"/>
      <c r="M1758" s="1766"/>
      <c r="N1758" s="1766"/>
      <c r="O1758" s="1766"/>
      <c r="P1758" s="1766"/>
      <c r="W1758" t="s">
        <v>2089</v>
      </c>
    </row>
    <row r="1759" spans="1:23" ht="13.15" customHeight="1" x14ac:dyDescent="0.2">
      <c r="A1759" s="2" t="s">
        <v>2242</v>
      </c>
      <c r="B1759" s="2">
        <f t="shared" si="54"/>
        <v>2019</v>
      </c>
      <c r="C1759" s="2" t="str">
        <f t="shared" si="55"/>
        <v>EC101</v>
      </c>
      <c r="D1759" s="2">
        <v>141</v>
      </c>
      <c r="F1759" s="1764"/>
      <c r="G1759" s="1764"/>
      <c r="H1759" s="1764"/>
      <c r="I1759" s="1764"/>
      <c r="J1759" s="1764"/>
      <c r="K1759" s="1764"/>
      <c r="L1759" s="1766"/>
      <c r="M1759" s="1766"/>
      <c r="N1759" s="1766"/>
      <c r="O1759" s="1766"/>
      <c r="P1759" s="1766"/>
      <c r="W1759" t="s">
        <v>2089</v>
      </c>
    </row>
    <row r="1760" spans="1:23" ht="13.15" customHeight="1" x14ac:dyDescent="0.2">
      <c r="A1760" s="2" t="s">
        <v>2242</v>
      </c>
      <c r="B1760" s="2">
        <f t="shared" si="54"/>
        <v>2019</v>
      </c>
      <c r="C1760" s="2" t="str">
        <f t="shared" si="55"/>
        <v>EC101</v>
      </c>
      <c r="D1760" s="2">
        <v>142</v>
      </c>
      <c r="F1760" s="1764"/>
      <c r="G1760" s="1764"/>
      <c r="H1760" s="1764"/>
      <c r="I1760" s="1764"/>
      <c r="J1760" s="1764"/>
      <c r="K1760" s="1764"/>
      <c r="L1760" s="1766"/>
      <c r="M1760" s="1766"/>
      <c r="N1760" s="1766"/>
      <c r="O1760" s="1766"/>
      <c r="P1760" s="1766"/>
      <c r="W1760" t="s">
        <v>2089</v>
      </c>
    </row>
    <row r="1761" spans="1:23" ht="13.15" customHeight="1" x14ac:dyDescent="0.2">
      <c r="A1761" s="2" t="s">
        <v>2242</v>
      </c>
      <c r="B1761" s="2">
        <f t="shared" si="54"/>
        <v>2019</v>
      </c>
      <c r="C1761" s="2" t="str">
        <f t="shared" si="55"/>
        <v>EC101</v>
      </c>
      <c r="D1761" s="2">
        <v>143</v>
      </c>
      <c r="F1761" s="1764"/>
      <c r="G1761" s="1764"/>
      <c r="H1761" s="1764"/>
      <c r="I1761" s="1764"/>
      <c r="J1761" s="1764"/>
      <c r="K1761" s="1764"/>
      <c r="L1761" s="1766"/>
      <c r="M1761" s="1766"/>
      <c r="N1761" s="1766"/>
      <c r="O1761" s="1766"/>
      <c r="P1761" s="1766"/>
      <c r="W1761" t="s">
        <v>2089</v>
      </c>
    </row>
    <row r="1762" spans="1:23" ht="13.15" customHeight="1" x14ac:dyDescent="0.2">
      <c r="A1762" s="2" t="s">
        <v>2242</v>
      </c>
      <c r="B1762" s="2">
        <f t="shared" si="54"/>
        <v>2019</v>
      </c>
      <c r="C1762" s="2" t="str">
        <f t="shared" si="55"/>
        <v>EC101</v>
      </c>
      <c r="D1762" s="2">
        <v>144</v>
      </c>
      <c r="F1762" s="1764"/>
      <c r="G1762" s="1764"/>
      <c r="H1762" s="1764"/>
      <c r="I1762" s="1764"/>
      <c r="J1762" s="1764"/>
      <c r="K1762" s="1764"/>
      <c r="L1762" s="1766"/>
      <c r="M1762" s="1766"/>
      <c r="N1762" s="1766"/>
      <c r="O1762" s="1766"/>
      <c r="P1762" s="1766"/>
      <c r="W1762" t="s">
        <v>2089</v>
      </c>
    </row>
    <row r="1763" spans="1:23" ht="13.15" customHeight="1" x14ac:dyDescent="0.2">
      <c r="A1763" s="2" t="s">
        <v>2242</v>
      </c>
      <c r="B1763" s="2">
        <f t="shared" si="54"/>
        <v>2019</v>
      </c>
      <c r="C1763" s="2" t="str">
        <f t="shared" si="55"/>
        <v>EC101</v>
      </c>
      <c r="D1763" s="2">
        <v>145</v>
      </c>
      <c r="F1763" s="1764"/>
      <c r="G1763" s="1764"/>
      <c r="H1763" s="1764"/>
      <c r="I1763" s="1764"/>
      <c r="J1763" s="1764"/>
      <c r="K1763" s="1764"/>
      <c r="L1763" s="1766"/>
      <c r="M1763" s="1766"/>
      <c r="N1763" s="1766"/>
      <c r="O1763" s="1766"/>
      <c r="P1763" s="1766"/>
      <c r="W1763" t="s">
        <v>2089</v>
      </c>
    </row>
    <row r="1764" spans="1:23" ht="13.15" customHeight="1" x14ac:dyDescent="0.2">
      <c r="A1764" s="2" t="s">
        <v>2242</v>
      </c>
      <c r="B1764" s="2">
        <f t="shared" si="54"/>
        <v>2019</v>
      </c>
      <c r="C1764" s="2" t="str">
        <f t="shared" si="55"/>
        <v>EC101</v>
      </c>
      <c r="D1764" s="2">
        <v>146</v>
      </c>
      <c r="F1764" s="1764"/>
      <c r="G1764" s="1764"/>
      <c r="H1764" s="1764"/>
      <c r="I1764" s="1764"/>
      <c r="J1764" s="1764"/>
      <c r="K1764" s="1764"/>
      <c r="L1764" s="1766"/>
      <c r="M1764" s="1766"/>
      <c r="N1764" s="1766"/>
      <c r="O1764" s="1766"/>
      <c r="P1764" s="1766"/>
      <c r="W1764" t="s">
        <v>2089</v>
      </c>
    </row>
    <row r="1765" spans="1:23" ht="13.15" customHeight="1" x14ac:dyDescent="0.2">
      <c r="A1765" s="2" t="s">
        <v>2242</v>
      </c>
      <c r="B1765" s="2">
        <f t="shared" si="54"/>
        <v>2019</v>
      </c>
      <c r="C1765" s="2" t="str">
        <f t="shared" si="55"/>
        <v>EC101</v>
      </c>
      <c r="D1765" s="2">
        <v>147</v>
      </c>
      <c r="F1765" s="1764"/>
      <c r="G1765" s="1764"/>
      <c r="H1765" s="1764"/>
      <c r="I1765" s="1764"/>
      <c r="J1765" s="1764"/>
      <c r="K1765" s="1764"/>
      <c r="L1765" s="1766"/>
      <c r="M1765" s="1766"/>
      <c r="N1765" s="1766"/>
      <c r="O1765" s="1766"/>
      <c r="P1765" s="1766"/>
      <c r="W1765" t="s">
        <v>2089</v>
      </c>
    </row>
    <row r="1766" spans="1:23" ht="13.15" customHeight="1" x14ac:dyDescent="0.2">
      <c r="A1766" s="2" t="s">
        <v>2242</v>
      </c>
      <c r="B1766" s="2">
        <f t="shared" si="54"/>
        <v>2019</v>
      </c>
      <c r="C1766" s="2" t="str">
        <f t="shared" si="55"/>
        <v>EC101</v>
      </c>
      <c r="D1766" s="2">
        <v>148</v>
      </c>
      <c r="F1766" s="1764"/>
      <c r="G1766" s="1764"/>
      <c r="H1766" s="1764"/>
      <c r="I1766" s="1764"/>
      <c r="J1766" s="1764"/>
      <c r="K1766" s="1764"/>
      <c r="L1766" s="1766"/>
      <c r="M1766" s="1766"/>
      <c r="N1766" s="1766"/>
      <c r="O1766" s="1766"/>
      <c r="P1766" s="1766"/>
      <c r="W1766" t="s">
        <v>2089</v>
      </c>
    </row>
    <row r="1767" spans="1:23" ht="13.15" customHeight="1" x14ac:dyDescent="0.2">
      <c r="A1767" s="2" t="s">
        <v>2242</v>
      </c>
      <c r="B1767" s="2">
        <f t="shared" si="54"/>
        <v>2019</v>
      </c>
      <c r="C1767" s="2" t="str">
        <f t="shared" si="55"/>
        <v>EC101</v>
      </c>
      <c r="D1767" s="2">
        <v>149</v>
      </c>
      <c r="F1767" s="1764"/>
      <c r="G1767" s="1764"/>
      <c r="H1767" s="1764"/>
      <c r="I1767" s="1764"/>
      <c r="J1767" s="1764"/>
      <c r="K1767" s="1764"/>
      <c r="L1767" s="1766"/>
      <c r="M1767" s="1766"/>
      <c r="N1767" s="1766"/>
      <c r="O1767" s="1766"/>
      <c r="P1767" s="1766"/>
      <c r="W1767" t="s">
        <v>2089</v>
      </c>
    </row>
    <row r="1768" spans="1:23" ht="13.15" customHeight="1" x14ac:dyDescent="0.2">
      <c r="A1768" s="2" t="s">
        <v>2242</v>
      </c>
      <c r="B1768" s="2">
        <f t="shared" si="54"/>
        <v>2019</v>
      </c>
      <c r="C1768" s="2" t="str">
        <f t="shared" si="55"/>
        <v>EC101</v>
      </c>
      <c r="D1768" s="2">
        <v>150</v>
      </c>
      <c r="F1768" s="1764"/>
      <c r="G1768" s="1764"/>
      <c r="H1768" s="1764"/>
      <c r="I1768" s="1764"/>
      <c r="J1768" s="1764"/>
      <c r="K1768" s="1764"/>
      <c r="L1768" s="1766"/>
      <c r="M1768" s="1766"/>
      <c r="N1768" s="1766"/>
      <c r="O1768" s="1766"/>
      <c r="P1768" s="1766"/>
      <c r="W1768" t="s">
        <v>2089</v>
      </c>
    </row>
    <row r="1769" spans="1:23" ht="13.15" customHeight="1" x14ac:dyDescent="0.2">
      <c r="A1769" s="2" t="s">
        <v>2242</v>
      </c>
      <c r="B1769" s="2">
        <f t="shared" si="54"/>
        <v>2019</v>
      </c>
      <c r="C1769" s="2" t="str">
        <f t="shared" si="55"/>
        <v>EC101</v>
      </c>
      <c r="D1769" s="2">
        <v>151</v>
      </c>
      <c r="F1769" s="1764"/>
      <c r="G1769" s="1764"/>
      <c r="H1769" s="1764"/>
      <c r="I1769" s="1764"/>
      <c r="J1769" s="1764"/>
      <c r="K1769" s="1764"/>
      <c r="L1769" s="1766"/>
      <c r="M1769" s="1766"/>
      <c r="N1769" s="1766"/>
      <c r="O1769" s="1766"/>
      <c r="P1769" s="1766"/>
      <c r="W1769" t="s">
        <v>2089</v>
      </c>
    </row>
    <row r="1770" spans="1:23" ht="13.15" customHeight="1" x14ac:dyDescent="0.2">
      <c r="A1770" s="2" t="s">
        <v>2242</v>
      </c>
      <c r="B1770" s="2">
        <f t="shared" si="54"/>
        <v>2019</v>
      </c>
      <c r="C1770" s="2" t="str">
        <f t="shared" si="55"/>
        <v>EC101</v>
      </c>
      <c r="D1770" s="2">
        <v>152</v>
      </c>
      <c r="F1770" s="1764"/>
      <c r="G1770" s="1764"/>
      <c r="H1770" s="1764"/>
      <c r="I1770" s="1764"/>
      <c r="J1770" s="1764"/>
      <c r="K1770" s="1764"/>
      <c r="L1770" s="1766"/>
      <c r="M1770" s="1766"/>
      <c r="N1770" s="1766"/>
      <c r="O1770" s="1766"/>
      <c r="P1770" s="1766"/>
      <c r="W1770" t="s">
        <v>2089</v>
      </c>
    </row>
    <row r="1771" spans="1:23" ht="13.15" customHeight="1" x14ac:dyDescent="0.2">
      <c r="A1771" s="2" t="s">
        <v>2242</v>
      </c>
      <c r="B1771" s="2">
        <f t="shared" si="54"/>
        <v>2019</v>
      </c>
      <c r="C1771" s="2" t="str">
        <f t="shared" si="55"/>
        <v>EC101</v>
      </c>
      <c r="D1771" s="2">
        <v>153</v>
      </c>
      <c r="F1771" s="1764"/>
      <c r="G1771" s="1764"/>
      <c r="H1771" s="1764"/>
      <c r="I1771" s="1764"/>
      <c r="J1771" s="1764"/>
      <c r="K1771" s="1764"/>
      <c r="L1771" s="1766"/>
      <c r="M1771" s="1766"/>
      <c r="N1771" s="1766"/>
      <c r="O1771" s="1766"/>
      <c r="P1771" s="1766"/>
      <c r="W1771" t="s">
        <v>2089</v>
      </c>
    </row>
    <row r="1772" spans="1:23" ht="13.15" customHeight="1" x14ac:dyDescent="0.2">
      <c r="A1772" s="2" t="s">
        <v>2242</v>
      </c>
      <c r="B1772" s="2">
        <f t="shared" si="54"/>
        <v>2019</v>
      </c>
      <c r="C1772" s="2" t="str">
        <f t="shared" si="55"/>
        <v>EC101</v>
      </c>
      <c r="D1772" s="2">
        <v>154</v>
      </c>
      <c r="F1772" s="1764"/>
      <c r="G1772" s="1764"/>
      <c r="H1772" s="1764"/>
      <c r="I1772" s="1764"/>
      <c r="J1772" s="1764"/>
      <c r="K1772" s="1764"/>
      <c r="L1772" s="1766"/>
      <c r="M1772" s="1766"/>
      <c r="N1772" s="1766"/>
      <c r="O1772" s="1766"/>
      <c r="P1772" s="1766"/>
      <c r="W1772" t="s">
        <v>2089</v>
      </c>
    </row>
    <row r="1773" spans="1:23" ht="13.15" customHeight="1" x14ac:dyDescent="0.2">
      <c r="A1773" s="2" t="s">
        <v>2242</v>
      </c>
      <c r="B1773" s="2">
        <f t="shared" si="54"/>
        <v>2019</v>
      </c>
      <c r="C1773" s="2" t="str">
        <f t="shared" si="55"/>
        <v>EC101</v>
      </c>
      <c r="D1773" s="2">
        <v>155</v>
      </c>
      <c r="F1773" s="1764"/>
      <c r="G1773" s="1764"/>
      <c r="H1773" s="1764"/>
      <c r="I1773" s="1764"/>
      <c r="J1773" s="1764"/>
      <c r="K1773" s="1764"/>
      <c r="L1773" s="1766"/>
      <c r="M1773" s="1766"/>
      <c r="N1773" s="1766"/>
      <c r="O1773" s="1766"/>
      <c r="P1773" s="1766"/>
      <c r="W1773" t="s">
        <v>2089</v>
      </c>
    </row>
    <row r="1774" spans="1:23" ht="13.15" customHeight="1" x14ac:dyDescent="0.2">
      <c r="A1774" s="2" t="s">
        <v>2242</v>
      </c>
      <c r="B1774" s="2">
        <f t="shared" si="54"/>
        <v>2019</v>
      </c>
      <c r="C1774" s="2" t="str">
        <f t="shared" si="55"/>
        <v>EC101</v>
      </c>
      <c r="D1774" s="2">
        <v>156</v>
      </c>
      <c r="F1774" s="1764"/>
      <c r="G1774" s="1764"/>
      <c r="H1774" s="1764"/>
      <c r="I1774" s="1764"/>
      <c r="J1774" s="1764"/>
      <c r="K1774" s="1764"/>
      <c r="L1774" s="1766"/>
      <c r="M1774" s="1766"/>
      <c r="N1774" s="1766"/>
      <c r="O1774" s="1766"/>
      <c r="P1774" s="1766"/>
      <c r="W1774" t="s">
        <v>2089</v>
      </c>
    </row>
    <row r="1775" spans="1:23" ht="13.15" customHeight="1" x14ac:dyDescent="0.2">
      <c r="A1775" s="2" t="s">
        <v>2242</v>
      </c>
      <c r="B1775" s="2">
        <f t="shared" si="54"/>
        <v>2019</v>
      </c>
      <c r="C1775" s="2" t="str">
        <f t="shared" si="55"/>
        <v>EC101</v>
      </c>
      <c r="D1775" s="2">
        <v>157</v>
      </c>
      <c r="F1775" s="1764"/>
      <c r="G1775" s="1764"/>
      <c r="H1775" s="1764"/>
      <c r="I1775" s="1764"/>
      <c r="J1775" s="1764"/>
      <c r="K1775" s="1764"/>
      <c r="L1775" s="1766"/>
      <c r="M1775" s="1766"/>
      <c r="N1775" s="1766"/>
      <c r="O1775" s="1766"/>
      <c r="P1775" s="1766"/>
      <c r="W1775" t="s">
        <v>2089</v>
      </c>
    </row>
    <row r="1776" spans="1:23" ht="13.15" customHeight="1" x14ac:dyDescent="0.2">
      <c r="A1776" s="2" t="s">
        <v>2242</v>
      </c>
      <c r="B1776" s="2">
        <f t="shared" si="54"/>
        <v>2019</v>
      </c>
      <c r="C1776" s="2" t="str">
        <f t="shared" si="55"/>
        <v>EC101</v>
      </c>
      <c r="D1776" s="2">
        <v>158</v>
      </c>
      <c r="F1776" s="1764"/>
      <c r="G1776" s="1764"/>
      <c r="H1776" s="1764"/>
      <c r="I1776" s="1764"/>
      <c r="J1776" s="1764"/>
      <c r="K1776" s="1764"/>
      <c r="L1776" s="1766"/>
      <c r="M1776" s="1766"/>
      <c r="N1776" s="1766"/>
      <c r="O1776" s="1766"/>
      <c r="P1776" s="1766"/>
      <c r="W1776" t="s">
        <v>2089</v>
      </c>
    </row>
    <row r="1777" spans="1:23" ht="13.15" customHeight="1" x14ac:dyDescent="0.2">
      <c r="A1777" s="2" t="s">
        <v>2242</v>
      </c>
      <c r="B1777" s="2">
        <f t="shared" si="54"/>
        <v>2019</v>
      </c>
      <c r="C1777" s="2" t="str">
        <f t="shared" si="55"/>
        <v>EC101</v>
      </c>
      <c r="D1777" s="2">
        <v>159</v>
      </c>
      <c r="F1777" s="1764"/>
      <c r="G1777" s="1764"/>
      <c r="H1777" s="1764"/>
      <c r="I1777" s="1764"/>
      <c r="J1777" s="1764"/>
      <c r="K1777" s="1764"/>
      <c r="L1777" s="1766"/>
      <c r="M1777" s="1766"/>
      <c r="N1777" s="1766"/>
      <c r="O1777" s="1766"/>
      <c r="P1777" s="1766"/>
      <c r="W1777" t="s">
        <v>2089</v>
      </c>
    </row>
    <row r="1778" spans="1:23" ht="13.15" customHeight="1" x14ac:dyDescent="0.2">
      <c r="A1778" s="2" t="s">
        <v>2242</v>
      </c>
      <c r="B1778" s="2">
        <f t="shared" si="54"/>
        <v>2019</v>
      </c>
      <c r="C1778" s="2" t="str">
        <f t="shared" si="55"/>
        <v>EC101</v>
      </c>
      <c r="D1778" s="2">
        <v>160</v>
      </c>
      <c r="F1778" s="1764"/>
      <c r="G1778" s="1764"/>
      <c r="H1778" s="1764"/>
      <c r="I1778" s="1764"/>
      <c r="J1778" s="1764"/>
      <c r="K1778" s="1764"/>
      <c r="L1778" s="1766"/>
      <c r="M1778" s="1766"/>
      <c r="N1778" s="1766"/>
      <c r="O1778" s="1766"/>
      <c r="P1778" s="1766"/>
      <c r="W1778" t="s">
        <v>2089</v>
      </c>
    </row>
    <row r="1779" spans="1:23" ht="13.15" customHeight="1" x14ac:dyDescent="0.2">
      <c r="A1779" s="2" t="s">
        <v>2242</v>
      </c>
      <c r="B1779" s="2">
        <f t="shared" si="54"/>
        <v>2019</v>
      </c>
      <c r="C1779" s="2" t="str">
        <f t="shared" si="55"/>
        <v>EC101</v>
      </c>
      <c r="D1779" s="2">
        <v>161</v>
      </c>
      <c r="F1779" s="1764"/>
      <c r="G1779" s="1764"/>
      <c r="H1779" s="1764"/>
      <c r="I1779" s="1764"/>
      <c r="J1779" s="1764"/>
      <c r="K1779" s="1764"/>
      <c r="L1779" s="1766"/>
      <c r="M1779" s="1766"/>
      <c r="N1779" s="1766"/>
      <c r="O1779" s="1766"/>
      <c r="P1779" s="1766"/>
      <c r="W1779" t="s">
        <v>2089</v>
      </c>
    </row>
    <row r="1780" spans="1:23" ht="13.15" customHeight="1" x14ac:dyDescent="0.2">
      <c r="A1780" s="2" t="s">
        <v>2242</v>
      </c>
      <c r="B1780" s="2">
        <f t="shared" si="54"/>
        <v>2019</v>
      </c>
      <c r="C1780" s="2" t="str">
        <f t="shared" si="55"/>
        <v>EC101</v>
      </c>
      <c r="D1780" s="2">
        <v>162</v>
      </c>
      <c r="F1780" s="1764"/>
      <c r="G1780" s="1764"/>
      <c r="H1780" s="1764"/>
      <c r="I1780" s="1764"/>
      <c r="J1780" s="1764"/>
      <c r="K1780" s="1764"/>
      <c r="L1780" s="1766"/>
      <c r="M1780" s="1766"/>
      <c r="N1780" s="1766"/>
      <c r="O1780" s="1766"/>
      <c r="P1780" s="1766"/>
      <c r="W1780" t="s">
        <v>2089</v>
      </c>
    </row>
    <row r="1781" spans="1:23" ht="13.15" customHeight="1" x14ac:dyDescent="0.2">
      <c r="A1781" s="2" t="s">
        <v>2242</v>
      </c>
      <c r="B1781" s="2">
        <f t="shared" si="54"/>
        <v>2019</v>
      </c>
      <c r="C1781" s="2" t="str">
        <f t="shared" si="55"/>
        <v>EC101</v>
      </c>
      <c r="D1781" s="2">
        <v>163</v>
      </c>
      <c r="F1781" s="1764"/>
      <c r="G1781" s="1764"/>
      <c r="H1781" s="1764"/>
      <c r="I1781" s="1764"/>
      <c r="J1781" s="1764"/>
      <c r="K1781" s="1764"/>
      <c r="L1781" s="1766"/>
      <c r="M1781" s="1766"/>
      <c r="N1781" s="1766"/>
      <c r="O1781" s="1766"/>
      <c r="P1781" s="1766"/>
      <c r="W1781" t="s">
        <v>2089</v>
      </c>
    </row>
    <row r="1782" spans="1:23" ht="13.15" customHeight="1" x14ac:dyDescent="0.2">
      <c r="A1782" s="2" t="s">
        <v>2242</v>
      </c>
      <c r="B1782" s="2">
        <f t="shared" si="54"/>
        <v>2019</v>
      </c>
      <c r="C1782" s="2" t="str">
        <f t="shared" si="55"/>
        <v>EC101</v>
      </c>
      <c r="D1782" s="2">
        <v>164</v>
      </c>
      <c r="F1782" s="1764"/>
      <c r="G1782" s="1764"/>
      <c r="H1782" s="1764"/>
      <c r="I1782" s="1764"/>
      <c r="J1782" s="1764"/>
      <c r="K1782" s="1764"/>
      <c r="L1782" s="1766"/>
      <c r="M1782" s="1766"/>
      <c r="N1782" s="1766"/>
      <c r="O1782" s="1766"/>
      <c r="P1782" s="1766"/>
      <c r="W1782" t="s">
        <v>2089</v>
      </c>
    </row>
    <row r="1783" spans="1:23" ht="13.15" customHeight="1" x14ac:dyDescent="0.2">
      <c r="A1783" s="2" t="s">
        <v>2242</v>
      </c>
      <c r="B1783" s="2">
        <f t="shared" si="54"/>
        <v>2019</v>
      </c>
      <c r="C1783" s="2" t="str">
        <f t="shared" si="55"/>
        <v>EC101</v>
      </c>
      <c r="D1783" s="2">
        <v>165</v>
      </c>
      <c r="F1783" s="1764"/>
      <c r="G1783" s="1764"/>
      <c r="H1783" s="1764"/>
      <c r="I1783" s="1764"/>
      <c r="J1783" s="1764"/>
      <c r="K1783" s="1764"/>
      <c r="L1783" s="1766"/>
      <c r="M1783" s="1766"/>
      <c r="N1783" s="1766"/>
      <c r="O1783" s="1766"/>
      <c r="P1783" s="1766"/>
      <c r="W1783" t="s">
        <v>2089</v>
      </c>
    </row>
    <row r="1784" spans="1:23" ht="13.15" customHeight="1" x14ac:dyDescent="0.2">
      <c r="A1784" s="2" t="s">
        <v>2242</v>
      </c>
      <c r="B1784" s="2">
        <f t="shared" si="54"/>
        <v>2019</v>
      </c>
      <c r="C1784" s="2" t="str">
        <f t="shared" si="55"/>
        <v>EC101</v>
      </c>
      <c r="D1784" s="2">
        <v>166</v>
      </c>
      <c r="F1784" s="1764"/>
      <c r="G1784" s="1764"/>
      <c r="H1784" s="1764"/>
      <c r="I1784" s="1764"/>
      <c r="J1784" s="1764"/>
      <c r="K1784" s="1764"/>
      <c r="L1784" s="1766"/>
      <c r="M1784" s="1766"/>
      <c r="N1784" s="1766"/>
      <c r="O1784" s="1766"/>
      <c r="P1784" s="1766"/>
      <c r="W1784" t="s">
        <v>2089</v>
      </c>
    </row>
    <row r="1785" spans="1:23" ht="13.15" customHeight="1" x14ac:dyDescent="0.2">
      <c r="A1785" s="2" t="s">
        <v>2242</v>
      </c>
      <c r="B1785" s="2">
        <f t="shared" si="54"/>
        <v>2019</v>
      </c>
      <c r="C1785" s="2" t="str">
        <f t="shared" si="55"/>
        <v>EC101</v>
      </c>
      <c r="D1785" s="2">
        <v>167</v>
      </c>
      <c r="F1785" s="1764"/>
      <c r="G1785" s="1764"/>
      <c r="H1785" s="1764"/>
      <c r="I1785" s="1764"/>
      <c r="J1785" s="1764"/>
      <c r="K1785" s="1764"/>
      <c r="L1785" s="1766"/>
      <c r="M1785" s="1766"/>
      <c r="N1785" s="1766"/>
      <c r="O1785" s="1766"/>
      <c r="P1785" s="1766"/>
      <c r="W1785" t="s">
        <v>2089</v>
      </c>
    </row>
    <row r="1786" spans="1:23" ht="13.15" customHeight="1" x14ac:dyDescent="0.2">
      <c r="A1786" s="2" t="s">
        <v>2242</v>
      </c>
      <c r="B1786" s="2">
        <f t="shared" si="54"/>
        <v>2019</v>
      </c>
      <c r="C1786" s="2" t="str">
        <f t="shared" si="55"/>
        <v>EC101</v>
      </c>
      <c r="D1786" s="2">
        <v>168</v>
      </c>
      <c r="F1786" s="1764"/>
      <c r="G1786" s="1764"/>
      <c r="H1786" s="1764"/>
      <c r="I1786" s="1764"/>
      <c r="J1786" s="1764"/>
      <c r="K1786" s="1764"/>
      <c r="L1786" s="1766"/>
      <c r="M1786" s="1766"/>
      <c r="N1786" s="1766"/>
      <c r="O1786" s="1766"/>
      <c r="P1786" s="1766"/>
      <c r="W1786" t="s">
        <v>2089</v>
      </c>
    </row>
    <row r="1787" spans="1:23" ht="13.15" customHeight="1" x14ac:dyDescent="0.2">
      <c r="A1787" s="2" t="s">
        <v>2242</v>
      </c>
      <c r="B1787" s="2">
        <f t="shared" si="54"/>
        <v>2019</v>
      </c>
      <c r="C1787" s="2" t="str">
        <f t="shared" si="55"/>
        <v>EC101</v>
      </c>
      <c r="D1787" s="2">
        <v>169</v>
      </c>
      <c r="F1787" s="1764"/>
      <c r="G1787" s="1764"/>
      <c r="H1787" s="1764"/>
      <c r="I1787" s="1764"/>
      <c r="J1787" s="1764"/>
      <c r="K1787" s="1764"/>
      <c r="L1787" s="1766"/>
      <c r="M1787" s="1766"/>
      <c r="N1787" s="1766"/>
      <c r="O1787" s="1766"/>
      <c r="P1787" s="1766"/>
      <c r="W1787" t="s">
        <v>2089</v>
      </c>
    </row>
    <row r="1788" spans="1:23" ht="13.15" customHeight="1" x14ac:dyDescent="0.2">
      <c r="A1788" s="2" t="s">
        <v>2242</v>
      </c>
      <c r="B1788" s="2">
        <f t="shared" si="54"/>
        <v>2019</v>
      </c>
      <c r="C1788" s="2" t="str">
        <f t="shared" si="55"/>
        <v>EC101</v>
      </c>
      <c r="D1788" s="2">
        <v>170</v>
      </c>
      <c r="F1788" s="1764"/>
      <c r="G1788" s="1764"/>
      <c r="H1788" s="1764"/>
      <c r="I1788" s="1764"/>
      <c r="J1788" s="1764"/>
      <c r="K1788" s="1764"/>
      <c r="L1788" s="1766"/>
      <c r="M1788" s="1766"/>
      <c r="N1788" s="1766"/>
      <c r="O1788" s="1766"/>
      <c r="P1788" s="1766"/>
      <c r="W1788" t="s">
        <v>2089</v>
      </c>
    </row>
    <row r="1789" spans="1:23" ht="13.15" customHeight="1" x14ac:dyDescent="0.2">
      <c r="A1789" s="2" t="s">
        <v>2242</v>
      </c>
      <c r="B1789" s="2">
        <f t="shared" si="54"/>
        <v>2019</v>
      </c>
      <c r="C1789" s="2" t="str">
        <f t="shared" si="55"/>
        <v>EC101</v>
      </c>
      <c r="D1789" s="2">
        <v>171</v>
      </c>
      <c r="F1789" s="1764"/>
      <c r="G1789" s="1764"/>
      <c r="H1789" s="1764"/>
      <c r="I1789" s="1764"/>
      <c r="J1789" s="1764"/>
      <c r="K1789" s="1764"/>
      <c r="L1789" s="1766"/>
      <c r="M1789" s="1766"/>
      <c r="N1789" s="1766"/>
      <c r="O1789" s="1766"/>
      <c r="P1789" s="1766"/>
      <c r="W1789" t="s">
        <v>2089</v>
      </c>
    </row>
    <row r="1790" spans="1:23" ht="13.15" customHeight="1" x14ac:dyDescent="0.2">
      <c r="A1790" s="2" t="s">
        <v>2242</v>
      </c>
      <c r="B1790" s="2">
        <f t="shared" si="54"/>
        <v>2019</v>
      </c>
      <c r="C1790" s="2" t="str">
        <f t="shared" si="55"/>
        <v>EC101</v>
      </c>
      <c r="D1790" s="2">
        <v>172</v>
      </c>
      <c r="F1790" s="1764"/>
      <c r="G1790" s="1764"/>
      <c r="H1790" s="1764"/>
      <c r="I1790" s="1764"/>
      <c r="J1790" s="1764"/>
      <c r="K1790" s="1764"/>
      <c r="L1790" s="1766"/>
      <c r="M1790" s="1766"/>
      <c r="N1790" s="1766"/>
      <c r="O1790" s="1766"/>
      <c r="P1790" s="1766"/>
      <c r="W1790" t="s">
        <v>2089</v>
      </c>
    </row>
    <row r="1791" spans="1:23" ht="13.15" customHeight="1" x14ac:dyDescent="0.2">
      <c r="A1791" s="2" t="s">
        <v>2242</v>
      </c>
      <c r="B1791" s="2">
        <f t="shared" si="54"/>
        <v>2019</v>
      </c>
      <c r="C1791" s="2" t="str">
        <f t="shared" si="55"/>
        <v>EC101</v>
      </c>
      <c r="D1791" s="2">
        <v>173</v>
      </c>
      <c r="F1791" s="1764"/>
      <c r="G1791" s="1764"/>
      <c r="H1791" s="1764"/>
      <c r="I1791" s="1764"/>
      <c r="J1791" s="1764"/>
      <c r="K1791" s="1764"/>
      <c r="L1791" s="1766"/>
      <c r="M1791" s="1766"/>
      <c r="N1791" s="1766"/>
      <c r="O1791" s="1766"/>
      <c r="P1791" s="1766"/>
      <c r="W1791" t="s">
        <v>2089</v>
      </c>
    </row>
    <row r="1792" spans="1:23" ht="13.15" customHeight="1" x14ac:dyDescent="0.2">
      <c r="A1792" s="2" t="s">
        <v>2242</v>
      </c>
      <c r="B1792" s="2">
        <f t="shared" si="54"/>
        <v>2019</v>
      </c>
      <c r="C1792" s="2" t="str">
        <f t="shared" si="55"/>
        <v>EC101</v>
      </c>
      <c r="D1792" s="2">
        <v>174</v>
      </c>
      <c r="F1792" s="1764"/>
      <c r="G1792" s="1764"/>
      <c r="H1792" s="1764"/>
      <c r="I1792" s="1764"/>
      <c r="J1792" s="1764"/>
      <c r="K1792" s="1764"/>
      <c r="L1792" s="1766"/>
      <c r="M1792" s="1766"/>
      <c r="N1792" s="1766"/>
      <c r="O1792" s="1766"/>
      <c r="P1792" s="1766"/>
      <c r="W1792" t="s">
        <v>2089</v>
      </c>
    </row>
    <row r="1793" spans="1:23" ht="13.15" customHeight="1" x14ac:dyDescent="0.2">
      <c r="A1793" s="2" t="s">
        <v>2242</v>
      </c>
      <c r="B1793" s="2">
        <f t="shared" si="54"/>
        <v>2019</v>
      </c>
      <c r="C1793" s="2" t="str">
        <f t="shared" si="55"/>
        <v>EC101</v>
      </c>
      <c r="D1793" s="2">
        <v>175</v>
      </c>
      <c r="F1793" s="1764"/>
      <c r="G1793" s="1764"/>
      <c r="H1793" s="1764"/>
      <c r="I1793" s="1764"/>
      <c r="J1793" s="1764"/>
      <c r="K1793" s="1764"/>
      <c r="L1793" s="1766"/>
      <c r="M1793" s="1766"/>
      <c r="N1793" s="1766"/>
      <c r="O1793" s="1766"/>
      <c r="P1793" s="1766"/>
      <c r="W1793" t="s">
        <v>2089</v>
      </c>
    </row>
    <row r="1794" spans="1:23" ht="13.15" customHeight="1" x14ac:dyDescent="0.2">
      <c r="A1794" s="2" t="s">
        <v>2242</v>
      </c>
      <c r="B1794" s="2">
        <f t="shared" ref="B1794:B1857" si="56">+MTREF</f>
        <v>2019</v>
      </c>
      <c r="C1794" s="2" t="str">
        <f t="shared" ref="C1794:C1857" si="57">LEFT(muni,(FIND(" ",muni,1)-1))</f>
        <v>EC101</v>
      </c>
      <c r="D1794" s="2">
        <v>176</v>
      </c>
      <c r="F1794" s="1764"/>
      <c r="G1794" s="1764"/>
      <c r="H1794" s="1764"/>
      <c r="I1794" s="1764"/>
      <c r="J1794" s="1764"/>
      <c r="K1794" s="1764"/>
      <c r="L1794" s="1766"/>
      <c r="M1794" s="1766"/>
      <c r="N1794" s="1766"/>
      <c r="O1794" s="1766"/>
      <c r="P1794" s="1766"/>
      <c r="W1794" t="s">
        <v>2089</v>
      </c>
    </row>
    <row r="1795" spans="1:23" ht="13.15" customHeight="1" x14ac:dyDescent="0.2">
      <c r="A1795" s="2" t="s">
        <v>2242</v>
      </c>
      <c r="B1795" s="2">
        <f t="shared" si="56"/>
        <v>2019</v>
      </c>
      <c r="C1795" s="2" t="str">
        <f t="shared" si="57"/>
        <v>EC101</v>
      </c>
      <c r="D1795" s="2">
        <v>177</v>
      </c>
      <c r="F1795" s="1764"/>
      <c r="G1795" s="1764"/>
      <c r="H1795" s="1764"/>
      <c r="I1795" s="1764"/>
      <c r="J1795" s="1764"/>
      <c r="K1795" s="1764"/>
      <c r="L1795" s="1766"/>
      <c r="M1795" s="1766"/>
      <c r="N1795" s="1766"/>
      <c r="O1795" s="1766"/>
      <c r="P1795" s="1766"/>
      <c r="W1795" t="s">
        <v>2089</v>
      </c>
    </row>
    <row r="1796" spans="1:23" ht="13.15" customHeight="1" x14ac:dyDescent="0.2">
      <c r="A1796" s="2" t="s">
        <v>2242</v>
      </c>
      <c r="B1796" s="2">
        <f t="shared" si="56"/>
        <v>2019</v>
      </c>
      <c r="C1796" s="2" t="str">
        <f t="shared" si="57"/>
        <v>EC101</v>
      </c>
      <c r="D1796" s="2">
        <v>178</v>
      </c>
      <c r="F1796" s="1764"/>
      <c r="G1796" s="1764"/>
      <c r="H1796" s="1764"/>
      <c r="I1796" s="1764"/>
      <c r="J1796" s="1764"/>
      <c r="K1796" s="1764"/>
      <c r="L1796" s="1766"/>
      <c r="M1796" s="1766"/>
      <c r="N1796" s="1766"/>
      <c r="O1796" s="1766"/>
      <c r="P1796" s="1766"/>
      <c r="W1796" t="s">
        <v>2089</v>
      </c>
    </row>
    <row r="1797" spans="1:23" ht="13.15" customHeight="1" x14ac:dyDescent="0.2">
      <c r="A1797" s="2" t="s">
        <v>2242</v>
      </c>
      <c r="B1797" s="2">
        <f t="shared" si="56"/>
        <v>2019</v>
      </c>
      <c r="C1797" s="2" t="str">
        <f t="shared" si="57"/>
        <v>EC101</v>
      </c>
      <c r="D1797" s="2">
        <v>179</v>
      </c>
      <c r="F1797" s="1764"/>
      <c r="G1797" s="1764"/>
      <c r="H1797" s="1764"/>
      <c r="I1797" s="1764"/>
      <c r="J1797" s="1764"/>
      <c r="K1797" s="1764"/>
      <c r="L1797" s="1766"/>
      <c r="M1797" s="1766"/>
      <c r="N1797" s="1766"/>
      <c r="O1797" s="1766"/>
      <c r="P1797" s="1766"/>
      <c r="W1797" t="s">
        <v>2089</v>
      </c>
    </row>
    <row r="1798" spans="1:23" ht="13.15" customHeight="1" x14ac:dyDescent="0.2">
      <c r="A1798" s="2" t="s">
        <v>2242</v>
      </c>
      <c r="B1798" s="2">
        <f t="shared" si="56"/>
        <v>2019</v>
      </c>
      <c r="C1798" s="2" t="str">
        <f t="shared" si="57"/>
        <v>EC101</v>
      </c>
      <c r="D1798" s="2">
        <v>180</v>
      </c>
      <c r="F1798" s="1764"/>
      <c r="G1798" s="1764"/>
      <c r="H1798" s="1764"/>
      <c r="I1798" s="1764"/>
      <c r="J1798" s="1764"/>
      <c r="K1798" s="1764"/>
      <c r="L1798" s="1766"/>
      <c r="M1798" s="1766"/>
      <c r="N1798" s="1766"/>
      <c r="O1798" s="1766"/>
      <c r="P1798" s="1766"/>
      <c r="W1798" t="s">
        <v>2089</v>
      </c>
    </row>
    <row r="1799" spans="1:23" ht="13.15" customHeight="1" x14ac:dyDescent="0.2">
      <c r="A1799" s="2" t="s">
        <v>2242</v>
      </c>
      <c r="B1799" s="2">
        <f t="shared" si="56"/>
        <v>2019</v>
      </c>
      <c r="C1799" s="2" t="str">
        <f t="shared" si="57"/>
        <v>EC101</v>
      </c>
      <c r="D1799" s="2">
        <v>181</v>
      </c>
      <c r="F1799" s="1764"/>
      <c r="G1799" s="1764"/>
      <c r="H1799" s="1764"/>
      <c r="I1799" s="1764"/>
      <c r="J1799" s="1764"/>
      <c r="K1799" s="1764"/>
      <c r="L1799" s="1766"/>
      <c r="M1799" s="1766"/>
      <c r="N1799" s="1766"/>
      <c r="O1799" s="1766"/>
      <c r="P1799" s="1766"/>
      <c r="W1799" t="s">
        <v>2089</v>
      </c>
    </row>
    <row r="1800" spans="1:23" ht="13.15" customHeight="1" x14ac:dyDescent="0.2">
      <c r="A1800" s="2" t="s">
        <v>2242</v>
      </c>
      <c r="B1800" s="2">
        <f t="shared" si="56"/>
        <v>2019</v>
      </c>
      <c r="C1800" s="2" t="str">
        <f t="shared" si="57"/>
        <v>EC101</v>
      </c>
      <c r="D1800" s="2">
        <v>182</v>
      </c>
      <c r="F1800" s="1764"/>
      <c r="G1800" s="1764"/>
      <c r="H1800" s="1764"/>
      <c r="I1800" s="1764"/>
      <c r="J1800" s="1764"/>
      <c r="K1800" s="1764"/>
      <c r="L1800" s="1766"/>
      <c r="M1800" s="1766"/>
      <c r="N1800" s="1766"/>
      <c r="O1800" s="1766"/>
      <c r="P1800" s="1766"/>
      <c r="W1800" t="s">
        <v>2089</v>
      </c>
    </row>
    <row r="1801" spans="1:23" ht="13.15" customHeight="1" x14ac:dyDescent="0.2">
      <c r="A1801" s="2" t="s">
        <v>2242</v>
      </c>
      <c r="B1801" s="2">
        <f t="shared" si="56"/>
        <v>2019</v>
      </c>
      <c r="C1801" s="2" t="str">
        <f t="shared" si="57"/>
        <v>EC101</v>
      </c>
      <c r="D1801" s="2">
        <v>183</v>
      </c>
      <c r="F1801" s="1764"/>
      <c r="G1801" s="1764"/>
      <c r="H1801" s="1764"/>
      <c r="I1801" s="1764"/>
      <c r="J1801" s="1764"/>
      <c r="K1801" s="1764"/>
      <c r="L1801" s="1766"/>
      <c r="M1801" s="1766"/>
      <c r="N1801" s="1766"/>
      <c r="O1801" s="1766"/>
      <c r="P1801" s="1766"/>
      <c r="W1801" t="s">
        <v>2089</v>
      </c>
    </row>
    <row r="1802" spans="1:23" ht="13.15" customHeight="1" x14ac:dyDescent="0.2">
      <c r="A1802" s="2" t="s">
        <v>2242</v>
      </c>
      <c r="B1802" s="2">
        <f t="shared" si="56"/>
        <v>2019</v>
      </c>
      <c r="C1802" s="2" t="str">
        <f t="shared" si="57"/>
        <v>EC101</v>
      </c>
      <c r="D1802" s="2">
        <v>184</v>
      </c>
      <c r="F1802" s="1764"/>
      <c r="G1802" s="1764"/>
      <c r="H1802" s="1764"/>
      <c r="I1802" s="1764"/>
      <c r="J1802" s="1764"/>
      <c r="K1802" s="1764"/>
      <c r="L1802" s="1766"/>
      <c r="M1802" s="1766"/>
      <c r="N1802" s="1766"/>
      <c r="O1802" s="1766"/>
      <c r="P1802" s="1766"/>
      <c r="W1802" t="s">
        <v>2089</v>
      </c>
    </row>
    <row r="1803" spans="1:23" ht="13.15" customHeight="1" x14ac:dyDescent="0.2">
      <c r="A1803" s="2" t="s">
        <v>2242</v>
      </c>
      <c r="B1803" s="2">
        <f t="shared" si="56"/>
        <v>2019</v>
      </c>
      <c r="C1803" s="2" t="str">
        <f t="shared" si="57"/>
        <v>EC101</v>
      </c>
      <c r="D1803" s="2">
        <v>185</v>
      </c>
      <c r="F1803" s="1764"/>
      <c r="G1803" s="1764"/>
      <c r="H1803" s="1764"/>
      <c r="I1803" s="1764"/>
      <c r="J1803" s="1764"/>
      <c r="K1803" s="1764"/>
      <c r="L1803" s="1766"/>
      <c r="M1803" s="1766"/>
      <c r="N1803" s="1766"/>
      <c r="O1803" s="1766"/>
      <c r="P1803" s="1766"/>
      <c r="W1803" t="s">
        <v>2089</v>
      </c>
    </row>
    <row r="1804" spans="1:23" ht="13.15" customHeight="1" x14ac:dyDescent="0.2">
      <c r="A1804" s="2" t="s">
        <v>2242</v>
      </c>
      <c r="B1804" s="2">
        <f t="shared" si="56"/>
        <v>2019</v>
      </c>
      <c r="C1804" s="2" t="str">
        <f t="shared" si="57"/>
        <v>EC101</v>
      </c>
      <c r="D1804" s="2">
        <v>186</v>
      </c>
      <c r="F1804" s="1764"/>
      <c r="G1804" s="1764"/>
      <c r="H1804" s="1764"/>
      <c r="I1804" s="1764"/>
      <c r="J1804" s="1764"/>
      <c r="K1804" s="1764"/>
      <c r="L1804" s="1766"/>
      <c r="M1804" s="1766"/>
      <c r="N1804" s="1766"/>
      <c r="O1804" s="1766"/>
      <c r="P1804" s="1766"/>
      <c r="W1804" t="s">
        <v>2089</v>
      </c>
    </row>
    <row r="1805" spans="1:23" ht="13.15" customHeight="1" x14ac:dyDescent="0.2">
      <c r="A1805" s="2" t="s">
        <v>2242</v>
      </c>
      <c r="B1805" s="2">
        <f t="shared" si="56"/>
        <v>2019</v>
      </c>
      <c r="C1805" s="2" t="str">
        <f t="shared" si="57"/>
        <v>EC101</v>
      </c>
      <c r="D1805" s="2">
        <v>187</v>
      </c>
      <c r="F1805" s="1764"/>
      <c r="G1805" s="1764"/>
      <c r="H1805" s="1764"/>
      <c r="I1805" s="1764"/>
      <c r="J1805" s="1764"/>
      <c r="K1805" s="1764"/>
      <c r="L1805" s="1766"/>
      <c r="M1805" s="1766"/>
      <c r="N1805" s="1766"/>
      <c r="O1805" s="1766"/>
      <c r="P1805" s="1766"/>
      <c r="W1805" t="s">
        <v>2089</v>
      </c>
    </row>
    <row r="1806" spans="1:23" ht="13.15" customHeight="1" x14ac:dyDescent="0.2">
      <c r="A1806" s="2" t="s">
        <v>2242</v>
      </c>
      <c r="B1806" s="2">
        <f t="shared" si="56"/>
        <v>2019</v>
      </c>
      <c r="C1806" s="2" t="str">
        <f t="shared" si="57"/>
        <v>EC101</v>
      </c>
      <c r="D1806" s="2">
        <v>188</v>
      </c>
      <c r="F1806" s="1764"/>
      <c r="G1806" s="1764"/>
      <c r="H1806" s="1764"/>
      <c r="I1806" s="1764"/>
      <c r="J1806" s="1764"/>
      <c r="K1806" s="1764"/>
      <c r="L1806" s="1766"/>
      <c r="M1806" s="1766"/>
      <c r="N1806" s="1766"/>
      <c r="O1806" s="1766"/>
      <c r="P1806" s="1766"/>
      <c r="W1806" t="s">
        <v>2089</v>
      </c>
    </row>
    <row r="1807" spans="1:23" ht="13.15" customHeight="1" x14ac:dyDescent="0.2">
      <c r="A1807" s="2" t="s">
        <v>2242</v>
      </c>
      <c r="B1807" s="2">
        <f t="shared" si="56"/>
        <v>2019</v>
      </c>
      <c r="C1807" s="2" t="str">
        <f t="shared" si="57"/>
        <v>EC101</v>
      </c>
      <c r="D1807" s="2">
        <v>189</v>
      </c>
      <c r="F1807" s="1764"/>
      <c r="G1807" s="1764"/>
      <c r="H1807" s="1764"/>
      <c r="I1807" s="1764"/>
      <c r="J1807" s="1764"/>
      <c r="K1807" s="1764"/>
      <c r="L1807" s="1766"/>
      <c r="M1807" s="1766"/>
      <c r="N1807" s="1766"/>
      <c r="O1807" s="1766"/>
      <c r="P1807" s="1766"/>
      <c r="W1807" t="s">
        <v>2089</v>
      </c>
    </row>
    <row r="1808" spans="1:23" ht="13.15" customHeight="1" x14ac:dyDescent="0.2">
      <c r="A1808" s="2" t="s">
        <v>2242</v>
      </c>
      <c r="B1808" s="2">
        <f t="shared" si="56"/>
        <v>2019</v>
      </c>
      <c r="C1808" s="2" t="str">
        <f t="shared" si="57"/>
        <v>EC101</v>
      </c>
      <c r="D1808" s="2">
        <v>190</v>
      </c>
      <c r="F1808" s="1764"/>
      <c r="G1808" s="1764"/>
      <c r="H1808" s="1764"/>
      <c r="I1808" s="1764"/>
      <c r="J1808" s="1764"/>
      <c r="K1808" s="1764"/>
      <c r="L1808" s="1766"/>
      <c r="M1808" s="1766"/>
      <c r="N1808" s="1766"/>
      <c r="O1808" s="1766"/>
      <c r="P1808" s="1766"/>
      <c r="W1808" t="s">
        <v>2089</v>
      </c>
    </row>
    <row r="1809" spans="1:23" ht="13.15" customHeight="1" x14ac:dyDescent="0.2">
      <c r="A1809" s="2" t="s">
        <v>2242</v>
      </c>
      <c r="B1809" s="2">
        <f t="shared" si="56"/>
        <v>2019</v>
      </c>
      <c r="C1809" s="2" t="str">
        <f t="shared" si="57"/>
        <v>EC101</v>
      </c>
      <c r="D1809" s="2">
        <v>191</v>
      </c>
      <c r="F1809" s="1764"/>
      <c r="G1809" s="1764"/>
      <c r="H1809" s="1764"/>
      <c r="I1809" s="1764"/>
      <c r="J1809" s="1764"/>
      <c r="K1809" s="1764"/>
      <c r="L1809" s="1766"/>
      <c r="M1809" s="1766"/>
      <c r="N1809" s="1766"/>
      <c r="O1809" s="1766"/>
      <c r="P1809" s="1766"/>
      <c r="W1809" t="s">
        <v>2089</v>
      </c>
    </row>
    <row r="1810" spans="1:23" ht="13.15" customHeight="1" x14ac:dyDescent="0.2">
      <c r="A1810" s="2" t="s">
        <v>2242</v>
      </c>
      <c r="B1810" s="2">
        <f t="shared" si="56"/>
        <v>2019</v>
      </c>
      <c r="C1810" s="2" t="str">
        <f t="shared" si="57"/>
        <v>EC101</v>
      </c>
      <c r="D1810" s="2">
        <v>192</v>
      </c>
      <c r="F1810" s="1764"/>
      <c r="G1810" s="1764"/>
      <c r="H1810" s="1764"/>
      <c r="I1810" s="1764"/>
      <c r="J1810" s="1764"/>
      <c r="K1810" s="1764"/>
      <c r="L1810" s="1766"/>
      <c r="M1810" s="1766"/>
      <c r="N1810" s="1766"/>
      <c r="O1810" s="1766"/>
      <c r="P1810" s="1766"/>
      <c r="W1810" t="s">
        <v>2089</v>
      </c>
    </row>
    <row r="1811" spans="1:23" ht="13.15" customHeight="1" x14ac:dyDescent="0.2">
      <c r="A1811" s="2" t="s">
        <v>2242</v>
      </c>
      <c r="B1811" s="2">
        <f t="shared" si="56"/>
        <v>2019</v>
      </c>
      <c r="C1811" s="2" t="str">
        <f t="shared" si="57"/>
        <v>EC101</v>
      </c>
      <c r="D1811" s="2">
        <v>193</v>
      </c>
      <c r="F1811" s="1764"/>
      <c r="G1811" s="1764"/>
      <c r="H1811" s="1764"/>
      <c r="I1811" s="1764"/>
      <c r="J1811" s="1764"/>
      <c r="K1811" s="1764"/>
      <c r="L1811" s="1766"/>
      <c r="M1811" s="1766"/>
      <c r="N1811" s="1766"/>
      <c r="O1811" s="1766"/>
      <c r="P1811" s="1766"/>
      <c r="W1811" t="s">
        <v>2089</v>
      </c>
    </row>
    <row r="1812" spans="1:23" ht="13.15" customHeight="1" x14ac:dyDescent="0.2">
      <c r="A1812" s="2" t="s">
        <v>2242</v>
      </c>
      <c r="B1812" s="2">
        <f t="shared" si="56"/>
        <v>2019</v>
      </c>
      <c r="C1812" s="2" t="str">
        <f t="shared" si="57"/>
        <v>EC101</v>
      </c>
      <c r="D1812" s="2">
        <v>194</v>
      </c>
      <c r="F1812" s="1764"/>
      <c r="G1812" s="1764"/>
      <c r="H1812" s="1764"/>
      <c r="I1812" s="1764"/>
      <c r="J1812" s="1764"/>
      <c r="K1812" s="1764"/>
      <c r="L1812" s="1766"/>
      <c r="M1812" s="1766"/>
      <c r="N1812" s="1766"/>
      <c r="O1812" s="1766"/>
      <c r="P1812" s="1766"/>
      <c r="W1812" t="s">
        <v>2089</v>
      </c>
    </row>
    <row r="1813" spans="1:23" ht="13.15" customHeight="1" x14ac:dyDescent="0.2">
      <c r="A1813" s="2" t="s">
        <v>2242</v>
      </c>
      <c r="B1813" s="2">
        <f t="shared" si="56"/>
        <v>2019</v>
      </c>
      <c r="C1813" s="2" t="str">
        <f t="shared" si="57"/>
        <v>EC101</v>
      </c>
      <c r="D1813" s="2">
        <v>195</v>
      </c>
      <c r="F1813" s="1764"/>
      <c r="G1813" s="1764"/>
      <c r="H1813" s="1764"/>
      <c r="I1813" s="1764"/>
      <c r="J1813" s="1764"/>
      <c r="K1813" s="1764"/>
      <c r="L1813" s="1766"/>
      <c r="M1813" s="1766"/>
      <c r="N1813" s="1766"/>
      <c r="O1813" s="1766"/>
      <c r="P1813" s="1766"/>
      <c r="W1813" t="s">
        <v>2089</v>
      </c>
    </row>
    <row r="1814" spans="1:23" ht="13.15" customHeight="1" x14ac:dyDescent="0.2">
      <c r="A1814" s="2" t="s">
        <v>2242</v>
      </c>
      <c r="B1814" s="2">
        <f t="shared" si="56"/>
        <v>2019</v>
      </c>
      <c r="C1814" s="2" t="str">
        <f t="shared" si="57"/>
        <v>EC101</v>
      </c>
      <c r="D1814" s="2">
        <v>196</v>
      </c>
      <c r="F1814" s="1764"/>
      <c r="G1814" s="1764"/>
      <c r="H1814" s="1764"/>
      <c r="I1814" s="1764"/>
      <c r="J1814" s="1764"/>
      <c r="K1814" s="1764"/>
      <c r="L1814" s="1766"/>
      <c r="M1814" s="1766"/>
      <c r="N1814" s="1766"/>
      <c r="O1814" s="1766"/>
      <c r="P1814" s="1766"/>
      <c r="W1814" t="s">
        <v>2089</v>
      </c>
    </row>
    <row r="1815" spans="1:23" ht="13.15" customHeight="1" x14ac:dyDescent="0.2">
      <c r="A1815" s="2" t="s">
        <v>2242</v>
      </c>
      <c r="B1815" s="2">
        <f t="shared" si="56"/>
        <v>2019</v>
      </c>
      <c r="C1815" s="2" t="str">
        <f t="shared" si="57"/>
        <v>EC101</v>
      </c>
      <c r="D1815" s="2">
        <v>197</v>
      </c>
      <c r="F1815" s="1764"/>
      <c r="G1815" s="1764"/>
      <c r="H1815" s="1764"/>
      <c r="I1815" s="1764"/>
      <c r="J1815" s="1764"/>
      <c r="K1815" s="1764"/>
      <c r="L1815" s="1766"/>
      <c r="M1815" s="1766"/>
      <c r="N1815" s="1766"/>
      <c r="O1815" s="1766"/>
      <c r="P1815" s="1766"/>
      <c r="W1815" t="s">
        <v>2089</v>
      </c>
    </row>
    <row r="1816" spans="1:23" ht="13.15" customHeight="1" x14ac:dyDescent="0.2">
      <c r="A1816" s="2" t="s">
        <v>2242</v>
      </c>
      <c r="B1816" s="2">
        <f t="shared" si="56"/>
        <v>2019</v>
      </c>
      <c r="C1816" s="2" t="str">
        <f t="shared" si="57"/>
        <v>EC101</v>
      </c>
      <c r="D1816" s="2">
        <v>198</v>
      </c>
      <c r="F1816" s="1764"/>
      <c r="G1816" s="1764"/>
      <c r="H1816" s="1764"/>
      <c r="I1816" s="1764"/>
      <c r="J1816" s="1764"/>
      <c r="K1816" s="1764"/>
      <c r="L1816" s="1766"/>
      <c r="M1816" s="1766"/>
      <c r="N1816" s="1766"/>
      <c r="O1816" s="1766"/>
      <c r="P1816" s="1766"/>
      <c r="W1816" t="s">
        <v>2089</v>
      </c>
    </row>
    <row r="1817" spans="1:23" ht="13.15" customHeight="1" x14ac:dyDescent="0.2">
      <c r="A1817" s="2" t="s">
        <v>2242</v>
      </c>
      <c r="B1817" s="2">
        <f t="shared" si="56"/>
        <v>2019</v>
      </c>
      <c r="C1817" s="2" t="str">
        <f t="shared" si="57"/>
        <v>EC101</v>
      </c>
      <c r="D1817" s="2">
        <v>199</v>
      </c>
      <c r="F1817" s="1764"/>
      <c r="G1817" s="1764"/>
      <c r="H1817" s="1764"/>
      <c r="I1817" s="1764"/>
      <c r="J1817" s="1764"/>
      <c r="K1817" s="1764"/>
      <c r="L1817" s="1766"/>
      <c r="M1817" s="1766"/>
      <c r="N1817" s="1766"/>
      <c r="O1817" s="1766"/>
      <c r="P1817" s="1766"/>
      <c r="W1817" t="s">
        <v>2089</v>
      </c>
    </row>
    <row r="1818" spans="1:23" ht="13.15" customHeight="1" x14ac:dyDescent="0.2">
      <c r="A1818" s="2" t="s">
        <v>2242</v>
      </c>
      <c r="B1818" s="2">
        <f t="shared" si="56"/>
        <v>2019</v>
      </c>
      <c r="C1818" s="2" t="str">
        <f t="shared" si="57"/>
        <v>EC101</v>
      </c>
      <c r="D1818" s="2">
        <v>200</v>
      </c>
      <c r="F1818" s="1764"/>
      <c r="G1818" s="1764"/>
      <c r="H1818" s="1764"/>
      <c r="I1818" s="1764"/>
      <c r="J1818" s="1764"/>
      <c r="K1818" s="1764"/>
      <c r="L1818" s="1766"/>
      <c r="M1818" s="1766"/>
      <c r="N1818" s="1766"/>
      <c r="O1818" s="1766"/>
      <c r="P1818" s="1766"/>
      <c r="W1818" t="s">
        <v>2089</v>
      </c>
    </row>
    <row r="1819" spans="1:23" ht="13.15" customHeight="1" x14ac:dyDescent="0.2">
      <c r="A1819" s="2" t="s">
        <v>2242</v>
      </c>
      <c r="B1819" s="2">
        <f t="shared" si="56"/>
        <v>2019</v>
      </c>
      <c r="C1819" s="2" t="str">
        <f t="shared" si="57"/>
        <v>EC101</v>
      </c>
      <c r="D1819" s="2">
        <v>201</v>
      </c>
      <c r="F1819" s="1764"/>
      <c r="G1819" s="1764"/>
      <c r="H1819" s="1764"/>
      <c r="I1819" s="1764"/>
      <c r="J1819" s="1764"/>
      <c r="K1819" s="1764"/>
      <c r="L1819" s="1766"/>
      <c r="M1819" s="1766"/>
      <c r="N1819" s="1766"/>
      <c r="O1819" s="1766"/>
      <c r="P1819" s="1766"/>
      <c r="W1819" t="s">
        <v>2089</v>
      </c>
    </row>
    <row r="1820" spans="1:23" ht="13.15" customHeight="1" x14ac:dyDescent="0.2">
      <c r="A1820" s="2" t="s">
        <v>2242</v>
      </c>
      <c r="B1820" s="2">
        <f t="shared" si="56"/>
        <v>2019</v>
      </c>
      <c r="C1820" s="2" t="str">
        <f t="shared" si="57"/>
        <v>EC101</v>
      </c>
      <c r="D1820" s="2">
        <v>202</v>
      </c>
      <c r="F1820" s="1764"/>
      <c r="G1820" s="1764"/>
      <c r="H1820" s="1764"/>
      <c r="I1820" s="1764"/>
      <c r="J1820" s="1764"/>
      <c r="K1820" s="1764"/>
      <c r="L1820" s="1766"/>
      <c r="M1820" s="1766"/>
      <c r="N1820" s="1766"/>
      <c r="O1820" s="1766"/>
      <c r="P1820" s="1766"/>
      <c r="W1820" t="s">
        <v>2089</v>
      </c>
    </row>
    <row r="1821" spans="1:23" ht="13.15" customHeight="1" x14ac:dyDescent="0.2">
      <c r="A1821" s="2" t="s">
        <v>2242</v>
      </c>
      <c r="B1821" s="2">
        <f t="shared" si="56"/>
        <v>2019</v>
      </c>
      <c r="C1821" s="2" t="str">
        <f t="shared" si="57"/>
        <v>EC101</v>
      </c>
      <c r="D1821" s="2">
        <v>203</v>
      </c>
      <c r="F1821" s="1764"/>
      <c r="G1821" s="1764"/>
      <c r="H1821" s="1764"/>
      <c r="I1821" s="1764"/>
      <c r="J1821" s="1764"/>
      <c r="K1821" s="1764"/>
      <c r="L1821" s="1766"/>
      <c r="M1821" s="1766"/>
      <c r="N1821" s="1766"/>
      <c r="O1821" s="1766"/>
      <c r="P1821" s="1766"/>
      <c r="W1821" t="s">
        <v>2089</v>
      </c>
    </row>
    <row r="1822" spans="1:23" ht="13.15" customHeight="1" x14ac:dyDescent="0.2">
      <c r="A1822" s="2" t="s">
        <v>2242</v>
      </c>
      <c r="B1822" s="2">
        <f t="shared" si="56"/>
        <v>2019</v>
      </c>
      <c r="C1822" s="2" t="str">
        <f t="shared" si="57"/>
        <v>EC101</v>
      </c>
      <c r="D1822" s="2">
        <v>204</v>
      </c>
      <c r="F1822" s="1764"/>
      <c r="G1822" s="1764"/>
      <c r="H1822" s="1764"/>
      <c r="I1822" s="1764"/>
      <c r="J1822" s="1764"/>
      <c r="K1822" s="1764"/>
      <c r="L1822" s="1766"/>
      <c r="M1822" s="1766"/>
      <c r="N1822" s="1766"/>
      <c r="O1822" s="1766"/>
      <c r="P1822" s="1766"/>
      <c r="W1822" t="s">
        <v>2089</v>
      </c>
    </row>
    <row r="1823" spans="1:23" ht="13.15" customHeight="1" x14ac:dyDescent="0.2">
      <c r="A1823" s="2" t="s">
        <v>2242</v>
      </c>
      <c r="B1823" s="2">
        <f t="shared" si="56"/>
        <v>2019</v>
      </c>
      <c r="C1823" s="2" t="str">
        <f t="shared" si="57"/>
        <v>EC101</v>
      </c>
      <c r="D1823" s="2">
        <v>205</v>
      </c>
      <c r="F1823" s="1764"/>
      <c r="G1823" s="1764"/>
      <c r="H1823" s="1764"/>
      <c r="I1823" s="1764"/>
      <c r="J1823" s="1764"/>
      <c r="K1823" s="1764"/>
      <c r="L1823" s="1766"/>
      <c r="M1823" s="1766"/>
      <c r="N1823" s="1766"/>
      <c r="O1823" s="1766"/>
      <c r="P1823" s="1766"/>
      <c r="W1823" t="s">
        <v>2089</v>
      </c>
    </row>
    <row r="1824" spans="1:23" ht="13.15" customHeight="1" x14ac:dyDescent="0.2">
      <c r="A1824" s="2" t="s">
        <v>2242</v>
      </c>
      <c r="B1824" s="2">
        <f t="shared" si="56"/>
        <v>2019</v>
      </c>
      <c r="C1824" s="2" t="str">
        <f t="shared" si="57"/>
        <v>EC101</v>
      </c>
      <c r="D1824" s="2">
        <v>206</v>
      </c>
      <c r="F1824" s="1764"/>
      <c r="G1824" s="1764"/>
      <c r="H1824" s="1764"/>
      <c r="I1824" s="1764"/>
      <c r="J1824" s="1764"/>
      <c r="K1824" s="1764"/>
      <c r="L1824" s="1766"/>
      <c r="M1824" s="1766"/>
      <c r="N1824" s="1766"/>
      <c r="O1824" s="1766"/>
      <c r="P1824" s="1766"/>
      <c r="W1824" t="s">
        <v>2089</v>
      </c>
    </row>
    <row r="1825" spans="1:23" ht="13.15" customHeight="1" x14ac:dyDescent="0.2">
      <c r="A1825" s="2" t="s">
        <v>2242</v>
      </c>
      <c r="B1825" s="2">
        <f t="shared" si="56"/>
        <v>2019</v>
      </c>
      <c r="C1825" s="2" t="str">
        <f t="shared" si="57"/>
        <v>EC101</v>
      </c>
      <c r="D1825" s="2">
        <v>207</v>
      </c>
      <c r="F1825" s="1764"/>
      <c r="G1825" s="1764"/>
      <c r="H1825" s="1764"/>
      <c r="I1825" s="1764"/>
      <c r="J1825" s="1764"/>
      <c r="K1825" s="1764"/>
      <c r="L1825" s="1766"/>
      <c r="M1825" s="1766"/>
      <c r="N1825" s="1766"/>
      <c r="O1825" s="1766"/>
      <c r="P1825" s="1766"/>
      <c r="W1825" t="s">
        <v>2089</v>
      </c>
    </row>
    <row r="1826" spans="1:23" ht="13.15" customHeight="1" x14ac:dyDescent="0.2">
      <c r="A1826" s="2" t="s">
        <v>2242</v>
      </c>
      <c r="B1826" s="2">
        <f t="shared" si="56"/>
        <v>2019</v>
      </c>
      <c r="C1826" s="2" t="str">
        <f t="shared" si="57"/>
        <v>EC101</v>
      </c>
      <c r="D1826" s="2">
        <v>208</v>
      </c>
      <c r="F1826" s="1764"/>
      <c r="G1826" s="1764"/>
      <c r="H1826" s="1764"/>
      <c r="I1826" s="1764"/>
      <c r="J1826" s="1764"/>
      <c r="K1826" s="1764"/>
      <c r="L1826" s="1766"/>
      <c r="M1826" s="1766"/>
      <c r="N1826" s="1766"/>
      <c r="O1826" s="1766"/>
      <c r="P1826" s="1766"/>
      <c r="W1826" t="s">
        <v>2089</v>
      </c>
    </row>
    <row r="1827" spans="1:23" ht="13.15" customHeight="1" x14ac:dyDescent="0.2">
      <c r="A1827" s="2" t="s">
        <v>2242</v>
      </c>
      <c r="B1827" s="2">
        <f t="shared" si="56"/>
        <v>2019</v>
      </c>
      <c r="C1827" s="2" t="str">
        <f t="shared" si="57"/>
        <v>EC101</v>
      </c>
      <c r="D1827" s="2">
        <v>209</v>
      </c>
      <c r="F1827" s="1764"/>
      <c r="G1827" s="1764"/>
      <c r="H1827" s="1764"/>
      <c r="I1827" s="1764"/>
      <c r="J1827" s="1764"/>
      <c r="K1827" s="1764"/>
      <c r="L1827" s="1766"/>
      <c r="M1827" s="1766"/>
      <c r="N1827" s="1766"/>
      <c r="O1827" s="1766"/>
      <c r="P1827" s="1766"/>
      <c r="W1827" t="s">
        <v>2089</v>
      </c>
    </row>
    <row r="1828" spans="1:23" ht="13.15" customHeight="1" x14ac:dyDescent="0.2">
      <c r="A1828" s="2" t="s">
        <v>2242</v>
      </c>
      <c r="B1828" s="2">
        <f t="shared" si="56"/>
        <v>2019</v>
      </c>
      <c r="C1828" s="2" t="str">
        <f t="shared" si="57"/>
        <v>EC101</v>
      </c>
      <c r="D1828" s="2">
        <v>210</v>
      </c>
      <c r="F1828" s="1764"/>
      <c r="G1828" s="1764"/>
      <c r="H1828" s="1764"/>
      <c r="I1828" s="1764"/>
      <c r="J1828" s="1764"/>
      <c r="K1828" s="1764"/>
      <c r="L1828" s="1766"/>
      <c r="M1828" s="1766"/>
      <c r="N1828" s="1766"/>
      <c r="O1828" s="1766"/>
      <c r="P1828" s="1766"/>
      <c r="W1828" t="s">
        <v>2089</v>
      </c>
    </row>
    <row r="1829" spans="1:23" ht="13.15" customHeight="1" x14ac:dyDescent="0.2">
      <c r="A1829" s="2" t="s">
        <v>2242</v>
      </c>
      <c r="B1829" s="2">
        <f t="shared" si="56"/>
        <v>2019</v>
      </c>
      <c r="C1829" s="2" t="str">
        <f t="shared" si="57"/>
        <v>EC101</v>
      </c>
      <c r="D1829" s="2">
        <v>211</v>
      </c>
      <c r="F1829" s="1764"/>
      <c r="G1829" s="1764"/>
      <c r="H1829" s="1764"/>
      <c r="I1829" s="1764"/>
      <c r="J1829" s="1764"/>
      <c r="K1829" s="1764"/>
      <c r="L1829" s="1766"/>
      <c r="M1829" s="1766"/>
      <c r="N1829" s="1766"/>
      <c r="O1829" s="1766"/>
      <c r="P1829" s="1766"/>
      <c r="W1829" t="s">
        <v>2089</v>
      </c>
    </row>
    <row r="1830" spans="1:23" ht="13.15" customHeight="1" x14ac:dyDescent="0.2">
      <c r="A1830" s="2" t="s">
        <v>2242</v>
      </c>
      <c r="B1830" s="2">
        <f t="shared" si="56"/>
        <v>2019</v>
      </c>
      <c r="C1830" s="2" t="str">
        <f t="shared" si="57"/>
        <v>EC101</v>
      </c>
      <c r="D1830" s="2">
        <v>212</v>
      </c>
      <c r="F1830" s="1764"/>
      <c r="G1830" s="1764"/>
      <c r="H1830" s="1764"/>
      <c r="I1830" s="1764"/>
      <c r="J1830" s="1764"/>
      <c r="K1830" s="1764"/>
      <c r="L1830" s="1766"/>
      <c r="M1830" s="1766"/>
      <c r="N1830" s="1766"/>
      <c r="O1830" s="1766"/>
      <c r="P1830" s="1766"/>
      <c r="W1830" t="s">
        <v>2089</v>
      </c>
    </row>
    <row r="1831" spans="1:23" ht="13.15" customHeight="1" x14ac:dyDescent="0.2">
      <c r="A1831" s="2" t="s">
        <v>2242</v>
      </c>
      <c r="B1831" s="2">
        <f t="shared" si="56"/>
        <v>2019</v>
      </c>
      <c r="C1831" s="2" t="str">
        <f t="shared" si="57"/>
        <v>EC101</v>
      </c>
      <c r="D1831" s="2">
        <v>213</v>
      </c>
      <c r="F1831" s="1764"/>
      <c r="G1831" s="1764"/>
      <c r="H1831" s="1764"/>
      <c r="I1831" s="1764"/>
      <c r="J1831" s="1764"/>
      <c r="K1831" s="1764"/>
      <c r="L1831" s="1766"/>
      <c r="M1831" s="1766"/>
      <c r="N1831" s="1766"/>
      <c r="O1831" s="1766"/>
      <c r="P1831" s="1766"/>
      <c r="W1831" t="s">
        <v>2089</v>
      </c>
    </row>
    <row r="1832" spans="1:23" ht="13.15" customHeight="1" x14ac:dyDescent="0.2">
      <c r="A1832" s="2" t="s">
        <v>2242</v>
      </c>
      <c r="B1832" s="2">
        <f t="shared" si="56"/>
        <v>2019</v>
      </c>
      <c r="C1832" s="2" t="str">
        <f t="shared" si="57"/>
        <v>EC101</v>
      </c>
      <c r="D1832" s="2">
        <v>214</v>
      </c>
      <c r="F1832" s="1764"/>
      <c r="G1832" s="1764"/>
      <c r="H1832" s="1764"/>
      <c r="I1832" s="1764"/>
      <c r="J1832" s="1764"/>
      <c r="K1832" s="1764"/>
      <c r="L1832" s="1766"/>
      <c r="M1832" s="1766"/>
      <c r="N1832" s="1766"/>
      <c r="O1832" s="1766"/>
      <c r="P1832" s="1766"/>
      <c r="W1832" t="s">
        <v>2089</v>
      </c>
    </row>
    <row r="1833" spans="1:23" ht="13.15" customHeight="1" x14ac:dyDescent="0.2">
      <c r="A1833" s="2" t="s">
        <v>2242</v>
      </c>
      <c r="B1833" s="2">
        <f t="shared" si="56"/>
        <v>2019</v>
      </c>
      <c r="C1833" s="2" t="str">
        <f t="shared" si="57"/>
        <v>EC101</v>
      </c>
      <c r="D1833" s="2">
        <v>215</v>
      </c>
      <c r="F1833" s="1764"/>
      <c r="G1833" s="1764"/>
      <c r="H1833" s="1764"/>
      <c r="I1833" s="1764"/>
      <c r="J1833" s="1764"/>
      <c r="K1833" s="1764"/>
      <c r="L1833" s="1766"/>
      <c r="M1833" s="1766"/>
      <c r="N1833" s="1766"/>
      <c r="O1833" s="1766"/>
      <c r="P1833" s="1766"/>
      <c r="W1833" t="s">
        <v>2089</v>
      </c>
    </row>
    <row r="1834" spans="1:23" ht="13.15" customHeight="1" x14ac:dyDescent="0.2">
      <c r="A1834" s="2" t="s">
        <v>2242</v>
      </c>
      <c r="B1834" s="2">
        <f t="shared" si="56"/>
        <v>2019</v>
      </c>
      <c r="C1834" s="2" t="str">
        <f t="shared" si="57"/>
        <v>EC101</v>
      </c>
      <c r="D1834" s="2">
        <v>216</v>
      </c>
      <c r="F1834" s="1764"/>
      <c r="G1834" s="1764"/>
      <c r="H1834" s="1764"/>
      <c r="I1834" s="1764"/>
      <c r="J1834" s="1764"/>
      <c r="K1834" s="1764"/>
      <c r="L1834" s="1766"/>
      <c r="M1834" s="1766"/>
      <c r="N1834" s="1766"/>
      <c r="O1834" s="1766"/>
      <c r="P1834" s="1766"/>
      <c r="W1834" t="s">
        <v>2089</v>
      </c>
    </row>
    <row r="1835" spans="1:23" ht="13.15" customHeight="1" x14ac:dyDescent="0.2">
      <c r="A1835" s="2" t="s">
        <v>2242</v>
      </c>
      <c r="B1835" s="2">
        <f t="shared" si="56"/>
        <v>2019</v>
      </c>
      <c r="C1835" s="2" t="str">
        <f t="shared" si="57"/>
        <v>EC101</v>
      </c>
      <c r="D1835" s="2">
        <v>217</v>
      </c>
      <c r="F1835" s="1764"/>
      <c r="G1835" s="1764"/>
      <c r="H1835" s="1764"/>
      <c r="I1835" s="1764"/>
      <c r="J1835" s="1764"/>
      <c r="K1835" s="1764"/>
      <c r="L1835" s="1766"/>
      <c r="M1835" s="1766"/>
      <c r="N1835" s="1766"/>
      <c r="O1835" s="1766"/>
      <c r="P1835" s="1766"/>
      <c r="W1835" t="s">
        <v>2089</v>
      </c>
    </row>
    <row r="1836" spans="1:23" ht="13.15" customHeight="1" x14ac:dyDescent="0.2">
      <c r="A1836" s="2" t="s">
        <v>2242</v>
      </c>
      <c r="B1836" s="2">
        <f t="shared" si="56"/>
        <v>2019</v>
      </c>
      <c r="C1836" s="2" t="str">
        <f t="shared" si="57"/>
        <v>EC101</v>
      </c>
      <c r="D1836" s="2">
        <v>218</v>
      </c>
      <c r="F1836" s="1764"/>
      <c r="G1836" s="1764"/>
      <c r="H1836" s="1764"/>
      <c r="I1836" s="1764"/>
      <c r="J1836" s="1764"/>
      <c r="K1836" s="1764"/>
      <c r="L1836" s="1766"/>
      <c r="M1836" s="1766"/>
      <c r="N1836" s="1766"/>
      <c r="O1836" s="1766"/>
      <c r="P1836" s="1766"/>
      <c r="W1836" t="s">
        <v>2089</v>
      </c>
    </row>
    <row r="1837" spans="1:23" ht="13.15" customHeight="1" x14ac:dyDescent="0.2">
      <c r="A1837" s="2" t="s">
        <v>2242</v>
      </c>
      <c r="B1837" s="2">
        <f t="shared" si="56"/>
        <v>2019</v>
      </c>
      <c r="C1837" s="2" t="str">
        <f t="shared" si="57"/>
        <v>EC101</v>
      </c>
      <c r="D1837" s="2">
        <v>219</v>
      </c>
      <c r="F1837" s="1764"/>
      <c r="G1837" s="1764"/>
      <c r="H1837" s="1764"/>
      <c r="I1837" s="1764"/>
      <c r="J1837" s="1764"/>
      <c r="K1837" s="1764"/>
      <c r="L1837" s="1766"/>
      <c r="M1837" s="1766"/>
      <c r="N1837" s="1766"/>
      <c r="O1837" s="1766"/>
      <c r="P1837" s="1766"/>
      <c r="W1837" t="s">
        <v>2089</v>
      </c>
    </row>
    <row r="1838" spans="1:23" ht="13.15" customHeight="1" x14ac:dyDescent="0.2">
      <c r="A1838" s="2" t="s">
        <v>2242</v>
      </c>
      <c r="B1838" s="2">
        <f t="shared" si="56"/>
        <v>2019</v>
      </c>
      <c r="C1838" s="2" t="str">
        <f t="shared" si="57"/>
        <v>EC101</v>
      </c>
      <c r="D1838" s="2">
        <v>220</v>
      </c>
      <c r="F1838" s="1764"/>
      <c r="G1838" s="1764"/>
      <c r="H1838" s="1764"/>
      <c r="I1838" s="1764"/>
      <c r="J1838" s="1764"/>
      <c r="K1838" s="1764"/>
      <c r="L1838" s="1766"/>
      <c r="M1838" s="1766"/>
      <c r="N1838" s="1766"/>
      <c r="O1838" s="1766"/>
      <c r="P1838" s="1766"/>
      <c r="W1838" t="s">
        <v>2089</v>
      </c>
    </row>
    <row r="1839" spans="1:23" ht="13.15" customHeight="1" x14ac:dyDescent="0.2">
      <c r="A1839" s="2" t="s">
        <v>2242</v>
      </c>
      <c r="B1839" s="2">
        <f t="shared" si="56"/>
        <v>2019</v>
      </c>
      <c r="C1839" s="2" t="str">
        <f t="shared" si="57"/>
        <v>EC101</v>
      </c>
      <c r="D1839" s="2">
        <v>221</v>
      </c>
      <c r="F1839" s="1764"/>
      <c r="G1839" s="1764"/>
      <c r="H1839" s="1764"/>
      <c r="I1839" s="1764"/>
      <c r="J1839" s="1764"/>
      <c r="K1839" s="1764"/>
      <c r="L1839" s="1766"/>
      <c r="M1839" s="1766"/>
      <c r="N1839" s="1766"/>
      <c r="O1839" s="1766"/>
      <c r="P1839" s="1766"/>
      <c r="W1839" t="s">
        <v>2089</v>
      </c>
    </row>
    <row r="1840" spans="1:23" ht="13.15" customHeight="1" x14ac:dyDescent="0.2">
      <c r="A1840" s="2" t="s">
        <v>2242</v>
      </c>
      <c r="B1840" s="2">
        <f t="shared" si="56"/>
        <v>2019</v>
      </c>
      <c r="C1840" s="2" t="str">
        <f t="shared" si="57"/>
        <v>EC101</v>
      </c>
      <c r="D1840" s="2">
        <v>222</v>
      </c>
      <c r="F1840" s="1764"/>
      <c r="G1840" s="1764"/>
      <c r="H1840" s="1764"/>
      <c r="I1840" s="1764"/>
      <c r="J1840" s="1764"/>
      <c r="K1840" s="1764"/>
      <c r="L1840" s="1766"/>
      <c r="M1840" s="1766"/>
      <c r="N1840" s="1766"/>
      <c r="O1840" s="1766"/>
      <c r="P1840" s="1766"/>
      <c r="W1840" t="s">
        <v>2089</v>
      </c>
    </row>
    <row r="1841" spans="1:23" ht="13.15" customHeight="1" x14ac:dyDescent="0.2">
      <c r="A1841" s="2" t="s">
        <v>2242</v>
      </c>
      <c r="B1841" s="2">
        <f t="shared" si="56"/>
        <v>2019</v>
      </c>
      <c r="C1841" s="2" t="str">
        <f t="shared" si="57"/>
        <v>EC101</v>
      </c>
      <c r="D1841" s="2">
        <v>223</v>
      </c>
      <c r="F1841" s="1764"/>
      <c r="G1841" s="1764"/>
      <c r="H1841" s="1764"/>
      <c r="I1841" s="1764"/>
      <c r="J1841" s="1764"/>
      <c r="K1841" s="1764"/>
      <c r="L1841" s="1766"/>
      <c r="M1841" s="1766"/>
      <c r="N1841" s="1766"/>
      <c r="O1841" s="1766"/>
      <c r="P1841" s="1766"/>
      <c r="W1841" t="s">
        <v>2089</v>
      </c>
    </row>
    <row r="1842" spans="1:23" ht="13.15" customHeight="1" x14ac:dyDescent="0.2">
      <c r="A1842" s="2" t="s">
        <v>2242</v>
      </c>
      <c r="B1842" s="2">
        <f t="shared" si="56"/>
        <v>2019</v>
      </c>
      <c r="C1842" s="2" t="str">
        <f t="shared" si="57"/>
        <v>EC101</v>
      </c>
      <c r="D1842" s="2">
        <v>224</v>
      </c>
      <c r="F1842" s="1764"/>
      <c r="G1842" s="1764"/>
      <c r="H1842" s="1764"/>
      <c r="I1842" s="1764"/>
      <c r="J1842" s="1764"/>
      <c r="K1842" s="1764"/>
      <c r="L1842" s="1766"/>
      <c r="M1842" s="1766"/>
      <c r="N1842" s="1766"/>
      <c r="O1842" s="1766"/>
      <c r="P1842" s="1766"/>
      <c r="W1842" t="s">
        <v>2089</v>
      </c>
    </row>
    <row r="1843" spans="1:23" ht="13.15" customHeight="1" x14ac:dyDescent="0.2">
      <c r="A1843" s="2" t="s">
        <v>2242</v>
      </c>
      <c r="B1843" s="2">
        <f t="shared" si="56"/>
        <v>2019</v>
      </c>
      <c r="C1843" s="2" t="str">
        <f t="shared" si="57"/>
        <v>EC101</v>
      </c>
      <c r="D1843" s="2">
        <v>225</v>
      </c>
      <c r="F1843" s="1764"/>
      <c r="G1843" s="1764"/>
      <c r="H1843" s="1764"/>
      <c r="I1843" s="1764"/>
      <c r="J1843" s="1764"/>
      <c r="K1843" s="1764"/>
      <c r="L1843" s="1766"/>
      <c r="M1843" s="1766"/>
      <c r="N1843" s="1766"/>
      <c r="O1843" s="1766"/>
      <c r="P1843" s="1766"/>
      <c r="W1843" t="s">
        <v>2089</v>
      </c>
    </row>
    <row r="1844" spans="1:23" ht="13.15" customHeight="1" x14ac:dyDescent="0.2">
      <c r="A1844" s="2" t="s">
        <v>2242</v>
      </c>
      <c r="B1844" s="2">
        <f t="shared" si="56"/>
        <v>2019</v>
      </c>
      <c r="C1844" s="2" t="str">
        <f t="shared" si="57"/>
        <v>EC101</v>
      </c>
      <c r="D1844" s="2">
        <v>226</v>
      </c>
      <c r="F1844" s="1764"/>
      <c r="G1844" s="1764"/>
      <c r="H1844" s="1764"/>
      <c r="I1844" s="1764"/>
      <c r="J1844" s="1764"/>
      <c r="K1844" s="1764"/>
      <c r="L1844" s="1766"/>
      <c r="M1844" s="1766"/>
      <c r="N1844" s="1766"/>
      <c r="O1844" s="1766"/>
      <c r="P1844" s="1766"/>
      <c r="W1844" t="s">
        <v>2089</v>
      </c>
    </row>
    <row r="1845" spans="1:23" ht="13.15" customHeight="1" x14ac:dyDescent="0.2">
      <c r="A1845" s="2" t="s">
        <v>2242</v>
      </c>
      <c r="B1845" s="2">
        <f t="shared" si="56"/>
        <v>2019</v>
      </c>
      <c r="C1845" s="2" t="str">
        <f t="shared" si="57"/>
        <v>EC101</v>
      </c>
      <c r="D1845" s="2">
        <v>227</v>
      </c>
      <c r="F1845" s="1764"/>
      <c r="G1845" s="1764"/>
      <c r="H1845" s="1764"/>
      <c r="I1845" s="1764"/>
      <c r="J1845" s="1764"/>
      <c r="K1845" s="1764"/>
      <c r="L1845" s="1766"/>
      <c r="M1845" s="1766"/>
      <c r="N1845" s="1766"/>
      <c r="O1845" s="1766"/>
      <c r="P1845" s="1766"/>
      <c r="W1845" t="s">
        <v>2089</v>
      </c>
    </row>
    <row r="1846" spans="1:23" ht="13.15" customHeight="1" x14ac:dyDescent="0.2">
      <c r="A1846" s="2" t="s">
        <v>2242</v>
      </c>
      <c r="B1846" s="2">
        <f t="shared" si="56"/>
        <v>2019</v>
      </c>
      <c r="C1846" s="2" t="str">
        <f t="shared" si="57"/>
        <v>EC101</v>
      </c>
      <c r="D1846" s="2">
        <v>228</v>
      </c>
      <c r="F1846" s="1764"/>
      <c r="G1846" s="1764"/>
      <c r="H1846" s="1764"/>
      <c r="I1846" s="1764"/>
      <c r="J1846" s="1764"/>
      <c r="K1846" s="1764"/>
      <c r="L1846" s="1766"/>
      <c r="M1846" s="1766"/>
      <c r="N1846" s="1766"/>
      <c r="O1846" s="1766"/>
      <c r="P1846" s="1766"/>
      <c r="W1846" t="s">
        <v>2089</v>
      </c>
    </row>
    <row r="1847" spans="1:23" ht="13.15" customHeight="1" x14ac:dyDescent="0.2">
      <c r="A1847" s="2" t="s">
        <v>2242</v>
      </c>
      <c r="B1847" s="2">
        <f t="shared" si="56"/>
        <v>2019</v>
      </c>
      <c r="C1847" s="2" t="str">
        <f t="shared" si="57"/>
        <v>EC101</v>
      </c>
      <c r="D1847" s="2">
        <v>229</v>
      </c>
      <c r="F1847" s="1764"/>
      <c r="G1847" s="1764"/>
      <c r="H1847" s="1764"/>
      <c r="I1847" s="1764"/>
      <c r="J1847" s="1764"/>
      <c r="K1847" s="1764"/>
      <c r="L1847" s="1766"/>
      <c r="M1847" s="1766"/>
      <c r="N1847" s="1766"/>
      <c r="O1847" s="1766"/>
      <c r="P1847" s="1766"/>
      <c r="W1847" t="s">
        <v>2089</v>
      </c>
    </row>
    <row r="1848" spans="1:23" ht="13.15" customHeight="1" x14ac:dyDescent="0.2">
      <c r="A1848" s="2" t="s">
        <v>2242</v>
      </c>
      <c r="B1848" s="2">
        <f t="shared" si="56"/>
        <v>2019</v>
      </c>
      <c r="C1848" s="2" t="str">
        <f t="shared" si="57"/>
        <v>EC101</v>
      </c>
      <c r="D1848" s="2">
        <v>230</v>
      </c>
      <c r="F1848" s="1764"/>
      <c r="G1848" s="1764"/>
      <c r="H1848" s="1764"/>
      <c r="I1848" s="1764"/>
      <c r="J1848" s="1764"/>
      <c r="K1848" s="1764"/>
      <c r="L1848" s="1766"/>
      <c r="M1848" s="1766"/>
      <c r="N1848" s="1766"/>
      <c r="O1848" s="1766"/>
      <c r="P1848" s="1766"/>
      <c r="W1848" t="s">
        <v>2089</v>
      </c>
    </row>
    <row r="1849" spans="1:23" ht="13.15" customHeight="1" x14ac:dyDescent="0.2">
      <c r="A1849" s="2" t="s">
        <v>2242</v>
      </c>
      <c r="B1849" s="2">
        <f t="shared" si="56"/>
        <v>2019</v>
      </c>
      <c r="C1849" s="2" t="str">
        <f t="shared" si="57"/>
        <v>EC101</v>
      </c>
      <c r="D1849" s="2">
        <v>231</v>
      </c>
      <c r="F1849" s="1764"/>
      <c r="G1849" s="1764"/>
      <c r="H1849" s="1764"/>
      <c r="I1849" s="1764"/>
      <c r="J1849" s="1764"/>
      <c r="K1849" s="1764"/>
      <c r="L1849" s="1766"/>
      <c r="M1849" s="1766"/>
      <c r="N1849" s="1766"/>
      <c r="O1849" s="1766"/>
      <c r="P1849" s="1766"/>
      <c r="W1849" t="s">
        <v>2089</v>
      </c>
    </row>
    <row r="1850" spans="1:23" ht="13.15" customHeight="1" x14ac:dyDescent="0.2">
      <c r="A1850" s="2" t="s">
        <v>2242</v>
      </c>
      <c r="B1850" s="2">
        <f t="shared" si="56"/>
        <v>2019</v>
      </c>
      <c r="C1850" s="2" t="str">
        <f t="shared" si="57"/>
        <v>EC101</v>
      </c>
      <c r="D1850" s="2">
        <v>232</v>
      </c>
      <c r="F1850" s="1764"/>
      <c r="G1850" s="1764"/>
      <c r="H1850" s="1764"/>
      <c r="I1850" s="1764"/>
      <c r="J1850" s="1764"/>
      <c r="K1850" s="1764"/>
      <c r="L1850" s="1766"/>
      <c r="M1850" s="1766"/>
      <c r="N1850" s="1766"/>
      <c r="O1850" s="1766"/>
      <c r="P1850" s="1766"/>
      <c r="W1850" t="s">
        <v>2089</v>
      </c>
    </row>
    <row r="1851" spans="1:23" ht="13.15" customHeight="1" x14ac:dyDescent="0.2">
      <c r="A1851" s="2" t="s">
        <v>2242</v>
      </c>
      <c r="B1851" s="2">
        <f t="shared" si="56"/>
        <v>2019</v>
      </c>
      <c r="C1851" s="2" t="str">
        <f t="shared" si="57"/>
        <v>EC101</v>
      </c>
      <c r="D1851" s="2">
        <v>233</v>
      </c>
      <c r="F1851" s="1764"/>
      <c r="G1851" s="1764"/>
      <c r="H1851" s="1764"/>
      <c r="I1851" s="1764"/>
      <c r="J1851" s="1764"/>
      <c r="K1851" s="1764"/>
      <c r="L1851" s="1766"/>
      <c r="M1851" s="1766"/>
      <c r="N1851" s="1766"/>
      <c r="O1851" s="1766"/>
      <c r="P1851" s="1766"/>
      <c r="W1851" t="s">
        <v>2089</v>
      </c>
    </row>
    <row r="1852" spans="1:23" ht="13.15" customHeight="1" x14ac:dyDescent="0.2">
      <c r="A1852" s="2" t="s">
        <v>2242</v>
      </c>
      <c r="B1852" s="2">
        <f t="shared" si="56"/>
        <v>2019</v>
      </c>
      <c r="C1852" s="2" t="str">
        <f t="shared" si="57"/>
        <v>EC101</v>
      </c>
      <c r="D1852" s="2">
        <v>234</v>
      </c>
      <c r="F1852" s="1764"/>
      <c r="G1852" s="1764"/>
      <c r="H1852" s="1764"/>
      <c r="I1852" s="1764"/>
      <c r="J1852" s="1764"/>
      <c r="K1852" s="1764"/>
      <c r="L1852" s="1766"/>
      <c r="M1852" s="1766"/>
      <c r="N1852" s="1766"/>
      <c r="O1852" s="1766"/>
      <c r="P1852" s="1766"/>
      <c r="W1852" t="s">
        <v>2089</v>
      </c>
    </row>
    <row r="1853" spans="1:23" ht="13.15" customHeight="1" x14ac:dyDescent="0.2">
      <c r="A1853" s="2" t="s">
        <v>2242</v>
      </c>
      <c r="B1853" s="2">
        <f t="shared" si="56"/>
        <v>2019</v>
      </c>
      <c r="C1853" s="2" t="str">
        <f t="shared" si="57"/>
        <v>EC101</v>
      </c>
      <c r="D1853" s="2">
        <v>235</v>
      </c>
      <c r="F1853" s="1764"/>
      <c r="G1853" s="1764"/>
      <c r="H1853" s="1764"/>
      <c r="I1853" s="1764"/>
      <c r="J1853" s="1764"/>
      <c r="K1853" s="1764"/>
      <c r="L1853" s="1766"/>
      <c r="M1853" s="1766"/>
      <c r="N1853" s="1766"/>
      <c r="O1853" s="1766"/>
      <c r="P1853" s="1766"/>
      <c r="W1853" t="s">
        <v>2089</v>
      </c>
    </row>
    <row r="1854" spans="1:23" ht="13.15" customHeight="1" x14ac:dyDescent="0.2">
      <c r="A1854" s="2" t="s">
        <v>2242</v>
      </c>
      <c r="B1854" s="2">
        <f t="shared" si="56"/>
        <v>2019</v>
      </c>
      <c r="C1854" s="2" t="str">
        <f t="shared" si="57"/>
        <v>EC101</v>
      </c>
      <c r="D1854" s="2">
        <v>236</v>
      </c>
      <c r="F1854" s="1764"/>
      <c r="G1854" s="1764"/>
      <c r="H1854" s="1764"/>
      <c r="I1854" s="1764"/>
      <c r="J1854" s="1764"/>
      <c r="K1854" s="1764"/>
      <c r="L1854" s="1766"/>
      <c r="M1854" s="1766"/>
      <c r="N1854" s="1766"/>
      <c r="O1854" s="1766"/>
      <c r="P1854" s="1766"/>
      <c r="W1854" t="s">
        <v>2089</v>
      </c>
    </row>
    <row r="1855" spans="1:23" ht="13.15" customHeight="1" x14ac:dyDescent="0.2">
      <c r="A1855" s="2" t="s">
        <v>2242</v>
      </c>
      <c r="B1855" s="2">
        <f t="shared" si="56"/>
        <v>2019</v>
      </c>
      <c r="C1855" s="2" t="str">
        <f t="shared" si="57"/>
        <v>EC101</v>
      </c>
      <c r="D1855" s="2">
        <v>237</v>
      </c>
      <c r="F1855" s="1764"/>
      <c r="G1855" s="1764"/>
      <c r="H1855" s="1764"/>
      <c r="I1855" s="1764"/>
      <c r="J1855" s="1764"/>
      <c r="K1855" s="1764"/>
      <c r="L1855" s="1766"/>
      <c r="M1855" s="1766"/>
      <c r="N1855" s="1766"/>
      <c r="O1855" s="1766"/>
      <c r="P1855" s="1766"/>
      <c r="W1855" t="s">
        <v>2089</v>
      </c>
    </row>
    <row r="1856" spans="1:23" ht="13.15" customHeight="1" x14ac:dyDescent="0.2">
      <c r="A1856" s="2" t="s">
        <v>2242</v>
      </c>
      <c r="B1856" s="2">
        <f t="shared" si="56"/>
        <v>2019</v>
      </c>
      <c r="C1856" s="2" t="str">
        <f t="shared" si="57"/>
        <v>EC101</v>
      </c>
      <c r="D1856" s="2">
        <v>238</v>
      </c>
      <c r="F1856" s="1764"/>
      <c r="G1856" s="1764"/>
      <c r="H1856" s="1764"/>
      <c r="I1856" s="1764"/>
      <c r="J1856" s="1764"/>
      <c r="K1856" s="1764"/>
      <c r="L1856" s="1766"/>
      <c r="M1856" s="1766"/>
      <c r="N1856" s="1766"/>
      <c r="O1856" s="1766"/>
      <c r="P1856" s="1766"/>
      <c r="W1856" t="s">
        <v>2089</v>
      </c>
    </row>
    <row r="1857" spans="1:23" ht="13.15" customHeight="1" x14ac:dyDescent="0.2">
      <c r="A1857" s="2" t="s">
        <v>2242</v>
      </c>
      <c r="B1857" s="2">
        <f t="shared" si="56"/>
        <v>2019</v>
      </c>
      <c r="C1857" s="2" t="str">
        <f t="shared" si="57"/>
        <v>EC101</v>
      </c>
      <c r="D1857" s="2">
        <v>239</v>
      </c>
      <c r="F1857" s="1764"/>
      <c r="G1857" s="1764"/>
      <c r="H1857" s="1764"/>
      <c r="I1857" s="1764"/>
      <c r="J1857" s="1764"/>
      <c r="K1857" s="1764"/>
      <c r="L1857" s="1766"/>
      <c r="M1857" s="1766"/>
      <c r="N1857" s="1766"/>
      <c r="O1857" s="1766"/>
      <c r="P1857" s="1766"/>
      <c r="W1857" t="s">
        <v>2089</v>
      </c>
    </row>
    <row r="1858" spans="1:23" ht="13.15" customHeight="1" x14ac:dyDescent="0.2">
      <c r="A1858" s="2" t="s">
        <v>2242</v>
      </c>
      <c r="B1858" s="2">
        <f t="shared" ref="B1858:B1921" si="58">+MTREF</f>
        <v>2019</v>
      </c>
      <c r="C1858" s="2" t="str">
        <f t="shared" ref="C1858:C1921" si="59">LEFT(muni,(FIND(" ",muni,1)-1))</f>
        <v>EC101</v>
      </c>
      <c r="D1858" s="2">
        <v>240</v>
      </c>
      <c r="F1858" s="1764"/>
      <c r="G1858" s="1764"/>
      <c r="H1858" s="1764"/>
      <c r="I1858" s="1764"/>
      <c r="J1858" s="1764"/>
      <c r="K1858" s="1764"/>
      <c r="L1858" s="1766"/>
      <c r="M1858" s="1766"/>
      <c r="N1858" s="1766"/>
      <c r="O1858" s="1766"/>
      <c r="P1858" s="1766"/>
      <c r="W1858" t="s">
        <v>2089</v>
      </c>
    </row>
    <row r="1859" spans="1:23" ht="13.15" customHeight="1" x14ac:dyDescent="0.2">
      <c r="A1859" s="2" t="s">
        <v>2242</v>
      </c>
      <c r="B1859" s="2">
        <f t="shared" si="58"/>
        <v>2019</v>
      </c>
      <c r="C1859" s="2" t="str">
        <f t="shared" si="59"/>
        <v>EC101</v>
      </c>
      <c r="D1859" s="2">
        <v>241</v>
      </c>
      <c r="F1859" s="1764"/>
      <c r="G1859" s="1764"/>
      <c r="H1859" s="1764"/>
      <c r="I1859" s="1764"/>
      <c r="J1859" s="1764"/>
      <c r="K1859" s="1764"/>
      <c r="L1859" s="1766"/>
      <c r="M1859" s="1766"/>
      <c r="N1859" s="1766"/>
      <c r="O1859" s="1766"/>
      <c r="P1859" s="1766"/>
      <c r="W1859" t="s">
        <v>2089</v>
      </c>
    </row>
    <row r="1860" spans="1:23" ht="13.15" customHeight="1" x14ac:dyDescent="0.2">
      <c r="A1860" s="2" t="s">
        <v>2242</v>
      </c>
      <c r="B1860" s="2">
        <f t="shared" si="58"/>
        <v>2019</v>
      </c>
      <c r="C1860" s="2" t="str">
        <f t="shared" si="59"/>
        <v>EC101</v>
      </c>
      <c r="D1860" s="2">
        <v>242</v>
      </c>
      <c r="F1860" s="1764"/>
      <c r="G1860" s="1764"/>
      <c r="H1860" s="1764"/>
      <c r="I1860" s="1764"/>
      <c r="J1860" s="1764"/>
      <c r="K1860" s="1764"/>
      <c r="L1860" s="1766"/>
      <c r="M1860" s="1766"/>
      <c r="N1860" s="1766"/>
      <c r="O1860" s="1766"/>
      <c r="P1860" s="1766"/>
      <c r="W1860" t="s">
        <v>2089</v>
      </c>
    </row>
    <row r="1861" spans="1:23" ht="13.15" customHeight="1" x14ac:dyDescent="0.2">
      <c r="A1861" s="2" t="s">
        <v>2242</v>
      </c>
      <c r="B1861" s="2">
        <f t="shared" si="58"/>
        <v>2019</v>
      </c>
      <c r="C1861" s="2" t="str">
        <f t="shared" si="59"/>
        <v>EC101</v>
      </c>
      <c r="D1861" s="2">
        <v>243</v>
      </c>
      <c r="F1861" s="1764"/>
      <c r="G1861" s="1764"/>
      <c r="H1861" s="1764"/>
      <c r="I1861" s="1764"/>
      <c r="J1861" s="1764"/>
      <c r="K1861" s="1764"/>
      <c r="L1861" s="1766"/>
      <c r="M1861" s="1766"/>
      <c r="N1861" s="1766"/>
      <c r="O1861" s="1766"/>
      <c r="P1861" s="1766"/>
      <c r="W1861" t="s">
        <v>2089</v>
      </c>
    </row>
    <row r="1862" spans="1:23" ht="13.15" customHeight="1" x14ac:dyDescent="0.2">
      <c r="A1862" s="2" t="s">
        <v>2242</v>
      </c>
      <c r="B1862" s="2">
        <f t="shared" si="58"/>
        <v>2019</v>
      </c>
      <c r="C1862" s="2" t="str">
        <f t="shared" si="59"/>
        <v>EC101</v>
      </c>
      <c r="D1862" s="2">
        <v>244</v>
      </c>
      <c r="F1862" s="1764"/>
      <c r="G1862" s="1764"/>
      <c r="H1862" s="1764"/>
      <c r="I1862" s="1764"/>
      <c r="J1862" s="1764"/>
      <c r="K1862" s="1764"/>
      <c r="L1862" s="1766"/>
      <c r="M1862" s="1766"/>
      <c r="N1862" s="1766"/>
      <c r="O1862" s="1766"/>
      <c r="P1862" s="1766"/>
      <c r="W1862" t="s">
        <v>2089</v>
      </c>
    </row>
    <row r="1863" spans="1:23" ht="13.15" customHeight="1" x14ac:dyDescent="0.2">
      <c r="A1863" s="2" t="s">
        <v>2242</v>
      </c>
      <c r="B1863" s="2">
        <f t="shared" si="58"/>
        <v>2019</v>
      </c>
      <c r="C1863" s="2" t="str">
        <f t="shared" si="59"/>
        <v>EC101</v>
      </c>
      <c r="D1863" s="2">
        <v>245</v>
      </c>
      <c r="F1863" s="1764"/>
      <c r="G1863" s="1764"/>
      <c r="H1863" s="1764"/>
      <c r="I1863" s="1764"/>
      <c r="J1863" s="1764"/>
      <c r="K1863" s="1764"/>
      <c r="L1863" s="1766"/>
      <c r="M1863" s="1766"/>
      <c r="N1863" s="1766"/>
      <c r="O1863" s="1766"/>
      <c r="P1863" s="1766"/>
      <c r="W1863" t="s">
        <v>2089</v>
      </c>
    </row>
    <row r="1864" spans="1:23" ht="13.15" customHeight="1" x14ac:dyDescent="0.2">
      <c r="A1864" s="2" t="s">
        <v>2242</v>
      </c>
      <c r="B1864" s="2">
        <f t="shared" si="58"/>
        <v>2019</v>
      </c>
      <c r="C1864" s="2" t="str">
        <f t="shared" si="59"/>
        <v>EC101</v>
      </c>
      <c r="D1864" s="2">
        <v>246</v>
      </c>
      <c r="F1864" s="1764"/>
      <c r="G1864" s="1764"/>
      <c r="H1864" s="1764"/>
      <c r="I1864" s="1764"/>
      <c r="J1864" s="1764"/>
      <c r="K1864" s="1764"/>
      <c r="L1864" s="1766"/>
      <c r="M1864" s="1766"/>
      <c r="N1864" s="1766"/>
      <c r="O1864" s="1766"/>
      <c r="P1864" s="1766"/>
      <c r="W1864" t="s">
        <v>2089</v>
      </c>
    </row>
    <row r="1865" spans="1:23" ht="13.15" customHeight="1" x14ac:dyDescent="0.2">
      <c r="A1865" s="2" t="s">
        <v>2242</v>
      </c>
      <c r="B1865" s="2">
        <f t="shared" si="58"/>
        <v>2019</v>
      </c>
      <c r="C1865" s="2" t="str">
        <f t="shared" si="59"/>
        <v>EC101</v>
      </c>
      <c r="D1865" s="2">
        <v>247</v>
      </c>
      <c r="F1865" s="1764"/>
      <c r="G1865" s="1764"/>
      <c r="H1865" s="1764"/>
      <c r="I1865" s="1764"/>
      <c r="J1865" s="1764"/>
      <c r="K1865" s="1764"/>
      <c r="L1865" s="1766"/>
      <c r="M1865" s="1766"/>
      <c r="N1865" s="1766"/>
      <c r="O1865" s="1766"/>
      <c r="P1865" s="1766"/>
      <c r="W1865" t="s">
        <v>2089</v>
      </c>
    </row>
    <row r="1866" spans="1:23" ht="13.15" customHeight="1" x14ac:dyDescent="0.2">
      <c r="A1866" s="2" t="s">
        <v>2242</v>
      </c>
      <c r="B1866" s="2">
        <f t="shared" si="58"/>
        <v>2019</v>
      </c>
      <c r="C1866" s="2" t="str">
        <f t="shared" si="59"/>
        <v>EC101</v>
      </c>
      <c r="D1866" s="2">
        <v>248</v>
      </c>
      <c r="F1866" s="1764"/>
      <c r="G1866" s="1764"/>
      <c r="H1866" s="1764"/>
      <c r="I1866" s="1764"/>
      <c r="J1866" s="1764"/>
      <c r="K1866" s="1764"/>
      <c r="L1866" s="1766"/>
      <c r="M1866" s="1766"/>
      <c r="N1866" s="1766"/>
      <c r="O1866" s="1766"/>
      <c r="P1866" s="1766"/>
      <c r="W1866" t="s">
        <v>2089</v>
      </c>
    </row>
    <row r="1867" spans="1:23" ht="13.15" customHeight="1" x14ac:dyDescent="0.2">
      <c r="A1867" s="2" t="s">
        <v>2242</v>
      </c>
      <c r="B1867" s="2">
        <f t="shared" si="58"/>
        <v>2019</v>
      </c>
      <c r="C1867" s="2" t="str">
        <f t="shared" si="59"/>
        <v>EC101</v>
      </c>
      <c r="D1867" s="2">
        <v>249</v>
      </c>
      <c r="F1867" s="1764"/>
      <c r="G1867" s="1764"/>
      <c r="H1867" s="1764"/>
      <c r="I1867" s="1764"/>
      <c r="J1867" s="1764"/>
      <c r="K1867" s="1764"/>
      <c r="L1867" s="1766"/>
      <c r="M1867" s="1766"/>
      <c r="N1867" s="1766"/>
      <c r="O1867" s="1766"/>
      <c r="P1867" s="1766"/>
      <c r="W1867" t="s">
        <v>2089</v>
      </c>
    </row>
    <row r="1868" spans="1:23" ht="13.15" customHeight="1" x14ac:dyDescent="0.2">
      <c r="A1868" s="2" t="s">
        <v>2242</v>
      </c>
      <c r="B1868" s="2">
        <f t="shared" si="58"/>
        <v>2019</v>
      </c>
      <c r="C1868" s="2" t="str">
        <f t="shared" si="59"/>
        <v>EC101</v>
      </c>
      <c r="D1868" s="2">
        <v>250</v>
      </c>
      <c r="F1868" s="1764"/>
      <c r="G1868" s="1764"/>
      <c r="H1868" s="1764"/>
      <c r="I1868" s="1764"/>
      <c r="J1868" s="1764"/>
      <c r="K1868" s="1764"/>
      <c r="L1868" s="1766"/>
      <c r="M1868" s="1766"/>
      <c r="N1868" s="1766"/>
      <c r="O1868" s="1766"/>
      <c r="P1868" s="1766"/>
      <c r="W1868" t="s">
        <v>2089</v>
      </c>
    </row>
    <row r="1869" spans="1:23" ht="13.15" customHeight="1" x14ac:dyDescent="0.2">
      <c r="A1869" s="2" t="s">
        <v>2242</v>
      </c>
      <c r="B1869" s="2">
        <f t="shared" si="58"/>
        <v>2019</v>
      </c>
      <c r="C1869" s="2" t="str">
        <f t="shared" si="59"/>
        <v>EC101</v>
      </c>
      <c r="D1869" s="2">
        <v>251</v>
      </c>
      <c r="F1869" s="1764"/>
      <c r="G1869" s="1764"/>
      <c r="H1869" s="1764"/>
      <c r="I1869" s="1764"/>
      <c r="J1869" s="1764"/>
      <c r="K1869" s="1764"/>
      <c r="L1869" s="1766"/>
      <c r="M1869" s="1766"/>
      <c r="N1869" s="1766"/>
      <c r="O1869" s="1766"/>
      <c r="P1869" s="1766"/>
      <c r="W1869" t="s">
        <v>2089</v>
      </c>
    </row>
    <row r="1870" spans="1:23" ht="13.15" customHeight="1" x14ac:dyDescent="0.2">
      <c r="A1870" s="2" t="s">
        <v>2242</v>
      </c>
      <c r="B1870" s="2">
        <f t="shared" si="58"/>
        <v>2019</v>
      </c>
      <c r="C1870" s="2" t="str">
        <f t="shared" si="59"/>
        <v>EC101</v>
      </c>
      <c r="D1870" s="2">
        <v>252</v>
      </c>
      <c r="F1870" s="1764"/>
      <c r="G1870" s="1764"/>
      <c r="H1870" s="1764"/>
      <c r="I1870" s="1764"/>
      <c r="J1870" s="1764"/>
      <c r="K1870" s="1764"/>
      <c r="L1870" s="1766"/>
      <c r="M1870" s="1766"/>
      <c r="N1870" s="1766"/>
      <c r="O1870" s="1766"/>
      <c r="P1870" s="1766"/>
      <c r="W1870" t="s">
        <v>2089</v>
      </c>
    </row>
    <row r="1871" spans="1:23" ht="13.15" customHeight="1" x14ac:dyDescent="0.2">
      <c r="A1871" s="2" t="s">
        <v>2242</v>
      </c>
      <c r="B1871" s="2">
        <f t="shared" si="58"/>
        <v>2019</v>
      </c>
      <c r="C1871" s="2" t="str">
        <f t="shared" si="59"/>
        <v>EC101</v>
      </c>
      <c r="D1871" s="2">
        <v>253</v>
      </c>
      <c r="F1871" s="1764"/>
      <c r="G1871" s="1764"/>
      <c r="H1871" s="1764"/>
      <c r="I1871" s="1764"/>
      <c r="J1871" s="1764"/>
      <c r="K1871" s="1764"/>
      <c r="L1871" s="1766"/>
      <c r="M1871" s="1766"/>
      <c r="N1871" s="1766"/>
      <c r="O1871" s="1766"/>
      <c r="P1871" s="1766"/>
      <c r="W1871" t="s">
        <v>2089</v>
      </c>
    </row>
    <row r="1872" spans="1:23" ht="13.15" customHeight="1" x14ac:dyDescent="0.2">
      <c r="A1872" s="2" t="s">
        <v>2242</v>
      </c>
      <c r="B1872" s="2">
        <f t="shared" si="58"/>
        <v>2019</v>
      </c>
      <c r="C1872" s="2" t="str">
        <f t="shared" si="59"/>
        <v>EC101</v>
      </c>
      <c r="D1872" s="2">
        <v>254</v>
      </c>
      <c r="F1872" s="1764"/>
      <c r="G1872" s="1764"/>
      <c r="H1872" s="1764"/>
      <c r="I1872" s="1764"/>
      <c r="J1872" s="1764"/>
      <c r="K1872" s="1764"/>
      <c r="L1872" s="1766"/>
      <c r="M1872" s="1766"/>
      <c r="N1872" s="1766"/>
      <c r="O1872" s="1766"/>
      <c r="P1872" s="1766"/>
      <c r="W1872" t="s">
        <v>2089</v>
      </c>
    </row>
    <row r="1873" spans="1:23" ht="13.15" customHeight="1" x14ac:dyDescent="0.2">
      <c r="A1873" s="2" t="s">
        <v>2242</v>
      </c>
      <c r="B1873" s="2">
        <f t="shared" si="58"/>
        <v>2019</v>
      </c>
      <c r="C1873" s="2" t="str">
        <f t="shared" si="59"/>
        <v>EC101</v>
      </c>
      <c r="D1873" s="2">
        <v>255</v>
      </c>
      <c r="F1873" s="1764"/>
      <c r="G1873" s="1764"/>
      <c r="H1873" s="1764"/>
      <c r="I1873" s="1764"/>
      <c r="J1873" s="1764"/>
      <c r="K1873" s="1764"/>
      <c r="L1873" s="1766"/>
      <c r="M1873" s="1766"/>
      <c r="N1873" s="1766"/>
      <c r="O1873" s="1766"/>
      <c r="P1873" s="1766"/>
      <c r="W1873" t="s">
        <v>2089</v>
      </c>
    </row>
    <row r="1874" spans="1:23" ht="13.15" customHeight="1" x14ac:dyDescent="0.2">
      <c r="A1874" s="2" t="s">
        <v>2242</v>
      </c>
      <c r="B1874" s="2">
        <f t="shared" si="58"/>
        <v>2019</v>
      </c>
      <c r="C1874" s="2" t="str">
        <f t="shared" si="59"/>
        <v>EC101</v>
      </c>
      <c r="D1874" s="2">
        <v>256</v>
      </c>
      <c r="F1874" s="1764"/>
      <c r="G1874" s="1764"/>
      <c r="H1874" s="1764"/>
      <c r="I1874" s="1764"/>
      <c r="J1874" s="1764"/>
      <c r="K1874" s="1764"/>
      <c r="L1874" s="1766"/>
      <c r="M1874" s="1766"/>
      <c r="N1874" s="1766"/>
      <c r="O1874" s="1766"/>
      <c r="P1874" s="1766"/>
      <c r="W1874" t="s">
        <v>2089</v>
      </c>
    </row>
    <row r="1875" spans="1:23" ht="13.15" customHeight="1" x14ac:dyDescent="0.2">
      <c r="A1875" s="2" t="s">
        <v>2242</v>
      </c>
      <c r="B1875" s="2">
        <f t="shared" si="58"/>
        <v>2019</v>
      </c>
      <c r="C1875" s="2" t="str">
        <f t="shared" si="59"/>
        <v>EC101</v>
      </c>
      <c r="D1875" s="2">
        <v>257</v>
      </c>
      <c r="F1875" s="1764"/>
      <c r="G1875" s="1764"/>
      <c r="H1875" s="1764"/>
      <c r="I1875" s="1764"/>
      <c r="J1875" s="1764"/>
      <c r="K1875" s="1764"/>
      <c r="L1875" s="1766"/>
      <c r="M1875" s="1766"/>
      <c r="N1875" s="1766"/>
      <c r="O1875" s="1766"/>
      <c r="P1875" s="1766"/>
      <c r="W1875" t="s">
        <v>2089</v>
      </c>
    </row>
    <row r="1876" spans="1:23" ht="13.15" customHeight="1" x14ac:dyDescent="0.2">
      <c r="A1876" s="2" t="s">
        <v>2242</v>
      </c>
      <c r="B1876" s="2">
        <f t="shared" si="58"/>
        <v>2019</v>
      </c>
      <c r="C1876" s="2" t="str">
        <f t="shared" si="59"/>
        <v>EC101</v>
      </c>
      <c r="D1876" s="2">
        <v>258</v>
      </c>
      <c r="F1876" s="1764"/>
      <c r="G1876" s="1764"/>
      <c r="H1876" s="1764"/>
      <c r="I1876" s="1764"/>
      <c r="J1876" s="1764"/>
      <c r="K1876" s="1764"/>
      <c r="L1876" s="1766"/>
      <c r="M1876" s="1766"/>
      <c r="N1876" s="1766"/>
      <c r="O1876" s="1766"/>
      <c r="P1876" s="1766"/>
      <c r="W1876" t="s">
        <v>2089</v>
      </c>
    </row>
    <row r="1877" spans="1:23" ht="13.15" customHeight="1" x14ac:dyDescent="0.2">
      <c r="A1877" s="2" t="s">
        <v>2242</v>
      </c>
      <c r="B1877" s="2">
        <f t="shared" si="58"/>
        <v>2019</v>
      </c>
      <c r="C1877" s="2" t="str">
        <f t="shared" si="59"/>
        <v>EC101</v>
      </c>
      <c r="D1877" s="2">
        <v>259</v>
      </c>
      <c r="F1877" s="1764"/>
      <c r="G1877" s="1764"/>
      <c r="H1877" s="1764"/>
      <c r="I1877" s="1764"/>
      <c r="J1877" s="1764"/>
      <c r="K1877" s="1764"/>
      <c r="L1877" s="1766"/>
      <c r="M1877" s="1766"/>
      <c r="N1877" s="1766"/>
      <c r="O1877" s="1766"/>
      <c r="P1877" s="1766"/>
      <c r="W1877" t="s">
        <v>2089</v>
      </c>
    </row>
    <row r="1878" spans="1:23" ht="13.15" customHeight="1" x14ac:dyDescent="0.2">
      <c r="A1878" s="2" t="s">
        <v>2242</v>
      </c>
      <c r="B1878" s="2">
        <f t="shared" si="58"/>
        <v>2019</v>
      </c>
      <c r="C1878" s="2" t="str">
        <f t="shared" si="59"/>
        <v>EC101</v>
      </c>
      <c r="D1878" s="2">
        <v>260</v>
      </c>
      <c r="F1878" s="1764"/>
      <c r="G1878" s="1764"/>
      <c r="H1878" s="1764"/>
      <c r="I1878" s="1764"/>
      <c r="J1878" s="1764"/>
      <c r="K1878" s="1764"/>
      <c r="L1878" s="1766"/>
      <c r="M1878" s="1766"/>
      <c r="N1878" s="1766"/>
      <c r="O1878" s="1766"/>
      <c r="P1878" s="1766"/>
      <c r="W1878" t="s">
        <v>2089</v>
      </c>
    </row>
    <row r="1879" spans="1:23" ht="13.15" customHeight="1" x14ac:dyDescent="0.2">
      <c r="A1879" s="2" t="s">
        <v>2242</v>
      </c>
      <c r="B1879" s="2">
        <f t="shared" si="58"/>
        <v>2019</v>
      </c>
      <c r="C1879" s="2" t="str">
        <f t="shared" si="59"/>
        <v>EC101</v>
      </c>
      <c r="D1879" s="2">
        <v>261</v>
      </c>
      <c r="F1879" s="1764"/>
      <c r="G1879" s="1764"/>
      <c r="H1879" s="1764"/>
      <c r="I1879" s="1764"/>
      <c r="J1879" s="1764"/>
      <c r="K1879" s="1764"/>
      <c r="L1879" s="1766"/>
      <c r="M1879" s="1766"/>
      <c r="N1879" s="1766"/>
      <c r="O1879" s="1766"/>
      <c r="P1879" s="1766"/>
      <c r="W1879" t="s">
        <v>2089</v>
      </c>
    </row>
    <row r="1880" spans="1:23" ht="13.15" customHeight="1" x14ac:dyDescent="0.2">
      <c r="A1880" s="2" t="s">
        <v>2242</v>
      </c>
      <c r="B1880" s="2">
        <f t="shared" si="58"/>
        <v>2019</v>
      </c>
      <c r="C1880" s="2" t="str">
        <f t="shared" si="59"/>
        <v>EC101</v>
      </c>
      <c r="D1880" s="2">
        <v>262</v>
      </c>
      <c r="F1880" s="1764"/>
      <c r="G1880" s="1764"/>
      <c r="H1880" s="1764"/>
      <c r="I1880" s="1764"/>
      <c r="J1880" s="1764"/>
      <c r="K1880" s="1764"/>
      <c r="L1880" s="1766"/>
      <c r="M1880" s="1766"/>
      <c r="N1880" s="1766"/>
      <c r="O1880" s="1766"/>
      <c r="P1880" s="1766"/>
      <c r="W1880" t="s">
        <v>2089</v>
      </c>
    </row>
    <row r="1881" spans="1:23" ht="13.15" customHeight="1" x14ac:dyDescent="0.2">
      <c r="A1881" s="2" t="s">
        <v>2242</v>
      </c>
      <c r="B1881" s="2">
        <f t="shared" si="58"/>
        <v>2019</v>
      </c>
      <c r="C1881" s="2" t="str">
        <f t="shared" si="59"/>
        <v>EC101</v>
      </c>
      <c r="D1881" s="2">
        <v>263</v>
      </c>
      <c r="F1881" s="1764"/>
      <c r="G1881" s="1764"/>
      <c r="H1881" s="1764"/>
      <c r="I1881" s="1764"/>
      <c r="J1881" s="1764"/>
      <c r="K1881" s="1764"/>
      <c r="L1881" s="1766"/>
      <c r="M1881" s="1766"/>
      <c r="N1881" s="1766"/>
      <c r="O1881" s="1766"/>
      <c r="P1881" s="1766"/>
      <c r="W1881" t="s">
        <v>2089</v>
      </c>
    </row>
    <row r="1882" spans="1:23" ht="13.15" customHeight="1" x14ac:dyDescent="0.2">
      <c r="A1882" s="2" t="s">
        <v>2242</v>
      </c>
      <c r="B1882" s="2">
        <f t="shared" si="58"/>
        <v>2019</v>
      </c>
      <c r="C1882" s="2" t="str">
        <f t="shared" si="59"/>
        <v>EC101</v>
      </c>
      <c r="D1882" s="2">
        <v>264</v>
      </c>
      <c r="F1882" s="1764"/>
      <c r="G1882" s="1764"/>
      <c r="H1882" s="1764"/>
      <c r="I1882" s="1764"/>
      <c r="J1882" s="1764"/>
      <c r="K1882" s="1764"/>
      <c r="L1882" s="1766"/>
      <c r="M1882" s="1766"/>
      <c r="N1882" s="1766"/>
      <c r="O1882" s="1766"/>
      <c r="P1882" s="1766"/>
      <c r="W1882" t="s">
        <v>2089</v>
      </c>
    </row>
    <row r="1883" spans="1:23" ht="13.15" customHeight="1" x14ac:dyDescent="0.2">
      <c r="A1883" s="2" t="s">
        <v>2242</v>
      </c>
      <c r="B1883" s="2">
        <f t="shared" si="58"/>
        <v>2019</v>
      </c>
      <c r="C1883" s="2" t="str">
        <f t="shared" si="59"/>
        <v>EC101</v>
      </c>
      <c r="D1883" s="2">
        <v>265</v>
      </c>
      <c r="F1883" s="1764"/>
      <c r="G1883" s="1764"/>
      <c r="H1883" s="1764"/>
      <c r="I1883" s="1764"/>
      <c r="J1883" s="1764"/>
      <c r="K1883" s="1764"/>
      <c r="L1883" s="1766"/>
      <c r="M1883" s="1766"/>
      <c r="N1883" s="1766"/>
      <c r="O1883" s="1766"/>
      <c r="P1883" s="1766"/>
      <c r="W1883" t="s">
        <v>2089</v>
      </c>
    </row>
    <row r="1884" spans="1:23" ht="13.15" customHeight="1" x14ac:dyDescent="0.2">
      <c r="A1884" s="2" t="s">
        <v>2242</v>
      </c>
      <c r="B1884" s="2">
        <f t="shared" si="58"/>
        <v>2019</v>
      </c>
      <c r="C1884" s="2" t="str">
        <f t="shared" si="59"/>
        <v>EC101</v>
      </c>
      <c r="D1884" s="2">
        <v>266</v>
      </c>
      <c r="F1884" s="1764"/>
      <c r="G1884" s="1764"/>
      <c r="H1884" s="1764"/>
      <c r="I1884" s="1764"/>
      <c r="J1884" s="1764"/>
      <c r="K1884" s="1764"/>
      <c r="L1884" s="1766"/>
      <c r="M1884" s="1766"/>
      <c r="N1884" s="1766"/>
      <c r="O1884" s="1766"/>
      <c r="P1884" s="1766"/>
      <c r="W1884" t="s">
        <v>2089</v>
      </c>
    </row>
    <row r="1885" spans="1:23" ht="13.15" customHeight="1" x14ac:dyDescent="0.2">
      <c r="A1885" s="2" t="s">
        <v>2242</v>
      </c>
      <c r="B1885" s="2">
        <f t="shared" si="58"/>
        <v>2019</v>
      </c>
      <c r="C1885" s="2" t="str">
        <f t="shared" si="59"/>
        <v>EC101</v>
      </c>
      <c r="D1885" s="2">
        <v>267</v>
      </c>
      <c r="F1885" s="1764"/>
      <c r="G1885" s="1764"/>
      <c r="H1885" s="1764"/>
      <c r="I1885" s="1764"/>
      <c r="J1885" s="1764"/>
      <c r="K1885" s="1764"/>
      <c r="L1885" s="1766"/>
      <c r="M1885" s="1766"/>
      <c r="N1885" s="1766"/>
      <c r="O1885" s="1766"/>
      <c r="P1885" s="1766"/>
      <c r="W1885" t="s">
        <v>2089</v>
      </c>
    </row>
    <row r="1886" spans="1:23" ht="13.15" customHeight="1" x14ac:dyDescent="0.2">
      <c r="A1886" s="2" t="s">
        <v>2242</v>
      </c>
      <c r="B1886" s="2">
        <f t="shared" si="58"/>
        <v>2019</v>
      </c>
      <c r="C1886" s="2" t="str">
        <f t="shared" si="59"/>
        <v>EC101</v>
      </c>
      <c r="D1886" s="2">
        <v>268</v>
      </c>
      <c r="F1886" s="1764"/>
      <c r="G1886" s="1764"/>
      <c r="H1886" s="1764"/>
      <c r="I1886" s="1764"/>
      <c r="J1886" s="1764"/>
      <c r="K1886" s="1764"/>
      <c r="L1886" s="1766"/>
      <c r="M1886" s="1766"/>
      <c r="N1886" s="1766"/>
      <c r="O1886" s="1766"/>
      <c r="P1886" s="1766"/>
      <c r="W1886" t="s">
        <v>2089</v>
      </c>
    </row>
    <row r="1887" spans="1:23" ht="13.15" customHeight="1" x14ac:dyDescent="0.2">
      <c r="A1887" s="2" t="s">
        <v>2242</v>
      </c>
      <c r="B1887" s="2">
        <f t="shared" si="58"/>
        <v>2019</v>
      </c>
      <c r="C1887" s="2" t="str">
        <f t="shared" si="59"/>
        <v>EC101</v>
      </c>
      <c r="D1887" s="2">
        <v>269</v>
      </c>
      <c r="F1887" s="1764"/>
      <c r="G1887" s="1764"/>
      <c r="H1887" s="1764"/>
      <c r="I1887" s="1764"/>
      <c r="J1887" s="1764"/>
      <c r="K1887" s="1764"/>
      <c r="L1887" s="1766"/>
      <c r="M1887" s="1766"/>
      <c r="N1887" s="1766"/>
      <c r="O1887" s="1766"/>
      <c r="P1887" s="1766"/>
      <c r="W1887" t="s">
        <v>2089</v>
      </c>
    </row>
    <row r="1888" spans="1:23" ht="13.15" customHeight="1" x14ac:dyDescent="0.2">
      <c r="A1888" s="2" t="s">
        <v>2242</v>
      </c>
      <c r="B1888" s="2">
        <f t="shared" si="58"/>
        <v>2019</v>
      </c>
      <c r="C1888" s="2" t="str">
        <f t="shared" si="59"/>
        <v>EC101</v>
      </c>
      <c r="D1888" s="2">
        <v>270</v>
      </c>
      <c r="F1888" s="1764"/>
      <c r="G1888" s="1764"/>
      <c r="H1888" s="1764"/>
      <c r="I1888" s="1764"/>
      <c r="J1888" s="1764"/>
      <c r="K1888" s="1764"/>
      <c r="L1888" s="1766"/>
      <c r="M1888" s="1766"/>
      <c r="N1888" s="1766"/>
      <c r="O1888" s="1766"/>
      <c r="P1888" s="1766"/>
      <c r="W1888" t="s">
        <v>2089</v>
      </c>
    </row>
    <row r="1889" spans="1:23" ht="13.15" customHeight="1" x14ac:dyDescent="0.2">
      <c r="A1889" s="2" t="s">
        <v>2242</v>
      </c>
      <c r="B1889" s="2">
        <f t="shared" si="58"/>
        <v>2019</v>
      </c>
      <c r="C1889" s="2" t="str">
        <f t="shared" si="59"/>
        <v>EC101</v>
      </c>
      <c r="D1889" s="2">
        <v>271</v>
      </c>
      <c r="F1889" s="1764"/>
      <c r="G1889" s="1764"/>
      <c r="H1889" s="1764"/>
      <c r="I1889" s="1764"/>
      <c r="J1889" s="1764"/>
      <c r="K1889" s="1764"/>
      <c r="L1889" s="1766"/>
      <c r="M1889" s="1766"/>
      <c r="N1889" s="1766"/>
      <c r="O1889" s="1766"/>
      <c r="P1889" s="1766"/>
      <c r="W1889" t="s">
        <v>2089</v>
      </c>
    </row>
    <row r="1890" spans="1:23" ht="13.15" customHeight="1" x14ac:dyDescent="0.2">
      <c r="A1890" s="2" t="s">
        <v>2242</v>
      </c>
      <c r="B1890" s="2">
        <f t="shared" si="58"/>
        <v>2019</v>
      </c>
      <c r="C1890" s="2" t="str">
        <f t="shared" si="59"/>
        <v>EC101</v>
      </c>
      <c r="D1890" s="2">
        <v>272</v>
      </c>
      <c r="F1890" s="1764"/>
      <c r="G1890" s="1764"/>
      <c r="H1890" s="1764"/>
      <c r="I1890" s="1764"/>
      <c r="J1890" s="1764"/>
      <c r="K1890" s="1764"/>
      <c r="L1890" s="1766"/>
      <c r="M1890" s="1766"/>
      <c r="N1890" s="1766"/>
      <c r="O1890" s="1766"/>
      <c r="P1890" s="1766"/>
      <c r="W1890" t="s">
        <v>2089</v>
      </c>
    </row>
    <row r="1891" spans="1:23" ht="13.15" customHeight="1" x14ac:dyDescent="0.2">
      <c r="A1891" s="2" t="s">
        <v>2242</v>
      </c>
      <c r="B1891" s="2">
        <f t="shared" si="58"/>
        <v>2019</v>
      </c>
      <c r="C1891" s="2" t="str">
        <f t="shared" si="59"/>
        <v>EC101</v>
      </c>
      <c r="D1891" s="2">
        <v>273</v>
      </c>
      <c r="F1891" s="1764"/>
      <c r="G1891" s="1764"/>
      <c r="H1891" s="1764"/>
      <c r="I1891" s="1764"/>
      <c r="J1891" s="1764"/>
      <c r="K1891" s="1764"/>
      <c r="L1891" s="1766"/>
      <c r="M1891" s="1766"/>
      <c r="N1891" s="1766"/>
      <c r="O1891" s="1766"/>
      <c r="P1891" s="1766"/>
      <c r="W1891" t="s">
        <v>2089</v>
      </c>
    </row>
    <row r="1892" spans="1:23" ht="13.15" customHeight="1" x14ac:dyDescent="0.2">
      <c r="A1892" s="2" t="s">
        <v>2242</v>
      </c>
      <c r="B1892" s="2">
        <f t="shared" si="58"/>
        <v>2019</v>
      </c>
      <c r="C1892" s="2" t="str">
        <f t="shared" si="59"/>
        <v>EC101</v>
      </c>
      <c r="D1892" s="2">
        <v>274</v>
      </c>
      <c r="F1892" s="1764"/>
      <c r="G1892" s="1764"/>
      <c r="H1892" s="1764"/>
      <c r="I1892" s="1764"/>
      <c r="J1892" s="1764"/>
      <c r="K1892" s="1764"/>
      <c r="L1892" s="1766"/>
      <c r="M1892" s="1766"/>
      <c r="N1892" s="1766"/>
      <c r="O1892" s="1766"/>
      <c r="P1892" s="1766"/>
      <c r="W1892" t="s">
        <v>2089</v>
      </c>
    </row>
    <row r="1893" spans="1:23" ht="13.15" customHeight="1" x14ac:dyDescent="0.2">
      <c r="A1893" s="2" t="s">
        <v>2242</v>
      </c>
      <c r="B1893" s="2">
        <f t="shared" si="58"/>
        <v>2019</v>
      </c>
      <c r="C1893" s="2" t="str">
        <f t="shared" si="59"/>
        <v>EC101</v>
      </c>
      <c r="D1893" s="2">
        <v>275</v>
      </c>
      <c r="F1893" s="1764"/>
      <c r="G1893" s="1764"/>
      <c r="H1893" s="1764"/>
      <c r="I1893" s="1764"/>
      <c r="J1893" s="1764"/>
      <c r="K1893" s="1764"/>
      <c r="L1893" s="1766"/>
      <c r="M1893" s="1766"/>
      <c r="N1893" s="1766"/>
      <c r="O1893" s="1766"/>
      <c r="P1893" s="1766"/>
      <c r="W1893" t="s">
        <v>2089</v>
      </c>
    </row>
    <row r="1894" spans="1:23" ht="13.15" customHeight="1" x14ac:dyDescent="0.2">
      <c r="A1894" s="2" t="s">
        <v>2242</v>
      </c>
      <c r="B1894" s="2">
        <f t="shared" si="58"/>
        <v>2019</v>
      </c>
      <c r="C1894" s="2" t="str">
        <f t="shared" si="59"/>
        <v>EC101</v>
      </c>
      <c r="D1894" s="2">
        <v>276</v>
      </c>
      <c r="F1894" s="1764"/>
      <c r="G1894" s="1764"/>
      <c r="H1894" s="1764"/>
      <c r="I1894" s="1764"/>
      <c r="J1894" s="1764"/>
      <c r="K1894" s="1764"/>
      <c r="L1894" s="1766"/>
      <c r="M1894" s="1766"/>
      <c r="N1894" s="1766"/>
      <c r="O1894" s="1766"/>
      <c r="P1894" s="1766"/>
      <c r="W1894" t="s">
        <v>2089</v>
      </c>
    </row>
    <row r="1895" spans="1:23" ht="13.15" customHeight="1" x14ac:dyDescent="0.2">
      <c r="A1895" s="2" t="s">
        <v>2242</v>
      </c>
      <c r="B1895" s="2">
        <f t="shared" si="58"/>
        <v>2019</v>
      </c>
      <c r="C1895" s="2" t="str">
        <f t="shared" si="59"/>
        <v>EC101</v>
      </c>
      <c r="D1895" s="2">
        <v>277</v>
      </c>
      <c r="F1895" s="1764"/>
      <c r="G1895" s="1764"/>
      <c r="H1895" s="1764"/>
      <c r="I1895" s="1764"/>
      <c r="J1895" s="1764"/>
      <c r="K1895" s="1764"/>
      <c r="L1895" s="1766"/>
      <c r="M1895" s="1766"/>
      <c r="N1895" s="1766"/>
      <c r="O1895" s="1766"/>
      <c r="P1895" s="1766"/>
      <c r="W1895" t="s">
        <v>2089</v>
      </c>
    </row>
    <row r="1896" spans="1:23" ht="13.15" customHeight="1" x14ac:dyDescent="0.2">
      <c r="A1896" s="2" t="s">
        <v>2242</v>
      </c>
      <c r="B1896" s="2">
        <f t="shared" si="58"/>
        <v>2019</v>
      </c>
      <c r="C1896" s="2" t="str">
        <f t="shared" si="59"/>
        <v>EC101</v>
      </c>
      <c r="D1896" s="2">
        <v>278</v>
      </c>
      <c r="F1896" s="1764"/>
      <c r="G1896" s="1764"/>
      <c r="H1896" s="1764"/>
      <c r="I1896" s="1764"/>
      <c r="J1896" s="1764"/>
      <c r="K1896" s="1764"/>
      <c r="L1896" s="1766"/>
      <c r="M1896" s="1766"/>
      <c r="N1896" s="1766"/>
      <c r="O1896" s="1766"/>
      <c r="P1896" s="1766"/>
      <c r="W1896" t="s">
        <v>2089</v>
      </c>
    </row>
    <row r="1897" spans="1:23" ht="13.15" customHeight="1" x14ac:dyDescent="0.2">
      <c r="A1897" s="2" t="s">
        <v>2242</v>
      </c>
      <c r="B1897" s="2">
        <f t="shared" si="58"/>
        <v>2019</v>
      </c>
      <c r="C1897" s="2" t="str">
        <f t="shared" si="59"/>
        <v>EC101</v>
      </c>
      <c r="D1897" s="2">
        <v>279</v>
      </c>
      <c r="F1897" s="1764"/>
      <c r="G1897" s="1764"/>
      <c r="H1897" s="1764"/>
      <c r="I1897" s="1764"/>
      <c r="J1897" s="1764"/>
      <c r="K1897" s="1764"/>
      <c r="L1897" s="1766"/>
      <c r="M1897" s="1766"/>
      <c r="N1897" s="1766"/>
      <c r="O1897" s="1766"/>
      <c r="P1897" s="1766"/>
      <c r="W1897" t="s">
        <v>2089</v>
      </c>
    </row>
    <row r="1898" spans="1:23" ht="13.15" customHeight="1" x14ac:dyDescent="0.2">
      <c r="A1898" s="2" t="s">
        <v>2242</v>
      </c>
      <c r="B1898" s="2">
        <f t="shared" si="58"/>
        <v>2019</v>
      </c>
      <c r="C1898" s="2" t="str">
        <f t="shared" si="59"/>
        <v>EC101</v>
      </c>
      <c r="D1898" s="2">
        <v>280</v>
      </c>
      <c r="F1898" s="1764"/>
      <c r="G1898" s="1764"/>
      <c r="H1898" s="1764"/>
      <c r="I1898" s="1764"/>
      <c r="J1898" s="1764"/>
      <c r="K1898" s="1764"/>
      <c r="L1898" s="1766"/>
      <c r="M1898" s="1766"/>
      <c r="N1898" s="1766"/>
      <c r="O1898" s="1766"/>
      <c r="P1898" s="1766"/>
      <c r="W1898" t="s">
        <v>2089</v>
      </c>
    </row>
    <row r="1899" spans="1:23" ht="13.15" customHeight="1" x14ac:dyDescent="0.2">
      <c r="A1899" s="2" t="s">
        <v>2242</v>
      </c>
      <c r="B1899" s="2">
        <f t="shared" si="58"/>
        <v>2019</v>
      </c>
      <c r="C1899" s="2" t="str">
        <f t="shared" si="59"/>
        <v>EC101</v>
      </c>
      <c r="D1899" s="2">
        <v>281</v>
      </c>
      <c r="F1899" s="1764"/>
      <c r="G1899" s="1764"/>
      <c r="H1899" s="1764"/>
      <c r="I1899" s="1764"/>
      <c r="J1899" s="1764"/>
      <c r="K1899" s="1764"/>
      <c r="L1899" s="1766"/>
      <c r="M1899" s="1766"/>
      <c r="N1899" s="1766"/>
      <c r="O1899" s="1766"/>
      <c r="P1899" s="1766"/>
      <c r="W1899" t="s">
        <v>2089</v>
      </c>
    </row>
    <row r="1900" spans="1:23" ht="13.15" customHeight="1" x14ac:dyDescent="0.2">
      <c r="A1900" s="2" t="s">
        <v>2242</v>
      </c>
      <c r="B1900" s="2">
        <f t="shared" si="58"/>
        <v>2019</v>
      </c>
      <c r="C1900" s="2" t="str">
        <f t="shared" si="59"/>
        <v>EC101</v>
      </c>
      <c r="D1900" s="2">
        <v>282</v>
      </c>
      <c r="F1900" s="1764"/>
      <c r="G1900" s="1764"/>
      <c r="H1900" s="1764"/>
      <c r="I1900" s="1764"/>
      <c r="J1900" s="1764"/>
      <c r="K1900" s="1764"/>
      <c r="L1900" s="1766"/>
      <c r="M1900" s="1766"/>
      <c r="N1900" s="1766"/>
      <c r="O1900" s="1766"/>
      <c r="P1900" s="1766"/>
      <c r="W1900" t="s">
        <v>2089</v>
      </c>
    </row>
    <row r="1901" spans="1:23" ht="13.15" customHeight="1" x14ac:dyDescent="0.2">
      <c r="A1901" s="2" t="s">
        <v>2242</v>
      </c>
      <c r="B1901" s="2">
        <f t="shared" si="58"/>
        <v>2019</v>
      </c>
      <c r="C1901" s="2" t="str">
        <f t="shared" si="59"/>
        <v>EC101</v>
      </c>
      <c r="D1901" s="2">
        <v>283</v>
      </c>
      <c r="F1901" s="1764"/>
      <c r="G1901" s="1764"/>
      <c r="H1901" s="1764"/>
      <c r="I1901" s="1764"/>
      <c r="J1901" s="1764"/>
      <c r="K1901" s="1764"/>
      <c r="L1901" s="1766"/>
      <c r="M1901" s="1766"/>
      <c r="N1901" s="1766"/>
      <c r="O1901" s="1766"/>
      <c r="P1901" s="1766"/>
      <c r="W1901" t="s">
        <v>2089</v>
      </c>
    </row>
    <row r="1902" spans="1:23" ht="13.15" customHeight="1" x14ac:dyDescent="0.2">
      <c r="A1902" s="2" t="s">
        <v>2242</v>
      </c>
      <c r="B1902" s="2">
        <f t="shared" si="58"/>
        <v>2019</v>
      </c>
      <c r="C1902" s="2" t="str">
        <f t="shared" si="59"/>
        <v>EC101</v>
      </c>
      <c r="D1902" s="2">
        <v>284</v>
      </c>
      <c r="F1902" s="1764"/>
      <c r="G1902" s="1764"/>
      <c r="H1902" s="1764"/>
      <c r="I1902" s="1764"/>
      <c r="J1902" s="1764"/>
      <c r="K1902" s="1764"/>
      <c r="L1902" s="1766"/>
      <c r="M1902" s="1766"/>
      <c r="N1902" s="1766"/>
      <c r="O1902" s="1766"/>
      <c r="P1902" s="1766"/>
      <c r="W1902" t="s">
        <v>2089</v>
      </c>
    </row>
    <row r="1903" spans="1:23" ht="13.15" customHeight="1" x14ac:dyDescent="0.2">
      <c r="A1903" s="2" t="s">
        <v>2242</v>
      </c>
      <c r="B1903" s="2">
        <f t="shared" si="58"/>
        <v>2019</v>
      </c>
      <c r="C1903" s="2" t="str">
        <f t="shared" si="59"/>
        <v>EC101</v>
      </c>
      <c r="D1903" s="2">
        <v>285</v>
      </c>
      <c r="F1903" s="1764"/>
      <c r="G1903" s="1764"/>
      <c r="H1903" s="1764"/>
      <c r="I1903" s="1764"/>
      <c r="J1903" s="1764"/>
      <c r="K1903" s="1764"/>
      <c r="L1903" s="1766"/>
      <c r="M1903" s="1766"/>
      <c r="N1903" s="1766"/>
      <c r="O1903" s="1766"/>
      <c r="P1903" s="1766"/>
      <c r="W1903" t="s">
        <v>2089</v>
      </c>
    </row>
    <row r="1904" spans="1:23" ht="13.15" customHeight="1" x14ac:dyDescent="0.2">
      <c r="A1904" s="2" t="s">
        <v>2242</v>
      </c>
      <c r="B1904" s="2">
        <f t="shared" si="58"/>
        <v>2019</v>
      </c>
      <c r="C1904" s="2" t="str">
        <f t="shared" si="59"/>
        <v>EC101</v>
      </c>
      <c r="D1904" s="2">
        <v>286</v>
      </c>
      <c r="F1904" s="1764"/>
      <c r="G1904" s="1764"/>
      <c r="H1904" s="1764"/>
      <c r="I1904" s="1764"/>
      <c r="J1904" s="1764"/>
      <c r="K1904" s="1764"/>
      <c r="L1904" s="1766"/>
      <c r="M1904" s="1766"/>
      <c r="N1904" s="1766"/>
      <c r="O1904" s="1766"/>
      <c r="P1904" s="1766"/>
      <c r="W1904" t="s">
        <v>2089</v>
      </c>
    </row>
    <row r="1905" spans="1:23" ht="13.15" customHeight="1" x14ac:dyDescent="0.2">
      <c r="A1905" s="2" t="s">
        <v>2242</v>
      </c>
      <c r="B1905" s="2">
        <f t="shared" si="58"/>
        <v>2019</v>
      </c>
      <c r="C1905" s="2" t="str">
        <f t="shared" si="59"/>
        <v>EC101</v>
      </c>
      <c r="D1905" s="2">
        <v>287</v>
      </c>
      <c r="F1905" s="1764"/>
      <c r="G1905" s="1764"/>
      <c r="H1905" s="1764"/>
      <c r="I1905" s="1764"/>
      <c r="J1905" s="1764"/>
      <c r="K1905" s="1764"/>
      <c r="L1905" s="1766"/>
      <c r="M1905" s="1766"/>
      <c r="N1905" s="1766"/>
      <c r="O1905" s="1766"/>
      <c r="P1905" s="1766"/>
      <c r="W1905" t="s">
        <v>2089</v>
      </c>
    </row>
    <row r="1906" spans="1:23" ht="13.15" customHeight="1" x14ac:dyDescent="0.2">
      <c r="A1906" s="2" t="s">
        <v>2242</v>
      </c>
      <c r="B1906" s="2">
        <f t="shared" si="58"/>
        <v>2019</v>
      </c>
      <c r="C1906" s="2" t="str">
        <f t="shared" si="59"/>
        <v>EC101</v>
      </c>
      <c r="D1906" s="2">
        <v>288</v>
      </c>
      <c r="F1906" s="1764"/>
      <c r="G1906" s="1764"/>
      <c r="H1906" s="1764"/>
      <c r="I1906" s="1764"/>
      <c r="J1906" s="1764"/>
      <c r="K1906" s="1764"/>
      <c r="L1906" s="1766"/>
      <c r="M1906" s="1766"/>
      <c r="N1906" s="1766"/>
      <c r="O1906" s="1766"/>
      <c r="P1906" s="1766"/>
      <c r="W1906" t="s">
        <v>2089</v>
      </c>
    </row>
    <row r="1907" spans="1:23" ht="13.15" customHeight="1" x14ac:dyDescent="0.2">
      <c r="A1907" s="2" t="s">
        <v>2242</v>
      </c>
      <c r="B1907" s="2">
        <f t="shared" si="58"/>
        <v>2019</v>
      </c>
      <c r="C1907" s="2" t="str">
        <f t="shared" si="59"/>
        <v>EC101</v>
      </c>
      <c r="D1907" s="2">
        <v>289</v>
      </c>
      <c r="F1907" s="1764"/>
      <c r="G1907" s="1764"/>
      <c r="H1907" s="1764"/>
      <c r="I1907" s="1764"/>
      <c r="J1907" s="1764"/>
      <c r="K1907" s="1764"/>
      <c r="L1907" s="1766"/>
      <c r="M1907" s="1766"/>
      <c r="N1907" s="1766"/>
      <c r="O1907" s="1766"/>
      <c r="P1907" s="1766"/>
      <c r="W1907" t="s">
        <v>2089</v>
      </c>
    </row>
    <row r="1908" spans="1:23" ht="13.15" customHeight="1" x14ac:dyDescent="0.2">
      <c r="A1908" s="2" t="s">
        <v>2242</v>
      </c>
      <c r="B1908" s="2">
        <f t="shared" si="58"/>
        <v>2019</v>
      </c>
      <c r="C1908" s="2" t="str">
        <f t="shared" si="59"/>
        <v>EC101</v>
      </c>
      <c r="D1908" s="2">
        <v>290</v>
      </c>
      <c r="F1908" s="1764"/>
      <c r="G1908" s="1764"/>
      <c r="H1908" s="1764"/>
      <c r="I1908" s="1764"/>
      <c r="J1908" s="1764"/>
      <c r="K1908" s="1764"/>
      <c r="L1908" s="1766"/>
      <c r="M1908" s="1766"/>
      <c r="N1908" s="1766"/>
      <c r="O1908" s="1766"/>
      <c r="P1908" s="1766"/>
      <c r="W1908" t="s">
        <v>2089</v>
      </c>
    </row>
    <row r="1909" spans="1:23" ht="13.15" customHeight="1" x14ac:dyDescent="0.2">
      <c r="A1909" s="2" t="s">
        <v>2242</v>
      </c>
      <c r="B1909" s="2">
        <f t="shared" si="58"/>
        <v>2019</v>
      </c>
      <c r="C1909" s="2" t="str">
        <f t="shared" si="59"/>
        <v>EC101</v>
      </c>
      <c r="D1909" s="2">
        <v>291</v>
      </c>
      <c r="F1909" s="1764"/>
      <c r="G1909" s="1764"/>
      <c r="H1909" s="1764"/>
      <c r="I1909" s="1764"/>
      <c r="J1909" s="1764"/>
      <c r="K1909" s="1764"/>
      <c r="L1909" s="1766"/>
      <c r="M1909" s="1766"/>
      <c r="N1909" s="1766"/>
      <c r="O1909" s="1766"/>
      <c r="P1909" s="1766"/>
      <c r="W1909" t="s">
        <v>2089</v>
      </c>
    </row>
    <row r="1910" spans="1:23" ht="13.15" customHeight="1" x14ac:dyDescent="0.2">
      <c r="A1910" s="2" t="s">
        <v>2242</v>
      </c>
      <c r="B1910" s="2">
        <f t="shared" si="58"/>
        <v>2019</v>
      </c>
      <c r="C1910" s="2" t="str">
        <f t="shared" si="59"/>
        <v>EC101</v>
      </c>
      <c r="D1910" s="2">
        <v>292</v>
      </c>
      <c r="F1910" s="1764"/>
      <c r="G1910" s="1764"/>
      <c r="H1910" s="1764"/>
      <c r="I1910" s="1764"/>
      <c r="J1910" s="1764"/>
      <c r="K1910" s="1764"/>
      <c r="L1910" s="1766"/>
      <c r="M1910" s="1766"/>
      <c r="N1910" s="1766"/>
      <c r="O1910" s="1766"/>
      <c r="P1910" s="1766"/>
      <c r="W1910" t="s">
        <v>2089</v>
      </c>
    </row>
    <row r="1911" spans="1:23" ht="13.15" customHeight="1" x14ac:dyDescent="0.2">
      <c r="A1911" s="2" t="s">
        <v>2242</v>
      </c>
      <c r="B1911" s="2">
        <f t="shared" si="58"/>
        <v>2019</v>
      </c>
      <c r="C1911" s="2" t="str">
        <f t="shared" si="59"/>
        <v>EC101</v>
      </c>
      <c r="D1911" s="2">
        <v>293</v>
      </c>
      <c r="F1911" s="1764"/>
      <c r="G1911" s="1764"/>
      <c r="H1911" s="1764"/>
      <c r="I1911" s="1764"/>
      <c r="J1911" s="1764"/>
      <c r="K1911" s="1764"/>
      <c r="L1911" s="1766"/>
      <c r="M1911" s="1766"/>
      <c r="N1911" s="1766"/>
      <c r="O1911" s="1766"/>
      <c r="P1911" s="1766"/>
      <c r="W1911" t="s">
        <v>2089</v>
      </c>
    </row>
    <row r="1912" spans="1:23" ht="13.15" customHeight="1" x14ac:dyDescent="0.2">
      <c r="A1912" s="2" t="s">
        <v>2242</v>
      </c>
      <c r="B1912" s="2">
        <f t="shared" si="58"/>
        <v>2019</v>
      </c>
      <c r="C1912" s="2" t="str">
        <f t="shared" si="59"/>
        <v>EC101</v>
      </c>
      <c r="D1912" s="2">
        <v>294</v>
      </c>
      <c r="F1912" s="1764"/>
      <c r="G1912" s="1764"/>
      <c r="H1912" s="1764"/>
      <c r="I1912" s="1764"/>
      <c r="J1912" s="1764"/>
      <c r="K1912" s="1764"/>
      <c r="L1912" s="1766"/>
      <c r="M1912" s="1766"/>
      <c r="N1912" s="1766"/>
      <c r="O1912" s="1766"/>
      <c r="P1912" s="1766"/>
      <c r="W1912" t="s">
        <v>2089</v>
      </c>
    </row>
    <row r="1913" spans="1:23" ht="13.15" customHeight="1" x14ac:dyDescent="0.2">
      <c r="A1913" s="2" t="s">
        <v>2242</v>
      </c>
      <c r="B1913" s="2">
        <f t="shared" si="58"/>
        <v>2019</v>
      </c>
      <c r="C1913" s="2" t="str">
        <f t="shared" si="59"/>
        <v>EC101</v>
      </c>
      <c r="D1913" s="2">
        <v>295</v>
      </c>
      <c r="F1913" s="1764"/>
      <c r="G1913" s="1764"/>
      <c r="H1913" s="1764"/>
      <c r="I1913" s="1764"/>
      <c r="J1913" s="1764"/>
      <c r="K1913" s="1764"/>
      <c r="L1913" s="1766"/>
      <c r="M1913" s="1766"/>
      <c r="N1913" s="1766"/>
      <c r="O1913" s="1766"/>
      <c r="P1913" s="1766"/>
      <c r="W1913" t="s">
        <v>2089</v>
      </c>
    </row>
    <row r="1914" spans="1:23" ht="13.15" customHeight="1" x14ac:dyDescent="0.2">
      <c r="A1914" s="2" t="s">
        <v>2242</v>
      </c>
      <c r="B1914" s="2">
        <f t="shared" si="58"/>
        <v>2019</v>
      </c>
      <c r="C1914" s="2" t="str">
        <f t="shared" si="59"/>
        <v>EC101</v>
      </c>
      <c r="D1914" s="2">
        <v>296</v>
      </c>
      <c r="F1914" s="1764"/>
      <c r="G1914" s="1764"/>
      <c r="H1914" s="1764"/>
      <c r="I1914" s="1764"/>
      <c r="J1914" s="1764"/>
      <c r="K1914" s="1764"/>
      <c r="L1914" s="1766"/>
      <c r="M1914" s="1766"/>
      <c r="N1914" s="1766"/>
      <c r="O1914" s="1766"/>
      <c r="P1914" s="1766"/>
      <c r="W1914" t="s">
        <v>2089</v>
      </c>
    </row>
    <row r="1915" spans="1:23" ht="13.15" customHeight="1" x14ac:dyDescent="0.2">
      <c r="A1915" s="2" t="s">
        <v>2242</v>
      </c>
      <c r="B1915" s="2">
        <f t="shared" si="58"/>
        <v>2019</v>
      </c>
      <c r="C1915" s="2" t="str">
        <f t="shared" si="59"/>
        <v>EC101</v>
      </c>
      <c r="D1915" s="2">
        <v>297</v>
      </c>
      <c r="F1915" s="1764"/>
      <c r="G1915" s="1764"/>
      <c r="H1915" s="1764"/>
      <c r="I1915" s="1764"/>
      <c r="J1915" s="1764"/>
      <c r="K1915" s="1764"/>
      <c r="L1915" s="1766"/>
      <c r="M1915" s="1766"/>
      <c r="N1915" s="1766"/>
      <c r="O1915" s="1766"/>
      <c r="P1915" s="1766"/>
      <c r="W1915" t="s">
        <v>2089</v>
      </c>
    </row>
    <row r="1916" spans="1:23" ht="13.15" customHeight="1" x14ac:dyDescent="0.2">
      <c r="A1916" s="2" t="s">
        <v>2242</v>
      </c>
      <c r="B1916" s="2">
        <f t="shared" si="58"/>
        <v>2019</v>
      </c>
      <c r="C1916" s="2" t="str">
        <f t="shared" si="59"/>
        <v>EC101</v>
      </c>
      <c r="D1916" s="2">
        <v>298</v>
      </c>
      <c r="F1916" s="1764"/>
      <c r="G1916" s="1764"/>
      <c r="H1916" s="1764"/>
      <c r="I1916" s="1764"/>
      <c r="J1916" s="1764"/>
      <c r="K1916" s="1764"/>
      <c r="L1916" s="1766"/>
      <c r="M1916" s="1766"/>
      <c r="N1916" s="1766"/>
      <c r="O1916" s="1766"/>
      <c r="P1916" s="1766"/>
      <c r="W1916" t="s">
        <v>2089</v>
      </c>
    </row>
    <row r="1917" spans="1:23" ht="13.15" customHeight="1" x14ac:dyDescent="0.2">
      <c r="A1917" s="2" t="s">
        <v>2242</v>
      </c>
      <c r="B1917" s="2">
        <f t="shared" si="58"/>
        <v>2019</v>
      </c>
      <c r="C1917" s="2" t="str">
        <f t="shared" si="59"/>
        <v>EC101</v>
      </c>
      <c r="D1917" s="2">
        <v>299</v>
      </c>
      <c r="F1917" s="1764"/>
      <c r="G1917" s="1764"/>
      <c r="H1917" s="1764"/>
      <c r="I1917" s="1764"/>
      <c r="J1917" s="1764"/>
      <c r="K1917" s="1764"/>
      <c r="L1917" s="1766"/>
      <c r="M1917" s="1766"/>
      <c r="N1917" s="1766"/>
      <c r="O1917" s="1766"/>
      <c r="P1917" s="1766"/>
      <c r="W1917" t="s">
        <v>2089</v>
      </c>
    </row>
    <row r="1918" spans="1:23" ht="13.15" customHeight="1" x14ac:dyDescent="0.2">
      <c r="A1918" s="2" t="s">
        <v>2242</v>
      </c>
      <c r="B1918" s="2">
        <f t="shared" si="58"/>
        <v>2019</v>
      </c>
      <c r="C1918" s="2" t="str">
        <f t="shared" si="59"/>
        <v>EC101</v>
      </c>
      <c r="D1918" s="2">
        <v>300</v>
      </c>
      <c r="F1918" s="1764"/>
      <c r="G1918" s="1764"/>
      <c r="H1918" s="1764"/>
      <c r="I1918" s="1764"/>
      <c r="J1918" s="1764"/>
      <c r="K1918" s="1764"/>
      <c r="L1918" s="1766"/>
      <c r="M1918" s="1766"/>
      <c r="N1918" s="1766"/>
      <c r="O1918" s="1766"/>
      <c r="P1918" s="1766"/>
      <c r="W1918" t="s">
        <v>2089</v>
      </c>
    </row>
    <row r="1919" spans="1:23" ht="13.15" customHeight="1" x14ac:dyDescent="0.2">
      <c r="A1919" s="2" t="s">
        <v>2242</v>
      </c>
      <c r="B1919" s="2">
        <f t="shared" si="58"/>
        <v>2019</v>
      </c>
      <c r="C1919" s="2" t="str">
        <f t="shared" si="59"/>
        <v>EC101</v>
      </c>
      <c r="D1919" s="2">
        <v>301</v>
      </c>
      <c r="F1919" s="1764"/>
      <c r="G1919" s="1764"/>
      <c r="H1919" s="1764"/>
      <c r="I1919" s="1764"/>
      <c r="J1919" s="1764"/>
      <c r="K1919" s="1764"/>
      <c r="L1919" s="1766"/>
      <c r="M1919" s="1766"/>
      <c r="N1919" s="1766"/>
      <c r="O1919" s="1766"/>
      <c r="P1919" s="1766"/>
      <c r="W1919" t="s">
        <v>2089</v>
      </c>
    </row>
    <row r="1920" spans="1:23" ht="13.15" customHeight="1" x14ac:dyDescent="0.2">
      <c r="A1920" s="2" t="s">
        <v>2242</v>
      </c>
      <c r="B1920" s="2">
        <f t="shared" si="58"/>
        <v>2019</v>
      </c>
      <c r="C1920" s="2" t="str">
        <f t="shared" si="59"/>
        <v>EC101</v>
      </c>
      <c r="D1920" s="2">
        <v>302</v>
      </c>
      <c r="F1920" s="1764"/>
      <c r="G1920" s="1764"/>
      <c r="H1920" s="1764"/>
      <c r="I1920" s="1764"/>
      <c r="J1920" s="1764"/>
      <c r="K1920" s="1764"/>
      <c r="L1920" s="1766"/>
      <c r="M1920" s="1766"/>
      <c r="N1920" s="1766"/>
      <c r="O1920" s="1766"/>
      <c r="P1920" s="1766"/>
      <c r="W1920" t="s">
        <v>2089</v>
      </c>
    </row>
    <row r="1921" spans="1:23" ht="13.15" customHeight="1" x14ac:dyDescent="0.2">
      <c r="A1921" s="2" t="s">
        <v>2242</v>
      </c>
      <c r="B1921" s="2">
        <f t="shared" si="58"/>
        <v>2019</v>
      </c>
      <c r="C1921" s="2" t="str">
        <f t="shared" si="59"/>
        <v>EC101</v>
      </c>
      <c r="D1921" s="2">
        <v>303</v>
      </c>
      <c r="F1921" s="1764"/>
      <c r="G1921" s="1764"/>
      <c r="H1921" s="1764"/>
      <c r="I1921" s="1764"/>
      <c r="J1921" s="1764"/>
      <c r="K1921" s="1764"/>
      <c r="L1921" s="1766"/>
      <c r="M1921" s="1766"/>
      <c r="N1921" s="1766"/>
      <c r="O1921" s="1766"/>
      <c r="P1921" s="1766"/>
      <c r="W1921" t="s">
        <v>2089</v>
      </c>
    </row>
    <row r="1922" spans="1:23" ht="13.15" customHeight="1" x14ac:dyDescent="0.2">
      <c r="A1922" s="2" t="s">
        <v>2242</v>
      </c>
      <c r="B1922" s="2">
        <f t="shared" ref="B1922:B1985" si="60">+MTREF</f>
        <v>2019</v>
      </c>
      <c r="C1922" s="2" t="str">
        <f t="shared" ref="C1922:C1985" si="61">LEFT(muni,(FIND(" ",muni,1)-1))</f>
        <v>EC101</v>
      </c>
      <c r="D1922" s="2">
        <v>304</v>
      </c>
      <c r="F1922" s="1764"/>
      <c r="G1922" s="1764"/>
      <c r="H1922" s="1764"/>
      <c r="I1922" s="1764"/>
      <c r="J1922" s="1764"/>
      <c r="K1922" s="1764"/>
      <c r="L1922" s="1766"/>
      <c r="M1922" s="1766"/>
      <c r="N1922" s="1766"/>
      <c r="O1922" s="1766"/>
      <c r="P1922" s="1766"/>
      <c r="W1922" t="s">
        <v>2089</v>
      </c>
    </row>
    <row r="1923" spans="1:23" ht="13.15" customHeight="1" x14ac:dyDescent="0.2">
      <c r="A1923" s="2" t="s">
        <v>2242</v>
      </c>
      <c r="B1923" s="2">
        <f t="shared" si="60"/>
        <v>2019</v>
      </c>
      <c r="C1923" s="2" t="str">
        <f t="shared" si="61"/>
        <v>EC101</v>
      </c>
      <c r="D1923" s="2">
        <v>305</v>
      </c>
      <c r="F1923" s="1764"/>
      <c r="G1923" s="1764"/>
      <c r="H1923" s="1764"/>
      <c r="I1923" s="1764"/>
      <c r="J1923" s="1764"/>
      <c r="K1923" s="1764"/>
      <c r="L1923" s="1766"/>
      <c r="M1923" s="1766"/>
      <c r="N1923" s="1766"/>
      <c r="O1923" s="1766"/>
      <c r="P1923" s="1766"/>
      <c r="W1923" t="s">
        <v>2089</v>
      </c>
    </row>
    <row r="1924" spans="1:23" ht="13.15" customHeight="1" x14ac:dyDescent="0.2">
      <c r="A1924" s="2" t="s">
        <v>2242</v>
      </c>
      <c r="B1924" s="2">
        <f t="shared" si="60"/>
        <v>2019</v>
      </c>
      <c r="C1924" s="2" t="str">
        <f t="shared" si="61"/>
        <v>EC101</v>
      </c>
      <c r="D1924" s="2">
        <v>306</v>
      </c>
      <c r="F1924" s="1764"/>
      <c r="G1924" s="1764"/>
      <c r="H1924" s="1764"/>
      <c r="I1924" s="1764"/>
      <c r="J1924" s="1764"/>
      <c r="K1924" s="1764"/>
      <c r="L1924" s="1766"/>
      <c r="M1924" s="1766"/>
      <c r="N1924" s="1766"/>
      <c r="O1924" s="1766"/>
      <c r="P1924" s="1766"/>
      <c r="W1924" t="s">
        <v>2089</v>
      </c>
    </row>
    <row r="1925" spans="1:23" ht="13.15" customHeight="1" x14ac:dyDescent="0.2">
      <c r="A1925" s="2" t="s">
        <v>2242</v>
      </c>
      <c r="B1925" s="2">
        <f t="shared" si="60"/>
        <v>2019</v>
      </c>
      <c r="C1925" s="2" t="str">
        <f t="shared" si="61"/>
        <v>EC101</v>
      </c>
      <c r="D1925" s="2">
        <v>307</v>
      </c>
      <c r="F1925" s="1764"/>
      <c r="G1925" s="1764"/>
      <c r="H1925" s="1764"/>
      <c r="I1925" s="1764"/>
      <c r="J1925" s="1764"/>
      <c r="K1925" s="1764"/>
      <c r="L1925" s="1766"/>
      <c r="M1925" s="1766"/>
      <c r="N1925" s="1766"/>
      <c r="O1925" s="1766"/>
      <c r="P1925" s="1766"/>
      <c r="W1925" t="s">
        <v>2089</v>
      </c>
    </row>
    <row r="1926" spans="1:23" ht="13.15" customHeight="1" x14ac:dyDescent="0.2">
      <c r="A1926" s="2" t="s">
        <v>2242</v>
      </c>
      <c r="B1926" s="2">
        <f t="shared" si="60"/>
        <v>2019</v>
      </c>
      <c r="C1926" s="2" t="str">
        <f t="shared" si="61"/>
        <v>EC101</v>
      </c>
      <c r="D1926" s="2">
        <v>308</v>
      </c>
      <c r="F1926" s="1764"/>
      <c r="G1926" s="1764"/>
      <c r="H1926" s="1764"/>
      <c r="I1926" s="1764"/>
      <c r="J1926" s="1764"/>
      <c r="K1926" s="1764"/>
      <c r="L1926" s="1766"/>
      <c r="M1926" s="1766"/>
      <c r="N1926" s="1766"/>
      <c r="O1926" s="1766"/>
      <c r="P1926" s="1766"/>
      <c r="W1926" t="s">
        <v>2089</v>
      </c>
    </row>
    <row r="1927" spans="1:23" ht="13.15" customHeight="1" x14ac:dyDescent="0.2">
      <c r="A1927" s="2" t="s">
        <v>2242</v>
      </c>
      <c r="B1927" s="2">
        <f t="shared" si="60"/>
        <v>2019</v>
      </c>
      <c r="C1927" s="2" t="str">
        <f t="shared" si="61"/>
        <v>EC101</v>
      </c>
      <c r="D1927" s="2">
        <v>309</v>
      </c>
      <c r="F1927" s="1764"/>
      <c r="G1927" s="1764"/>
      <c r="H1927" s="1764"/>
      <c r="I1927" s="1764"/>
      <c r="J1927" s="1764"/>
      <c r="K1927" s="1764"/>
      <c r="L1927" s="1766"/>
      <c r="M1927" s="1766"/>
      <c r="N1927" s="1766"/>
      <c r="O1927" s="1766"/>
      <c r="P1927" s="1766"/>
      <c r="W1927" t="s">
        <v>2089</v>
      </c>
    </row>
    <row r="1928" spans="1:23" ht="13.15" customHeight="1" x14ac:dyDescent="0.2">
      <c r="A1928" s="2" t="s">
        <v>2242</v>
      </c>
      <c r="B1928" s="2">
        <f t="shared" si="60"/>
        <v>2019</v>
      </c>
      <c r="C1928" s="2" t="str">
        <f t="shared" si="61"/>
        <v>EC101</v>
      </c>
      <c r="D1928" s="2">
        <v>310</v>
      </c>
      <c r="F1928" s="1764"/>
      <c r="G1928" s="1764"/>
      <c r="H1928" s="1764"/>
      <c r="I1928" s="1764"/>
      <c r="J1928" s="1764"/>
      <c r="K1928" s="1764"/>
      <c r="L1928" s="1766"/>
      <c r="M1928" s="1766"/>
      <c r="N1928" s="1766"/>
      <c r="O1928" s="1766"/>
      <c r="P1928" s="1766"/>
      <c r="W1928" t="s">
        <v>2089</v>
      </c>
    </row>
    <row r="1929" spans="1:23" ht="13.15" customHeight="1" x14ac:dyDescent="0.2">
      <c r="A1929" s="2" t="s">
        <v>2242</v>
      </c>
      <c r="B1929" s="2">
        <f t="shared" si="60"/>
        <v>2019</v>
      </c>
      <c r="C1929" s="2" t="str">
        <f t="shared" si="61"/>
        <v>EC101</v>
      </c>
      <c r="D1929" s="2">
        <v>311</v>
      </c>
      <c r="F1929" s="1764"/>
      <c r="G1929" s="1764"/>
      <c r="H1929" s="1764"/>
      <c r="I1929" s="1764"/>
      <c r="J1929" s="1764"/>
      <c r="K1929" s="1764"/>
      <c r="L1929" s="1766"/>
      <c r="M1929" s="1766"/>
      <c r="N1929" s="1766"/>
      <c r="O1929" s="1766"/>
      <c r="P1929" s="1766"/>
      <c r="W1929" t="s">
        <v>2089</v>
      </c>
    </row>
    <row r="1930" spans="1:23" ht="13.15" customHeight="1" x14ac:dyDescent="0.2">
      <c r="A1930" s="2" t="s">
        <v>2242</v>
      </c>
      <c r="B1930" s="2">
        <f t="shared" si="60"/>
        <v>2019</v>
      </c>
      <c r="C1930" s="2" t="str">
        <f t="shared" si="61"/>
        <v>EC101</v>
      </c>
      <c r="D1930" s="2">
        <v>312</v>
      </c>
      <c r="F1930" s="1764"/>
      <c r="G1930" s="1764"/>
      <c r="H1930" s="1764"/>
      <c r="I1930" s="1764"/>
      <c r="J1930" s="1764"/>
      <c r="K1930" s="1764"/>
      <c r="L1930" s="1766"/>
      <c r="M1930" s="1766"/>
      <c r="N1930" s="1766"/>
      <c r="O1930" s="1766"/>
      <c r="P1930" s="1766"/>
      <c r="W1930" t="s">
        <v>2089</v>
      </c>
    </row>
    <row r="1931" spans="1:23" ht="13.15" customHeight="1" x14ac:dyDescent="0.2">
      <c r="A1931" s="2" t="s">
        <v>2242</v>
      </c>
      <c r="B1931" s="2">
        <f t="shared" si="60"/>
        <v>2019</v>
      </c>
      <c r="C1931" s="2" t="str">
        <f t="shared" si="61"/>
        <v>EC101</v>
      </c>
      <c r="D1931" s="2">
        <v>313</v>
      </c>
      <c r="F1931" s="1764"/>
      <c r="G1931" s="1764"/>
      <c r="H1931" s="1764"/>
      <c r="I1931" s="1764"/>
      <c r="J1931" s="1764"/>
      <c r="K1931" s="1764"/>
      <c r="L1931" s="1766"/>
      <c r="M1931" s="1766"/>
      <c r="N1931" s="1766"/>
      <c r="O1931" s="1766"/>
      <c r="P1931" s="1766"/>
      <c r="W1931" t="s">
        <v>2089</v>
      </c>
    </row>
    <row r="1932" spans="1:23" ht="13.15" customHeight="1" x14ac:dyDescent="0.2">
      <c r="A1932" s="2" t="s">
        <v>2242</v>
      </c>
      <c r="B1932" s="2">
        <f t="shared" si="60"/>
        <v>2019</v>
      </c>
      <c r="C1932" s="2" t="str">
        <f t="shared" si="61"/>
        <v>EC101</v>
      </c>
      <c r="D1932" s="2">
        <v>314</v>
      </c>
      <c r="F1932" s="1764"/>
      <c r="G1932" s="1764"/>
      <c r="H1932" s="1764"/>
      <c r="I1932" s="1764"/>
      <c r="J1932" s="1764"/>
      <c r="K1932" s="1764"/>
      <c r="L1932" s="1766"/>
      <c r="M1932" s="1766"/>
      <c r="N1932" s="1766"/>
      <c r="O1932" s="1766"/>
      <c r="P1932" s="1766"/>
      <c r="W1932" t="s">
        <v>2089</v>
      </c>
    </row>
    <row r="1933" spans="1:23" ht="13.15" customHeight="1" x14ac:dyDescent="0.2">
      <c r="A1933" s="2" t="s">
        <v>2242</v>
      </c>
      <c r="B1933" s="2">
        <f t="shared" si="60"/>
        <v>2019</v>
      </c>
      <c r="C1933" s="2" t="str">
        <f t="shared" si="61"/>
        <v>EC101</v>
      </c>
      <c r="D1933" s="2">
        <v>315</v>
      </c>
      <c r="F1933" s="1764"/>
      <c r="G1933" s="1764"/>
      <c r="H1933" s="1764"/>
      <c r="I1933" s="1764"/>
      <c r="J1933" s="1764"/>
      <c r="K1933" s="1764"/>
      <c r="L1933" s="1766"/>
      <c r="M1933" s="1766"/>
      <c r="N1933" s="1766"/>
      <c r="O1933" s="1766"/>
      <c r="P1933" s="1766"/>
      <c r="W1933" t="s">
        <v>2089</v>
      </c>
    </row>
    <row r="1934" spans="1:23" ht="13.15" customHeight="1" x14ac:dyDescent="0.2">
      <c r="A1934" s="2" t="s">
        <v>2242</v>
      </c>
      <c r="B1934" s="2">
        <f t="shared" si="60"/>
        <v>2019</v>
      </c>
      <c r="C1934" s="2" t="str">
        <f t="shared" si="61"/>
        <v>EC101</v>
      </c>
      <c r="D1934" s="2">
        <v>316</v>
      </c>
      <c r="F1934" s="1764"/>
      <c r="G1934" s="1764"/>
      <c r="H1934" s="1764"/>
      <c r="I1934" s="1764"/>
      <c r="J1934" s="1764"/>
      <c r="K1934" s="1764"/>
      <c r="L1934" s="1766"/>
      <c r="M1934" s="1766"/>
      <c r="N1934" s="1766"/>
      <c r="O1934" s="1766"/>
      <c r="P1934" s="1766"/>
      <c r="W1934" t="s">
        <v>2089</v>
      </c>
    </row>
    <row r="1935" spans="1:23" ht="13.15" customHeight="1" x14ac:dyDescent="0.2">
      <c r="A1935" s="2" t="s">
        <v>2242</v>
      </c>
      <c r="B1935" s="2">
        <f t="shared" si="60"/>
        <v>2019</v>
      </c>
      <c r="C1935" s="2" t="str">
        <f t="shared" si="61"/>
        <v>EC101</v>
      </c>
      <c r="D1935" s="2">
        <v>317</v>
      </c>
      <c r="F1935" s="1764"/>
      <c r="G1935" s="1764"/>
      <c r="H1935" s="1764"/>
      <c r="I1935" s="1764"/>
      <c r="J1935" s="1764"/>
      <c r="K1935" s="1764"/>
      <c r="L1935" s="1766"/>
      <c r="M1935" s="1766"/>
      <c r="N1935" s="1766"/>
      <c r="O1935" s="1766"/>
      <c r="P1935" s="1766"/>
      <c r="W1935" t="s">
        <v>2089</v>
      </c>
    </row>
    <row r="1936" spans="1:23" ht="13.15" customHeight="1" x14ac:dyDescent="0.2">
      <c r="A1936" s="2" t="s">
        <v>2242</v>
      </c>
      <c r="B1936" s="2">
        <f t="shared" si="60"/>
        <v>2019</v>
      </c>
      <c r="C1936" s="2" t="str">
        <f t="shared" si="61"/>
        <v>EC101</v>
      </c>
      <c r="D1936" s="2">
        <v>318</v>
      </c>
      <c r="F1936" s="1764"/>
      <c r="G1936" s="1764"/>
      <c r="H1936" s="1764"/>
      <c r="I1936" s="1764"/>
      <c r="J1936" s="1764"/>
      <c r="K1936" s="1764"/>
      <c r="L1936" s="1766"/>
      <c r="M1936" s="1766"/>
      <c r="N1936" s="1766"/>
      <c r="O1936" s="1766"/>
      <c r="P1936" s="1766"/>
      <c r="W1936" t="s">
        <v>2089</v>
      </c>
    </row>
    <row r="1937" spans="1:23" ht="13.15" customHeight="1" x14ac:dyDescent="0.2">
      <c r="A1937" s="2" t="s">
        <v>2242</v>
      </c>
      <c r="B1937" s="2">
        <f t="shared" si="60"/>
        <v>2019</v>
      </c>
      <c r="C1937" s="2" t="str">
        <f t="shared" si="61"/>
        <v>EC101</v>
      </c>
      <c r="D1937" s="2">
        <v>319</v>
      </c>
      <c r="F1937" s="1764"/>
      <c r="G1937" s="1764"/>
      <c r="H1937" s="1764"/>
      <c r="I1937" s="1764"/>
      <c r="J1937" s="1764"/>
      <c r="K1937" s="1764"/>
      <c r="L1937" s="1766"/>
      <c r="M1937" s="1766"/>
      <c r="N1937" s="1766"/>
      <c r="O1937" s="1766"/>
      <c r="P1937" s="1766"/>
      <c r="W1937" t="s">
        <v>2089</v>
      </c>
    </row>
    <row r="1938" spans="1:23" ht="13.15" customHeight="1" x14ac:dyDescent="0.2">
      <c r="A1938" s="2" t="s">
        <v>2242</v>
      </c>
      <c r="B1938" s="2">
        <f t="shared" si="60"/>
        <v>2019</v>
      </c>
      <c r="C1938" s="2" t="str">
        <f t="shared" si="61"/>
        <v>EC101</v>
      </c>
      <c r="D1938" s="2">
        <v>320</v>
      </c>
      <c r="F1938" s="1764"/>
      <c r="G1938" s="1764"/>
      <c r="H1938" s="1764"/>
      <c r="I1938" s="1764"/>
      <c r="J1938" s="1764"/>
      <c r="K1938" s="1764"/>
      <c r="L1938" s="1766"/>
      <c r="M1938" s="1766"/>
      <c r="N1938" s="1766"/>
      <c r="O1938" s="1766"/>
      <c r="P1938" s="1766"/>
      <c r="W1938" t="s">
        <v>2089</v>
      </c>
    </row>
    <row r="1939" spans="1:23" ht="13.15" customHeight="1" x14ac:dyDescent="0.2">
      <c r="A1939" s="2" t="s">
        <v>2242</v>
      </c>
      <c r="B1939" s="2">
        <f t="shared" si="60"/>
        <v>2019</v>
      </c>
      <c r="C1939" s="2" t="str">
        <f t="shared" si="61"/>
        <v>EC101</v>
      </c>
      <c r="D1939" s="2">
        <v>321</v>
      </c>
      <c r="F1939" s="1764"/>
      <c r="G1939" s="1764"/>
      <c r="H1939" s="1764"/>
      <c r="I1939" s="1764"/>
      <c r="J1939" s="1764"/>
      <c r="K1939" s="1764"/>
      <c r="L1939" s="1766"/>
      <c r="M1939" s="1766"/>
      <c r="N1939" s="1766"/>
      <c r="O1939" s="1766"/>
      <c r="P1939" s="1766"/>
      <c r="W1939" t="s">
        <v>2089</v>
      </c>
    </row>
    <row r="1940" spans="1:23" ht="13.15" customHeight="1" x14ac:dyDescent="0.2">
      <c r="A1940" s="2" t="s">
        <v>2242</v>
      </c>
      <c r="B1940" s="2">
        <f t="shared" si="60"/>
        <v>2019</v>
      </c>
      <c r="C1940" s="2" t="str">
        <f t="shared" si="61"/>
        <v>EC101</v>
      </c>
      <c r="D1940" s="2">
        <v>322</v>
      </c>
      <c r="F1940" s="1764"/>
      <c r="G1940" s="1764"/>
      <c r="H1940" s="1764"/>
      <c r="I1940" s="1764"/>
      <c r="J1940" s="1764"/>
      <c r="K1940" s="1764"/>
      <c r="L1940" s="1766"/>
      <c r="M1940" s="1766"/>
      <c r="N1940" s="1766"/>
      <c r="O1940" s="1766"/>
      <c r="P1940" s="1766"/>
      <c r="W1940" t="s">
        <v>2089</v>
      </c>
    </row>
    <row r="1941" spans="1:23" ht="13.15" customHeight="1" x14ac:dyDescent="0.2">
      <c r="A1941" s="2" t="s">
        <v>2242</v>
      </c>
      <c r="B1941" s="2">
        <f t="shared" si="60"/>
        <v>2019</v>
      </c>
      <c r="C1941" s="2" t="str">
        <f t="shared" si="61"/>
        <v>EC101</v>
      </c>
      <c r="D1941" s="2">
        <v>323</v>
      </c>
      <c r="F1941" s="1764"/>
      <c r="G1941" s="1764"/>
      <c r="H1941" s="1764"/>
      <c r="I1941" s="1764"/>
      <c r="J1941" s="1764"/>
      <c r="K1941" s="1764"/>
      <c r="L1941" s="1766"/>
      <c r="M1941" s="1766"/>
      <c r="N1941" s="1766"/>
      <c r="O1941" s="1766"/>
      <c r="P1941" s="1766"/>
      <c r="W1941" t="s">
        <v>2089</v>
      </c>
    </row>
    <row r="1942" spans="1:23" ht="13.15" customHeight="1" x14ac:dyDescent="0.2">
      <c r="A1942" s="2" t="s">
        <v>2242</v>
      </c>
      <c r="B1942" s="2">
        <f t="shared" si="60"/>
        <v>2019</v>
      </c>
      <c r="C1942" s="2" t="str">
        <f t="shared" si="61"/>
        <v>EC101</v>
      </c>
      <c r="D1942" s="2">
        <v>324</v>
      </c>
      <c r="F1942" s="1764"/>
      <c r="G1942" s="1764"/>
      <c r="H1942" s="1764"/>
      <c r="I1942" s="1764"/>
      <c r="J1942" s="1764"/>
      <c r="K1942" s="1764"/>
      <c r="L1942" s="1766"/>
      <c r="M1942" s="1766"/>
      <c r="N1942" s="1766"/>
      <c r="O1942" s="1766"/>
      <c r="P1942" s="1766"/>
      <c r="W1942" t="s">
        <v>2089</v>
      </c>
    </row>
    <row r="1943" spans="1:23" ht="13.15" customHeight="1" x14ac:dyDescent="0.2">
      <c r="A1943" s="2" t="s">
        <v>2242</v>
      </c>
      <c r="B1943" s="2">
        <f t="shared" si="60"/>
        <v>2019</v>
      </c>
      <c r="C1943" s="2" t="str">
        <f t="shared" si="61"/>
        <v>EC101</v>
      </c>
      <c r="D1943" s="2">
        <v>325</v>
      </c>
      <c r="F1943" s="1764"/>
      <c r="G1943" s="1764"/>
      <c r="H1943" s="1764"/>
      <c r="I1943" s="1764"/>
      <c r="J1943" s="1764"/>
      <c r="K1943" s="1764"/>
      <c r="L1943" s="1766"/>
      <c r="M1943" s="1766"/>
      <c r="N1943" s="1766"/>
      <c r="O1943" s="1766"/>
      <c r="P1943" s="1766"/>
      <c r="W1943" t="s">
        <v>2089</v>
      </c>
    </row>
    <row r="1944" spans="1:23" ht="13.15" customHeight="1" x14ac:dyDescent="0.2">
      <c r="A1944" s="2" t="s">
        <v>2242</v>
      </c>
      <c r="B1944" s="2">
        <f t="shared" si="60"/>
        <v>2019</v>
      </c>
      <c r="C1944" s="2" t="str">
        <f t="shared" si="61"/>
        <v>EC101</v>
      </c>
      <c r="D1944" s="2">
        <v>326</v>
      </c>
      <c r="F1944" s="1764"/>
      <c r="G1944" s="1764"/>
      <c r="H1944" s="1764"/>
      <c r="I1944" s="1764"/>
      <c r="J1944" s="1764"/>
      <c r="K1944" s="1764"/>
      <c r="L1944" s="1766"/>
      <c r="M1944" s="1766"/>
      <c r="N1944" s="1766"/>
      <c r="O1944" s="1766"/>
      <c r="P1944" s="1766"/>
      <c r="W1944" t="s">
        <v>2089</v>
      </c>
    </row>
    <row r="1945" spans="1:23" ht="13.15" customHeight="1" x14ac:dyDescent="0.2">
      <c r="A1945" s="2" t="s">
        <v>2242</v>
      </c>
      <c r="B1945" s="2">
        <f t="shared" si="60"/>
        <v>2019</v>
      </c>
      <c r="C1945" s="2" t="str">
        <f t="shared" si="61"/>
        <v>EC101</v>
      </c>
      <c r="D1945" s="2">
        <v>327</v>
      </c>
      <c r="F1945" s="1764"/>
      <c r="G1945" s="1764"/>
      <c r="H1945" s="1764"/>
      <c r="I1945" s="1764"/>
      <c r="J1945" s="1764"/>
      <c r="K1945" s="1764"/>
      <c r="L1945" s="1766"/>
      <c r="M1945" s="1766"/>
      <c r="N1945" s="1766"/>
      <c r="O1945" s="1766"/>
      <c r="P1945" s="1766"/>
      <c r="W1945" t="s">
        <v>2089</v>
      </c>
    </row>
    <row r="1946" spans="1:23" ht="13.15" customHeight="1" x14ac:dyDescent="0.2">
      <c r="A1946" s="2" t="s">
        <v>2242</v>
      </c>
      <c r="B1946" s="2">
        <f t="shared" si="60"/>
        <v>2019</v>
      </c>
      <c r="C1946" s="2" t="str">
        <f t="shared" si="61"/>
        <v>EC101</v>
      </c>
      <c r="D1946" s="2">
        <v>328</v>
      </c>
      <c r="F1946" s="1764"/>
      <c r="G1946" s="1764"/>
      <c r="H1946" s="1764"/>
      <c r="I1946" s="1764"/>
      <c r="J1946" s="1764"/>
      <c r="K1946" s="1764"/>
      <c r="L1946" s="1766"/>
      <c r="M1946" s="1766"/>
      <c r="N1946" s="1766"/>
      <c r="O1946" s="1766"/>
      <c r="P1946" s="1766"/>
      <c r="W1946" t="s">
        <v>2089</v>
      </c>
    </row>
    <row r="1947" spans="1:23" ht="13.15" customHeight="1" x14ac:dyDescent="0.2">
      <c r="A1947" s="2" t="s">
        <v>2242</v>
      </c>
      <c r="B1947" s="2">
        <f t="shared" si="60"/>
        <v>2019</v>
      </c>
      <c r="C1947" s="2" t="str">
        <f t="shared" si="61"/>
        <v>EC101</v>
      </c>
      <c r="D1947" s="2">
        <v>329</v>
      </c>
      <c r="F1947" s="1764"/>
      <c r="G1947" s="1764"/>
      <c r="H1947" s="1764"/>
      <c r="I1947" s="1764"/>
      <c r="J1947" s="1764"/>
      <c r="K1947" s="1764"/>
      <c r="L1947" s="1766"/>
      <c r="M1947" s="1766"/>
      <c r="N1947" s="1766"/>
      <c r="O1947" s="1766"/>
      <c r="P1947" s="1766"/>
      <c r="W1947" t="s">
        <v>2089</v>
      </c>
    </row>
    <row r="1948" spans="1:23" ht="13.15" customHeight="1" x14ac:dyDescent="0.2">
      <c r="A1948" s="2" t="s">
        <v>2242</v>
      </c>
      <c r="B1948" s="2">
        <f t="shared" si="60"/>
        <v>2019</v>
      </c>
      <c r="C1948" s="2" t="str">
        <f t="shared" si="61"/>
        <v>EC101</v>
      </c>
      <c r="D1948" s="2">
        <v>330</v>
      </c>
      <c r="F1948" s="1764"/>
      <c r="G1948" s="1764"/>
      <c r="H1948" s="1764"/>
      <c r="I1948" s="1764"/>
      <c r="J1948" s="1764"/>
      <c r="K1948" s="1764"/>
      <c r="L1948" s="1766"/>
      <c r="M1948" s="1766"/>
      <c r="N1948" s="1766"/>
      <c r="O1948" s="1766"/>
      <c r="P1948" s="1766"/>
      <c r="W1948" t="s">
        <v>2089</v>
      </c>
    </row>
    <row r="1949" spans="1:23" ht="13.15" customHeight="1" x14ac:dyDescent="0.2">
      <c r="A1949" s="2" t="s">
        <v>2242</v>
      </c>
      <c r="B1949" s="2">
        <f t="shared" si="60"/>
        <v>2019</v>
      </c>
      <c r="C1949" s="2" t="str">
        <f t="shared" si="61"/>
        <v>EC101</v>
      </c>
      <c r="D1949" s="2">
        <v>331</v>
      </c>
      <c r="F1949" s="1764"/>
      <c r="G1949" s="1764"/>
      <c r="H1949" s="1764"/>
      <c r="I1949" s="1764"/>
      <c r="J1949" s="1764"/>
      <c r="K1949" s="1764"/>
      <c r="L1949" s="1766"/>
      <c r="M1949" s="1766"/>
      <c r="N1949" s="1766"/>
      <c r="O1949" s="1766"/>
      <c r="P1949" s="1766"/>
      <c r="W1949" t="s">
        <v>2089</v>
      </c>
    </row>
    <row r="1950" spans="1:23" ht="13.15" customHeight="1" x14ac:dyDescent="0.2">
      <c r="A1950" s="2" t="s">
        <v>2242</v>
      </c>
      <c r="B1950" s="2">
        <f t="shared" si="60"/>
        <v>2019</v>
      </c>
      <c r="C1950" s="2" t="str">
        <f t="shared" si="61"/>
        <v>EC101</v>
      </c>
      <c r="D1950" s="2">
        <v>332</v>
      </c>
      <c r="F1950" s="1764"/>
      <c r="G1950" s="1764"/>
      <c r="H1950" s="1764"/>
      <c r="I1950" s="1764"/>
      <c r="J1950" s="1764"/>
      <c r="K1950" s="1764"/>
      <c r="L1950" s="1766"/>
      <c r="M1950" s="1766"/>
      <c r="N1950" s="1766"/>
      <c r="O1950" s="1766"/>
      <c r="P1950" s="1766"/>
      <c r="W1950" t="s">
        <v>2089</v>
      </c>
    </row>
    <row r="1951" spans="1:23" ht="13.15" customHeight="1" x14ac:dyDescent="0.2">
      <c r="A1951" s="2" t="s">
        <v>2242</v>
      </c>
      <c r="B1951" s="2">
        <f t="shared" si="60"/>
        <v>2019</v>
      </c>
      <c r="C1951" s="2" t="str">
        <f t="shared" si="61"/>
        <v>EC101</v>
      </c>
      <c r="D1951" s="2">
        <v>333</v>
      </c>
      <c r="F1951" s="1764"/>
      <c r="G1951" s="1764"/>
      <c r="H1951" s="1764"/>
      <c r="I1951" s="1764"/>
      <c r="J1951" s="1764"/>
      <c r="K1951" s="1764"/>
      <c r="L1951" s="1766"/>
      <c r="M1951" s="1766"/>
      <c r="N1951" s="1766"/>
      <c r="O1951" s="1766"/>
      <c r="P1951" s="1766"/>
      <c r="W1951" t="s">
        <v>2089</v>
      </c>
    </row>
    <row r="1952" spans="1:23" ht="13.15" customHeight="1" x14ac:dyDescent="0.2">
      <c r="A1952" s="2" t="s">
        <v>2242</v>
      </c>
      <c r="B1952" s="2">
        <f t="shared" si="60"/>
        <v>2019</v>
      </c>
      <c r="C1952" s="2" t="str">
        <f t="shared" si="61"/>
        <v>EC101</v>
      </c>
      <c r="D1952" s="2">
        <v>334</v>
      </c>
      <c r="F1952" s="1764"/>
      <c r="G1952" s="1764"/>
      <c r="H1952" s="1764"/>
      <c r="I1952" s="1764"/>
      <c r="J1952" s="1764"/>
      <c r="K1952" s="1764"/>
      <c r="L1952" s="1766"/>
      <c r="M1952" s="1766"/>
      <c r="N1952" s="1766"/>
      <c r="O1952" s="1766"/>
      <c r="P1952" s="1766"/>
      <c r="W1952" t="s">
        <v>2089</v>
      </c>
    </row>
    <row r="1953" spans="1:23" ht="13.15" customHeight="1" x14ac:dyDescent="0.2">
      <c r="A1953" s="2" t="s">
        <v>2242</v>
      </c>
      <c r="B1953" s="2">
        <f t="shared" si="60"/>
        <v>2019</v>
      </c>
      <c r="C1953" s="2" t="str">
        <f t="shared" si="61"/>
        <v>EC101</v>
      </c>
      <c r="D1953" s="2">
        <v>335</v>
      </c>
      <c r="F1953" s="1764"/>
      <c r="G1953" s="1764"/>
      <c r="H1953" s="1764"/>
      <c r="I1953" s="1764"/>
      <c r="J1953" s="1764"/>
      <c r="K1953" s="1764"/>
      <c r="L1953" s="1766"/>
      <c r="M1953" s="1766"/>
      <c r="N1953" s="1766"/>
      <c r="O1953" s="1766"/>
      <c r="P1953" s="1766"/>
      <c r="W1953" t="s">
        <v>2089</v>
      </c>
    </row>
    <row r="1954" spans="1:23" ht="13.15" customHeight="1" x14ac:dyDescent="0.2">
      <c r="A1954" s="2" t="s">
        <v>2242</v>
      </c>
      <c r="B1954" s="2">
        <f t="shared" si="60"/>
        <v>2019</v>
      </c>
      <c r="C1954" s="2" t="str">
        <f t="shared" si="61"/>
        <v>EC101</v>
      </c>
      <c r="D1954" s="2">
        <v>336</v>
      </c>
      <c r="F1954" s="1764"/>
      <c r="G1954" s="1764"/>
      <c r="H1954" s="1764"/>
      <c r="I1954" s="1764"/>
      <c r="J1954" s="1764"/>
      <c r="K1954" s="1764"/>
      <c r="L1954" s="1766"/>
      <c r="M1954" s="1766"/>
      <c r="N1954" s="1766"/>
      <c r="O1954" s="1766"/>
      <c r="P1954" s="1766"/>
      <c r="W1954" t="s">
        <v>2089</v>
      </c>
    </row>
    <row r="1955" spans="1:23" ht="13.15" customHeight="1" x14ac:dyDescent="0.2">
      <c r="A1955" s="2" t="s">
        <v>2242</v>
      </c>
      <c r="B1955" s="2">
        <f t="shared" si="60"/>
        <v>2019</v>
      </c>
      <c r="C1955" s="2" t="str">
        <f t="shared" si="61"/>
        <v>EC101</v>
      </c>
      <c r="D1955" s="2">
        <v>337</v>
      </c>
      <c r="F1955" s="1764"/>
      <c r="G1955" s="1764"/>
      <c r="H1955" s="1764"/>
      <c r="I1955" s="1764"/>
      <c r="J1955" s="1764"/>
      <c r="K1955" s="1764"/>
      <c r="L1955" s="1766"/>
      <c r="M1955" s="1766"/>
      <c r="N1955" s="1766"/>
      <c r="O1955" s="1766"/>
      <c r="P1955" s="1766"/>
      <c r="W1955" t="s">
        <v>2089</v>
      </c>
    </row>
    <row r="1956" spans="1:23" ht="13.15" customHeight="1" x14ac:dyDescent="0.2">
      <c r="A1956" s="2" t="s">
        <v>2242</v>
      </c>
      <c r="B1956" s="2">
        <f t="shared" si="60"/>
        <v>2019</v>
      </c>
      <c r="C1956" s="2" t="str">
        <f t="shared" si="61"/>
        <v>EC101</v>
      </c>
      <c r="D1956" s="2">
        <v>338</v>
      </c>
      <c r="F1956" s="1764"/>
      <c r="G1956" s="1764"/>
      <c r="H1956" s="1764"/>
      <c r="I1956" s="1764"/>
      <c r="J1956" s="1764"/>
      <c r="K1956" s="1764"/>
      <c r="L1956" s="1766"/>
      <c r="M1956" s="1766"/>
      <c r="N1956" s="1766"/>
      <c r="O1956" s="1766"/>
      <c r="P1956" s="1766"/>
      <c r="W1956" t="s">
        <v>2089</v>
      </c>
    </row>
    <row r="1957" spans="1:23" ht="13.15" customHeight="1" x14ac:dyDescent="0.2">
      <c r="A1957" s="2" t="s">
        <v>2242</v>
      </c>
      <c r="B1957" s="2">
        <f t="shared" si="60"/>
        <v>2019</v>
      </c>
      <c r="C1957" s="2" t="str">
        <f t="shared" si="61"/>
        <v>EC101</v>
      </c>
      <c r="D1957" s="2">
        <v>339</v>
      </c>
      <c r="F1957" s="1764"/>
      <c r="G1957" s="1764"/>
      <c r="H1957" s="1764"/>
      <c r="I1957" s="1764"/>
      <c r="J1957" s="1764"/>
      <c r="K1957" s="1764"/>
      <c r="L1957" s="1766"/>
      <c r="M1957" s="1766"/>
      <c r="N1957" s="1766"/>
      <c r="O1957" s="1766"/>
      <c r="P1957" s="1766"/>
      <c r="W1957" t="s">
        <v>2089</v>
      </c>
    </row>
    <row r="1958" spans="1:23" ht="13.15" customHeight="1" x14ac:dyDescent="0.2">
      <c r="A1958" s="2" t="s">
        <v>2242</v>
      </c>
      <c r="B1958" s="2">
        <f t="shared" si="60"/>
        <v>2019</v>
      </c>
      <c r="C1958" s="2" t="str">
        <f t="shared" si="61"/>
        <v>EC101</v>
      </c>
      <c r="D1958" s="2">
        <v>340</v>
      </c>
      <c r="F1958" s="1764"/>
      <c r="G1958" s="1764"/>
      <c r="H1958" s="1764"/>
      <c r="I1958" s="1764"/>
      <c r="J1958" s="1764"/>
      <c r="K1958" s="1764"/>
      <c r="L1958" s="1766"/>
      <c r="M1958" s="1766"/>
      <c r="N1958" s="1766"/>
      <c r="O1958" s="1766"/>
      <c r="P1958" s="1766"/>
      <c r="W1958" t="s">
        <v>2089</v>
      </c>
    </row>
    <row r="1959" spans="1:23" ht="13.15" customHeight="1" x14ac:dyDescent="0.2">
      <c r="A1959" s="2" t="s">
        <v>2242</v>
      </c>
      <c r="B1959" s="2">
        <f t="shared" si="60"/>
        <v>2019</v>
      </c>
      <c r="C1959" s="2" t="str">
        <f t="shared" si="61"/>
        <v>EC101</v>
      </c>
      <c r="D1959" s="2">
        <v>341</v>
      </c>
      <c r="F1959" s="1764"/>
      <c r="G1959" s="1764"/>
      <c r="H1959" s="1764"/>
      <c r="I1959" s="1764"/>
      <c r="J1959" s="1764"/>
      <c r="K1959" s="1764"/>
      <c r="L1959" s="1766"/>
      <c r="M1959" s="1766"/>
      <c r="N1959" s="1766"/>
      <c r="O1959" s="1766"/>
      <c r="P1959" s="1766"/>
      <c r="W1959" t="s">
        <v>2089</v>
      </c>
    </row>
    <row r="1960" spans="1:23" ht="13.15" customHeight="1" x14ac:dyDescent="0.2">
      <c r="A1960" s="2" t="s">
        <v>2242</v>
      </c>
      <c r="B1960" s="2">
        <f t="shared" si="60"/>
        <v>2019</v>
      </c>
      <c r="C1960" s="2" t="str">
        <f t="shared" si="61"/>
        <v>EC101</v>
      </c>
      <c r="D1960" s="2">
        <v>342</v>
      </c>
      <c r="F1960" s="1764"/>
      <c r="G1960" s="1764"/>
      <c r="H1960" s="1764"/>
      <c r="I1960" s="1764"/>
      <c r="J1960" s="1764"/>
      <c r="K1960" s="1764"/>
      <c r="L1960" s="1766"/>
      <c r="M1960" s="1766"/>
      <c r="N1960" s="1766"/>
      <c r="O1960" s="1766"/>
      <c r="P1960" s="1766"/>
      <c r="W1960" t="s">
        <v>2089</v>
      </c>
    </row>
    <row r="1961" spans="1:23" ht="13.15" customHeight="1" x14ac:dyDescent="0.2">
      <c r="A1961" s="2" t="s">
        <v>2242</v>
      </c>
      <c r="B1961" s="2">
        <f t="shared" si="60"/>
        <v>2019</v>
      </c>
      <c r="C1961" s="2" t="str">
        <f t="shared" si="61"/>
        <v>EC101</v>
      </c>
      <c r="D1961" s="2">
        <v>343</v>
      </c>
      <c r="F1961" s="1764"/>
      <c r="G1961" s="1764"/>
      <c r="H1961" s="1764"/>
      <c r="I1961" s="1764"/>
      <c r="J1961" s="1764"/>
      <c r="K1961" s="1764"/>
      <c r="L1961" s="1766"/>
      <c r="M1961" s="1766"/>
      <c r="N1961" s="1766"/>
      <c r="O1961" s="1766"/>
      <c r="P1961" s="1766"/>
      <c r="W1961" t="s">
        <v>2089</v>
      </c>
    </row>
    <row r="1962" spans="1:23" ht="13.15" customHeight="1" x14ac:dyDescent="0.2">
      <c r="A1962" s="2" t="s">
        <v>2242</v>
      </c>
      <c r="B1962" s="2">
        <f t="shared" si="60"/>
        <v>2019</v>
      </c>
      <c r="C1962" s="2" t="str">
        <f t="shared" si="61"/>
        <v>EC101</v>
      </c>
      <c r="D1962" s="2">
        <v>344</v>
      </c>
      <c r="F1962" s="1764"/>
      <c r="G1962" s="1764"/>
      <c r="H1962" s="1764"/>
      <c r="I1962" s="1764"/>
      <c r="J1962" s="1764"/>
      <c r="K1962" s="1764"/>
      <c r="L1962" s="1766"/>
      <c r="M1962" s="1766"/>
      <c r="N1962" s="1766"/>
      <c r="O1962" s="1766"/>
      <c r="P1962" s="1766"/>
      <c r="W1962" t="s">
        <v>2089</v>
      </c>
    </row>
    <row r="1963" spans="1:23" ht="13.15" customHeight="1" x14ac:dyDescent="0.2">
      <c r="A1963" s="2" t="s">
        <v>2242</v>
      </c>
      <c r="B1963" s="2">
        <f t="shared" si="60"/>
        <v>2019</v>
      </c>
      <c r="C1963" s="2" t="str">
        <f t="shared" si="61"/>
        <v>EC101</v>
      </c>
      <c r="D1963" s="2">
        <v>345</v>
      </c>
      <c r="F1963" s="1764"/>
      <c r="G1963" s="1764"/>
      <c r="H1963" s="1764"/>
      <c r="I1963" s="1764"/>
      <c r="J1963" s="1764"/>
      <c r="K1963" s="1764"/>
      <c r="L1963" s="1766"/>
      <c r="M1963" s="1766"/>
      <c r="N1963" s="1766"/>
      <c r="O1963" s="1766"/>
      <c r="P1963" s="1766"/>
      <c r="W1963" t="s">
        <v>2089</v>
      </c>
    </row>
    <row r="1964" spans="1:23" ht="13.15" customHeight="1" x14ac:dyDescent="0.2">
      <c r="A1964" s="2" t="s">
        <v>2242</v>
      </c>
      <c r="B1964" s="2">
        <f t="shared" si="60"/>
        <v>2019</v>
      </c>
      <c r="C1964" s="2" t="str">
        <f t="shared" si="61"/>
        <v>EC101</v>
      </c>
      <c r="D1964" s="2">
        <v>346</v>
      </c>
      <c r="F1964" s="1764"/>
      <c r="G1964" s="1764"/>
      <c r="H1964" s="1764"/>
      <c r="I1964" s="1764"/>
      <c r="J1964" s="1764"/>
      <c r="K1964" s="1764"/>
      <c r="L1964" s="1766"/>
      <c r="M1964" s="1766"/>
      <c r="N1964" s="1766"/>
      <c r="O1964" s="1766"/>
      <c r="P1964" s="1766"/>
      <c r="W1964" t="s">
        <v>2089</v>
      </c>
    </row>
    <row r="1965" spans="1:23" ht="13.15" customHeight="1" x14ac:dyDescent="0.2">
      <c r="A1965" s="2" t="s">
        <v>2242</v>
      </c>
      <c r="B1965" s="2">
        <f t="shared" si="60"/>
        <v>2019</v>
      </c>
      <c r="C1965" s="2" t="str">
        <f t="shared" si="61"/>
        <v>EC101</v>
      </c>
      <c r="D1965" s="2">
        <v>347</v>
      </c>
      <c r="F1965" s="1764"/>
      <c r="G1965" s="1764"/>
      <c r="H1965" s="1764"/>
      <c r="I1965" s="1764"/>
      <c r="J1965" s="1764"/>
      <c r="K1965" s="1764"/>
      <c r="L1965" s="1766"/>
      <c r="M1965" s="1766"/>
      <c r="N1965" s="1766"/>
      <c r="O1965" s="1766"/>
      <c r="P1965" s="1766"/>
      <c r="W1965" t="s">
        <v>2089</v>
      </c>
    </row>
    <row r="1966" spans="1:23" ht="13.15" customHeight="1" x14ac:dyDescent="0.2">
      <c r="A1966" s="2" t="s">
        <v>2242</v>
      </c>
      <c r="B1966" s="2">
        <f t="shared" si="60"/>
        <v>2019</v>
      </c>
      <c r="C1966" s="2" t="str">
        <f t="shared" si="61"/>
        <v>EC101</v>
      </c>
      <c r="D1966" s="2">
        <v>348</v>
      </c>
      <c r="F1966" s="1764"/>
      <c r="G1966" s="1764"/>
      <c r="H1966" s="1764"/>
      <c r="I1966" s="1764"/>
      <c r="J1966" s="1764"/>
      <c r="K1966" s="1764"/>
      <c r="L1966" s="1766"/>
      <c r="M1966" s="1766"/>
      <c r="N1966" s="1766"/>
      <c r="O1966" s="1766"/>
      <c r="P1966" s="1766"/>
      <c r="W1966" t="s">
        <v>2089</v>
      </c>
    </row>
    <row r="1967" spans="1:23" ht="13.15" customHeight="1" x14ac:dyDescent="0.2">
      <c r="A1967" s="2" t="s">
        <v>2242</v>
      </c>
      <c r="B1967" s="2">
        <f t="shared" si="60"/>
        <v>2019</v>
      </c>
      <c r="C1967" s="2" t="str">
        <f t="shared" si="61"/>
        <v>EC101</v>
      </c>
      <c r="D1967" s="2">
        <v>349</v>
      </c>
      <c r="F1967" s="1764"/>
      <c r="G1967" s="1764"/>
      <c r="H1967" s="1764"/>
      <c r="I1967" s="1764"/>
      <c r="J1967" s="1764"/>
      <c r="K1967" s="1764"/>
      <c r="L1967" s="1766"/>
      <c r="M1967" s="1766"/>
      <c r="N1967" s="1766"/>
      <c r="O1967" s="1766"/>
      <c r="P1967" s="1766"/>
      <c r="W1967" t="s">
        <v>2089</v>
      </c>
    </row>
    <row r="1968" spans="1:23" ht="13.15" customHeight="1" x14ac:dyDescent="0.2">
      <c r="A1968" s="2" t="s">
        <v>2242</v>
      </c>
      <c r="B1968" s="2">
        <f t="shared" si="60"/>
        <v>2019</v>
      </c>
      <c r="C1968" s="2" t="str">
        <f t="shared" si="61"/>
        <v>EC101</v>
      </c>
      <c r="D1968" s="2">
        <v>350</v>
      </c>
      <c r="F1968" s="1764"/>
      <c r="G1968" s="1764"/>
      <c r="H1968" s="1764"/>
      <c r="I1968" s="1764"/>
      <c r="J1968" s="1764"/>
      <c r="K1968" s="1764"/>
      <c r="L1968" s="1766"/>
      <c r="M1968" s="1766"/>
      <c r="N1968" s="1766"/>
      <c r="O1968" s="1766"/>
      <c r="P1968" s="1766"/>
      <c r="W1968" t="s">
        <v>2089</v>
      </c>
    </row>
    <row r="1969" spans="1:23" ht="13.15" customHeight="1" x14ac:dyDescent="0.2">
      <c r="A1969" s="2" t="s">
        <v>2242</v>
      </c>
      <c r="B1969" s="2">
        <f t="shared" si="60"/>
        <v>2019</v>
      </c>
      <c r="C1969" s="2" t="str">
        <f t="shared" si="61"/>
        <v>EC101</v>
      </c>
      <c r="D1969" s="2">
        <v>351</v>
      </c>
      <c r="F1969" s="1764"/>
      <c r="G1969" s="1764"/>
      <c r="H1969" s="1764"/>
      <c r="I1969" s="1764"/>
      <c r="J1969" s="1764"/>
      <c r="K1969" s="1764"/>
      <c r="L1969" s="1766"/>
      <c r="M1969" s="1766"/>
      <c r="N1969" s="1766"/>
      <c r="O1969" s="1766"/>
      <c r="P1969" s="1766"/>
      <c r="W1969" t="s">
        <v>2089</v>
      </c>
    </row>
    <row r="1970" spans="1:23" ht="13.15" customHeight="1" x14ac:dyDescent="0.2">
      <c r="A1970" s="2" t="s">
        <v>2242</v>
      </c>
      <c r="B1970" s="2">
        <f t="shared" si="60"/>
        <v>2019</v>
      </c>
      <c r="C1970" s="2" t="str">
        <f t="shared" si="61"/>
        <v>EC101</v>
      </c>
      <c r="D1970" s="2">
        <v>352</v>
      </c>
      <c r="F1970" s="1764"/>
      <c r="G1970" s="1764"/>
      <c r="H1970" s="1764"/>
      <c r="I1970" s="1764"/>
      <c r="J1970" s="1764"/>
      <c r="K1970" s="1764"/>
      <c r="L1970" s="1766"/>
      <c r="M1970" s="1766"/>
      <c r="N1970" s="1766"/>
      <c r="O1970" s="1766"/>
      <c r="P1970" s="1766"/>
      <c r="W1970" t="s">
        <v>2089</v>
      </c>
    </row>
    <row r="1971" spans="1:23" ht="13.15" customHeight="1" x14ac:dyDescent="0.2">
      <c r="A1971" s="2" t="s">
        <v>2242</v>
      </c>
      <c r="B1971" s="2">
        <f t="shared" si="60"/>
        <v>2019</v>
      </c>
      <c r="C1971" s="2" t="str">
        <f t="shared" si="61"/>
        <v>EC101</v>
      </c>
      <c r="D1971" s="2">
        <v>353</v>
      </c>
      <c r="F1971" s="1764"/>
      <c r="G1971" s="1764"/>
      <c r="H1971" s="1764"/>
      <c r="I1971" s="1764"/>
      <c r="J1971" s="1764"/>
      <c r="K1971" s="1764"/>
      <c r="L1971" s="1766"/>
      <c r="M1971" s="1766"/>
      <c r="N1971" s="1766"/>
      <c r="O1971" s="1766"/>
      <c r="P1971" s="1766"/>
      <c r="W1971" t="s">
        <v>2089</v>
      </c>
    </row>
    <row r="1972" spans="1:23" ht="13.15" customHeight="1" x14ac:dyDescent="0.2">
      <c r="A1972" s="2" t="s">
        <v>2242</v>
      </c>
      <c r="B1972" s="2">
        <f t="shared" si="60"/>
        <v>2019</v>
      </c>
      <c r="C1972" s="2" t="str">
        <f t="shared" si="61"/>
        <v>EC101</v>
      </c>
      <c r="D1972" s="2">
        <v>354</v>
      </c>
      <c r="F1972" s="1764"/>
      <c r="G1972" s="1764"/>
      <c r="H1972" s="1764"/>
      <c r="I1972" s="1764"/>
      <c r="J1972" s="1764"/>
      <c r="K1972" s="1764"/>
      <c r="L1972" s="1766"/>
      <c r="M1972" s="1766"/>
      <c r="N1972" s="1766"/>
      <c r="O1972" s="1766"/>
      <c r="P1972" s="1766"/>
      <c r="W1972" t="s">
        <v>2089</v>
      </c>
    </row>
    <row r="1973" spans="1:23" ht="13.15" customHeight="1" x14ac:dyDescent="0.2">
      <c r="A1973" s="2" t="s">
        <v>2242</v>
      </c>
      <c r="B1973" s="2">
        <f t="shared" si="60"/>
        <v>2019</v>
      </c>
      <c r="C1973" s="2" t="str">
        <f t="shared" si="61"/>
        <v>EC101</v>
      </c>
      <c r="D1973" s="2">
        <v>355</v>
      </c>
      <c r="F1973" s="1764"/>
      <c r="G1973" s="1764"/>
      <c r="H1973" s="1764"/>
      <c r="I1973" s="1764"/>
      <c r="J1973" s="1764"/>
      <c r="K1973" s="1764"/>
      <c r="L1973" s="1766"/>
      <c r="M1973" s="1766"/>
      <c r="N1973" s="1766"/>
      <c r="O1973" s="1766"/>
      <c r="P1973" s="1766"/>
      <c r="W1973" t="s">
        <v>2089</v>
      </c>
    </row>
    <row r="1974" spans="1:23" ht="13.15" customHeight="1" x14ac:dyDescent="0.2">
      <c r="A1974" s="2" t="s">
        <v>2242</v>
      </c>
      <c r="B1974" s="2">
        <f t="shared" si="60"/>
        <v>2019</v>
      </c>
      <c r="C1974" s="2" t="str">
        <f t="shared" si="61"/>
        <v>EC101</v>
      </c>
      <c r="D1974" s="2">
        <v>356</v>
      </c>
      <c r="F1974" s="1764"/>
      <c r="G1974" s="1764"/>
      <c r="H1974" s="1764"/>
      <c r="I1974" s="1764"/>
      <c r="J1974" s="1764"/>
      <c r="K1974" s="1764"/>
      <c r="L1974" s="1766"/>
      <c r="M1974" s="1766"/>
      <c r="N1974" s="1766"/>
      <c r="O1974" s="1766"/>
      <c r="P1974" s="1766"/>
      <c r="W1974" t="s">
        <v>2089</v>
      </c>
    </row>
    <row r="1975" spans="1:23" ht="13.15" customHeight="1" x14ac:dyDescent="0.2">
      <c r="A1975" s="2" t="s">
        <v>2242</v>
      </c>
      <c r="B1975" s="2">
        <f t="shared" si="60"/>
        <v>2019</v>
      </c>
      <c r="C1975" s="2" t="str">
        <f t="shared" si="61"/>
        <v>EC101</v>
      </c>
      <c r="D1975" s="2">
        <v>357</v>
      </c>
      <c r="F1975" s="1764"/>
      <c r="G1975" s="1764"/>
      <c r="H1975" s="1764"/>
      <c r="I1975" s="1764"/>
      <c r="J1975" s="1764"/>
      <c r="K1975" s="1764"/>
      <c r="L1975" s="1766"/>
      <c r="M1975" s="1766"/>
      <c r="N1975" s="1766"/>
      <c r="O1975" s="1766"/>
      <c r="P1975" s="1766"/>
      <c r="W1975" t="s">
        <v>2089</v>
      </c>
    </row>
    <row r="1976" spans="1:23" ht="13.15" customHeight="1" x14ac:dyDescent="0.2">
      <c r="A1976" s="2" t="s">
        <v>2242</v>
      </c>
      <c r="B1976" s="2">
        <f t="shared" si="60"/>
        <v>2019</v>
      </c>
      <c r="C1976" s="2" t="str">
        <f t="shared" si="61"/>
        <v>EC101</v>
      </c>
      <c r="D1976" s="2">
        <v>358</v>
      </c>
      <c r="F1976" s="1764"/>
      <c r="G1976" s="1764"/>
      <c r="H1976" s="1764"/>
      <c r="I1976" s="1764"/>
      <c r="J1976" s="1764"/>
      <c r="K1976" s="1764"/>
      <c r="L1976" s="1766"/>
      <c r="M1976" s="1766"/>
      <c r="N1976" s="1766"/>
      <c r="O1976" s="1766"/>
      <c r="P1976" s="1766"/>
      <c r="W1976" t="s">
        <v>2089</v>
      </c>
    </row>
    <row r="1977" spans="1:23" ht="13.15" customHeight="1" x14ac:dyDescent="0.2">
      <c r="A1977" s="2" t="s">
        <v>2242</v>
      </c>
      <c r="B1977" s="2">
        <f t="shared" si="60"/>
        <v>2019</v>
      </c>
      <c r="C1977" s="2" t="str">
        <f t="shared" si="61"/>
        <v>EC101</v>
      </c>
      <c r="D1977" s="2">
        <v>359</v>
      </c>
      <c r="F1977" s="1764"/>
      <c r="G1977" s="1764"/>
      <c r="H1977" s="1764"/>
      <c r="I1977" s="1764"/>
      <c r="J1977" s="1764"/>
      <c r="K1977" s="1764"/>
      <c r="L1977" s="1766"/>
      <c r="M1977" s="1766"/>
      <c r="N1977" s="1766"/>
      <c r="O1977" s="1766"/>
      <c r="P1977" s="1766"/>
      <c r="W1977" t="s">
        <v>2089</v>
      </c>
    </row>
    <row r="1978" spans="1:23" ht="13.15" customHeight="1" x14ac:dyDescent="0.2">
      <c r="A1978" s="2" t="s">
        <v>2242</v>
      </c>
      <c r="B1978" s="2">
        <f t="shared" si="60"/>
        <v>2019</v>
      </c>
      <c r="C1978" s="2" t="str">
        <f t="shared" si="61"/>
        <v>EC101</v>
      </c>
      <c r="D1978" s="2">
        <v>360</v>
      </c>
      <c r="F1978" s="1764"/>
      <c r="G1978" s="1764"/>
      <c r="H1978" s="1764"/>
      <c r="I1978" s="1764"/>
      <c r="J1978" s="1764"/>
      <c r="K1978" s="1764"/>
      <c r="L1978" s="1766"/>
      <c r="M1978" s="1766"/>
      <c r="N1978" s="1766"/>
      <c r="O1978" s="1766"/>
      <c r="P1978" s="1766"/>
      <c r="W1978" t="s">
        <v>2089</v>
      </c>
    </row>
    <row r="1979" spans="1:23" ht="13.15" customHeight="1" x14ac:dyDescent="0.2">
      <c r="A1979" s="2" t="s">
        <v>2242</v>
      </c>
      <c r="B1979" s="2">
        <f t="shared" si="60"/>
        <v>2019</v>
      </c>
      <c r="C1979" s="2" t="str">
        <f t="shared" si="61"/>
        <v>EC101</v>
      </c>
      <c r="D1979" s="2">
        <v>361</v>
      </c>
      <c r="F1979" s="1764"/>
      <c r="G1979" s="1764"/>
      <c r="H1979" s="1764"/>
      <c r="I1979" s="1764"/>
      <c r="J1979" s="1764"/>
      <c r="K1979" s="1764"/>
      <c r="L1979" s="1766"/>
      <c r="M1979" s="1766"/>
      <c r="N1979" s="1766"/>
      <c r="O1979" s="1766"/>
      <c r="P1979" s="1766"/>
      <c r="W1979" t="s">
        <v>2089</v>
      </c>
    </row>
    <row r="1980" spans="1:23" ht="13.15" customHeight="1" x14ac:dyDescent="0.2">
      <c r="A1980" s="2" t="s">
        <v>2242</v>
      </c>
      <c r="B1980" s="2">
        <f t="shared" si="60"/>
        <v>2019</v>
      </c>
      <c r="C1980" s="2" t="str">
        <f t="shared" si="61"/>
        <v>EC101</v>
      </c>
      <c r="D1980" s="2">
        <v>362</v>
      </c>
      <c r="F1980" s="1764"/>
      <c r="G1980" s="1764"/>
      <c r="H1980" s="1764"/>
      <c r="I1980" s="1764"/>
      <c r="J1980" s="1764"/>
      <c r="K1980" s="1764"/>
      <c r="L1980" s="1766"/>
      <c r="M1980" s="1766"/>
      <c r="N1980" s="1766"/>
      <c r="O1980" s="1766"/>
      <c r="P1980" s="1766"/>
      <c r="W1980" t="s">
        <v>2089</v>
      </c>
    </row>
    <row r="1981" spans="1:23" ht="13.15" customHeight="1" x14ac:dyDescent="0.2">
      <c r="A1981" s="2" t="s">
        <v>2242</v>
      </c>
      <c r="B1981" s="2">
        <f t="shared" si="60"/>
        <v>2019</v>
      </c>
      <c r="C1981" s="2" t="str">
        <f t="shared" si="61"/>
        <v>EC101</v>
      </c>
      <c r="D1981" s="2">
        <v>363</v>
      </c>
      <c r="F1981" s="1764"/>
      <c r="G1981" s="1764"/>
      <c r="H1981" s="1764"/>
      <c r="I1981" s="1764"/>
      <c r="J1981" s="1764"/>
      <c r="K1981" s="1764"/>
      <c r="L1981" s="1766"/>
      <c r="M1981" s="1766"/>
      <c r="N1981" s="1766"/>
      <c r="O1981" s="1766"/>
      <c r="P1981" s="1766"/>
      <c r="W1981" t="s">
        <v>2089</v>
      </c>
    </row>
    <row r="1982" spans="1:23" ht="13.15" customHeight="1" x14ac:dyDescent="0.2">
      <c r="A1982" s="2" t="s">
        <v>2242</v>
      </c>
      <c r="B1982" s="2">
        <f t="shared" si="60"/>
        <v>2019</v>
      </c>
      <c r="C1982" s="2" t="str">
        <f t="shared" si="61"/>
        <v>EC101</v>
      </c>
      <c r="D1982" s="2">
        <v>364</v>
      </c>
      <c r="F1982" s="1764"/>
      <c r="G1982" s="1764"/>
      <c r="H1982" s="1764"/>
      <c r="I1982" s="1764"/>
      <c r="J1982" s="1764"/>
      <c r="K1982" s="1764"/>
      <c r="L1982" s="1766"/>
      <c r="M1982" s="1766"/>
      <c r="N1982" s="1766"/>
      <c r="O1982" s="1766"/>
      <c r="P1982" s="1766"/>
      <c r="W1982" t="s">
        <v>2089</v>
      </c>
    </row>
    <row r="1983" spans="1:23" ht="13.15" customHeight="1" x14ac:dyDescent="0.2">
      <c r="A1983" s="2" t="s">
        <v>2242</v>
      </c>
      <c r="B1983" s="2">
        <f t="shared" si="60"/>
        <v>2019</v>
      </c>
      <c r="C1983" s="2" t="str">
        <f t="shared" si="61"/>
        <v>EC101</v>
      </c>
      <c r="D1983" s="2">
        <v>365</v>
      </c>
      <c r="F1983" s="1764"/>
      <c r="G1983" s="1764"/>
      <c r="H1983" s="1764"/>
      <c r="I1983" s="1764"/>
      <c r="J1983" s="1764"/>
      <c r="K1983" s="1764"/>
      <c r="L1983" s="1766"/>
      <c r="M1983" s="1766"/>
      <c r="N1983" s="1766"/>
      <c r="O1983" s="1766"/>
      <c r="P1983" s="1766"/>
      <c r="W1983" t="s">
        <v>2089</v>
      </c>
    </row>
    <row r="1984" spans="1:23" ht="13.15" customHeight="1" x14ac:dyDescent="0.2">
      <c r="A1984" s="2" t="s">
        <v>2242</v>
      </c>
      <c r="B1984" s="2">
        <f t="shared" si="60"/>
        <v>2019</v>
      </c>
      <c r="C1984" s="2" t="str">
        <f t="shared" si="61"/>
        <v>EC101</v>
      </c>
      <c r="D1984" s="2">
        <v>366</v>
      </c>
      <c r="F1984" s="1764"/>
      <c r="G1984" s="1764"/>
      <c r="H1984" s="1764"/>
      <c r="I1984" s="1764"/>
      <c r="J1984" s="1764"/>
      <c r="K1984" s="1764"/>
      <c r="L1984" s="1766"/>
      <c r="M1984" s="1766"/>
      <c r="N1984" s="1766"/>
      <c r="O1984" s="1766"/>
      <c r="P1984" s="1766"/>
      <c r="W1984" t="s">
        <v>2089</v>
      </c>
    </row>
    <row r="1985" spans="1:23" ht="13.15" customHeight="1" x14ac:dyDescent="0.2">
      <c r="A1985" s="2" t="s">
        <v>2242</v>
      </c>
      <c r="B1985" s="2">
        <f t="shared" si="60"/>
        <v>2019</v>
      </c>
      <c r="C1985" s="2" t="str">
        <f t="shared" si="61"/>
        <v>EC101</v>
      </c>
      <c r="D1985" s="2">
        <v>367</v>
      </c>
      <c r="F1985" s="1764"/>
      <c r="G1985" s="1764"/>
      <c r="H1985" s="1764"/>
      <c r="I1985" s="1764"/>
      <c r="J1985" s="1764"/>
      <c r="K1985" s="1764"/>
      <c r="L1985" s="1766"/>
      <c r="M1985" s="1766"/>
      <c r="N1985" s="1766"/>
      <c r="O1985" s="1766"/>
      <c r="P1985" s="1766"/>
      <c r="W1985" t="s">
        <v>2089</v>
      </c>
    </row>
    <row r="1986" spans="1:23" ht="13.15" customHeight="1" x14ac:dyDescent="0.2">
      <c r="A1986" s="2" t="s">
        <v>2242</v>
      </c>
      <c r="B1986" s="2">
        <f t="shared" ref="B1986:B2049" si="62">+MTREF</f>
        <v>2019</v>
      </c>
      <c r="C1986" s="2" t="str">
        <f t="shared" ref="C1986:C2049" si="63">LEFT(muni,(FIND(" ",muni,1)-1))</f>
        <v>EC101</v>
      </c>
      <c r="D1986" s="2">
        <v>368</v>
      </c>
      <c r="F1986" s="1764"/>
      <c r="G1986" s="1764"/>
      <c r="H1986" s="1764"/>
      <c r="I1986" s="1764"/>
      <c r="J1986" s="1764"/>
      <c r="K1986" s="1764"/>
      <c r="L1986" s="1766"/>
      <c r="M1986" s="1766"/>
      <c r="N1986" s="1766"/>
      <c r="O1986" s="1766"/>
      <c r="P1986" s="1766"/>
      <c r="W1986" t="s">
        <v>2089</v>
      </c>
    </row>
    <row r="1987" spans="1:23" ht="13.15" customHeight="1" x14ac:dyDescent="0.2">
      <c r="A1987" s="2" t="s">
        <v>2242</v>
      </c>
      <c r="B1987" s="2">
        <f t="shared" si="62"/>
        <v>2019</v>
      </c>
      <c r="C1987" s="2" t="str">
        <f t="shared" si="63"/>
        <v>EC101</v>
      </c>
      <c r="D1987" s="2">
        <v>369</v>
      </c>
      <c r="F1987" s="1764"/>
      <c r="G1987" s="1764"/>
      <c r="H1987" s="1764"/>
      <c r="I1987" s="1764"/>
      <c r="J1987" s="1764"/>
      <c r="K1987" s="1764"/>
      <c r="L1987" s="1766"/>
      <c r="M1987" s="1766"/>
      <c r="N1987" s="1766"/>
      <c r="O1987" s="1766"/>
      <c r="P1987" s="1766"/>
      <c r="W1987" t="s">
        <v>2089</v>
      </c>
    </row>
    <row r="1988" spans="1:23" ht="13.15" customHeight="1" x14ac:dyDescent="0.2">
      <c r="A1988" s="2" t="s">
        <v>2242</v>
      </c>
      <c r="B1988" s="2">
        <f t="shared" si="62"/>
        <v>2019</v>
      </c>
      <c r="C1988" s="2" t="str">
        <f t="shared" si="63"/>
        <v>EC101</v>
      </c>
      <c r="D1988" s="2">
        <v>370</v>
      </c>
      <c r="F1988" s="1764"/>
      <c r="G1988" s="1764"/>
      <c r="H1988" s="1764"/>
      <c r="I1988" s="1764"/>
      <c r="J1988" s="1764"/>
      <c r="K1988" s="1764"/>
      <c r="L1988" s="1766"/>
      <c r="M1988" s="1766"/>
      <c r="N1988" s="1766"/>
      <c r="O1988" s="1766"/>
      <c r="P1988" s="1766"/>
      <c r="W1988" t="s">
        <v>2089</v>
      </c>
    </row>
    <row r="1989" spans="1:23" ht="13.15" customHeight="1" x14ac:dyDescent="0.2">
      <c r="A1989" s="2" t="s">
        <v>2242</v>
      </c>
      <c r="B1989" s="2">
        <f t="shared" si="62"/>
        <v>2019</v>
      </c>
      <c r="C1989" s="2" t="str">
        <f t="shared" si="63"/>
        <v>EC101</v>
      </c>
      <c r="D1989" s="2">
        <v>371</v>
      </c>
      <c r="F1989" s="1764"/>
      <c r="G1989" s="1764"/>
      <c r="H1989" s="1764"/>
      <c r="I1989" s="1764"/>
      <c r="J1989" s="1764"/>
      <c r="K1989" s="1764"/>
      <c r="L1989" s="1766"/>
      <c r="M1989" s="1766"/>
      <c r="N1989" s="1766"/>
      <c r="O1989" s="1766"/>
      <c r="P1989" s="1766"/>
      <c r="W1989" t="s">
        <v>2089</v>
      </c>
    </row>
    <row r="1990" spans="1:23" ht="13.15" customHeight="1" x14ac:dyDescent="0.2">
      <c r="A1990" s="2" t="s">
        <v>2242</v>
      </c>
      <c r="B1990" s="2">
        <f t="shared" si="62"/>
        <v>2019</v>
      </c>
      <c r="C1990" s="2" t="str">
        <f t="shared" si="63"/>
        <v>EC101</v>
      </c>
      <c r="D1990" s="2">
        <v>372</v>
      </c>
      <c r="F1990" s="1764"/>
      <c r="G1990" s="1764"/>
      <c r="H1990" s="1764"/>
      <c r="I1990" s="1764"/>
      <c r="J1990" s="1764"/>
      <c r="K1990" s="1764"/>
      <c r="L1990" s="1766"/>
      <c r="M1990" s="1766"/>
      <c r="N1990" s="1766"/>
      <c r="O1990" s="1766"/>
      <c r="P1990" s="1766"/>
      <c r="W1990" t="s">
        <v>2089</v>
      </c>
    </row>
    <row r="1991" spans="1:23" ht="13.15" customHeight="1" x14ac:dyDescent="0.2">
      <c r="A1991" s="2" t="s">
        <v>2242</v>
      </c>
      <c r="B1991" s="2">
        <f t="shared" si="62"/>
        <v>2019</v>
      </c>
      <c r="C1991" s="2" t="str">
        <f t="shared" si="63"/>
        <v>EC101</v>
      </c>
      <c r="D1991" s="2">
        <v>373</v>
      </c>
      <c r="F1991" s="1764"/>
      <c r="G1991" s="1764"/>
      <c r="H1991" s="1764"/>
      <c r="I1991" s="1764"/>
      <c r="J1991" s="1764"/>
      <c r="K1991" s="1764"/>
      <c r="L1991" s="1766"/>
      <c r="M1991" s="1766"/>
      <c r="N1991" s="1766"/>
      <c r="O1991" s="1766"/>
      <c r="P1991" s="1766"/>
      <c r="W1991" t="s">
        <v>2089</v>
      </c>
    </row>
    <row r="1992" spans="1:23" ht="13.15" customHeight="1" x14ac:dyDescent="0.2">
      <c r="A1992" s="2" t="s">
        <v>2242</v>
      </c>
      <c r="B1992" s="2">
        <f t="shared" si="62"/>
        <v>2019</v>
      </c>
      <c r="C1992" s="2" t="str">
        <f t="shared" si="63"/>
        <v>EC101</v>
      </c>
      <c r="D1992" s="2">
        <v>374</v>
      </c>
      <c r="F1992" s="1764"/>
      <c r="G1992" s="1764"/>
      <c r="H1992" s="1764"/>
      <c r="I1992" s="1764"/>
      <c r="J1992" s="1764"/>
      <c r="K1992" s="1764"/>
      <c r="L1992" s="1766"/>
      <c r="M1992" s="1766"/>
      <c r="N1992" s="1766"/>
      <c r="O1992" s="1766"/>
      <c r="P1992" s="1766"/>
      <c r="W1992" t="s">
        <v>2089</v>
      </c>
    </row>
    <row r="1993" spans="1:23" ht="13.15" customHeight="1" x14ac:dyDescent="0.2">
      <c r="A1993" s="2" t="s">
        <v>2242</v>
      </c>
      <c r="B1993" s="2">
        <f t="shared" si="62"/>
        <v>2019</v>
      </c>
      <c r="C1993" s="2" t="str">
        <f t="shared" si="63"/>
        <v>EC101</v>
      </c>
      <c r="D1993" s="2">
        <v>375</v>
      </c>
      <c r="F1993" s="1764"/>
      <c r="G1993" s="1764"/>
      <c r="H1993" s="1764"/>
      <c r="I1993" s="1764"/>
      <c r="J1993" s="1764"/>
      <c r="K1993" s="1764"/>
      <c r="L1993" s="1766"/>
      <c r="M1993" s="1766"/>
      <c r="N1993" s="1766"/>
      <c r="O1993" s="1766"/>
      <c r="P1993" s="1766"/>
      <c r="W1993" t="s">
        <v>2089</v>
      </c>
    </row>
    <row r="1994" spans="1:23" ht="13.15" customHeight="1" x14ac:dyDescent="0.2">
      <c r="A1994" s="2" t="s">
        <v>2242</v>
      </c>
      <c r="B1994" s="2">
        <f t="shared" si="62"/>
        <v>2019</v>
      </c>
      <c r="C1994" s="2" t="str">
        <f t="shared" si="63"/>
        <v>EC101</v>
      </c>
      <c r="D1994" s="2">
        <v>376</v>
      </c>
      <c r="F1994" s="1764"/>
      <c r="G1994" s="1764"/>
      <c r="H1994" s="1764"/>
      <c r="I1994" s="1764"/>
      <c r="J1994" s="1764"/>
      <c r="K1994" s="1764"/>
      <c r="L1994" s="1766"/>
      <c r="M1994" s="1766"/>
      <c r="N1994" s="1766"/>
      <c r="O1994" s="1766"/>
      <c r="P1994" s="1766"/>
      <c r="W1994" t="s">
        <v>2089</v>
      </c>
    </row>
    <row r="1995" spans="1:23" ht="13.15" customHeight="1" x14ac:dyDescent="0.2">
      <c r="A1995" s="2" t="s">
        <v>2242</v>
      </c>
      <c r="B1995" s="2">
        <f t="shared" si="62"/>
        <v>2019</v>
      </c>
      <c r="C1995" s="2" t="str">
        <f t="shared" si="63"/>
        <v>EC101</v>
      </c>
      <c r="D1995" s="2">
        <v>377</v>
      </c>
      <c r="F1995" s="1764"/>
      <c r="G1995" s="1764"/>
      <c r="H1995" s="1764"/>
      <c r="I1995" s="1764"/>
      <c r="J1995" s="1764"/>
      <c r="K1995" s="1764"/>
      <c r="L1995" s="1766"/>
      <c r="M1995" s="1766"/>
      <c r="N1995" s="1766"/>
      <c r="O1995" s="1766"/>
      <c r="P1995" s="1766"/>
      <c r="W1995" t="s">
        <v>2089</v>
      </c>
    </row>
    <row r="1996" spans="1:23" ht="13.15" customHeight="1" x14ac:dyDescent="0.2">
      <c r="A1996" s="2" t="s">
        <v>2242</v>
      </c>
      <c r="B1996" s="2">
        <f t="shared" si="62"/>
        <v>2019</v>
      </c>
      <c r="C1996" s="2" t="str">
        <f t="shared" si="63"/>
        <v>EC101</v>
      </c>
      <c r="D1996" s="2">
        <v>378</v>
      </c>
      <c r="F1996" s="1764"/>
      <c r="G1996" s="1764"/>
      <c r="H1996" s="1764"/>
      <c r="I1996" s="1764"/>
      <c r="J1996" s="1764"/>
      <c r="K1996" s="1764"/>
      <c r="L1996" s="1766"/>
      <c r="M1996" s="1766"/>
      <c r="N1996" s="1766"/>
      <c r="O1996" s="1766"/>
      <c r="P1996" s="1766"/>
      <c r="W1996" t="s">
        <v>2089</v>
      </c>
    </row>
    <row r="1997" spans="1:23" ht="13.15" customHeight="1" x14ac:dyDescent="0.2">
      <c r="A1997" s="2" t="s">
        <v>2242</v>
      </c>
      <c r="B1997" s="2">
        <f t="shared" si="62"/>
        <v>2019</v>
      </c>
      <c r="C1997" s="2" t="str">
        <f t="shared" si="63"/>
        <v>EC101</v>
      </c>
      <c r="D1997" s="2">
        <v>379</v>
      </c>
      <c r="F1997" s="1764"/>
      <c r="G1997" s="1764"/>
      <c r="H1997" s="1764"/>
      <c r="I1997" s="1764"/>
      <c r="J1997" s="1764"/>
      <c r="K1997" s="1764"/>
      <c r="L1997" s="1766"/>
      <c r="M1997" s="1766"/>
      <c r="N1997" s="1766"/>
      <c r="O1997" s="1766"/>
      <c r="P1997" s="1766"/>
      <c r="W1997" t="s">
        <v>2089</v>
      </c>
    </row>
    <row r="1998" spans="1:23" ht="13.15" customHeight="1" x14ac:dyDescent="0.2">
      <c r="A1998" s="2" t="s">
        <v>2242</v>
      </c>
      <c r="B1998" s="2">
        <f t="shared" si="62"/>
        <v>2019</v>
      </c>
      <c r="C1998" s="2" t="str">
        <f t="shared" si="63"/>
        <v>EC101</v>
      </c>
      <c r="D1998" s="2">
        <v>380</v>
      </c>
      <c r="F1998" s="1764"/>
      <c r="G1998" s="1764"/>
      <c r="H1998" s="1764"/>
      <c r="I1998" s="1764"/>
      <c r="J1998" s="1764"/>
      <c r="K1998" s="1764"/>
      <c r="L1998" s="1766"/>
      <c r="M1998" s="1766"/>
      <c r="N1998" s="1766"/>
      <c r="O1998" s="1766"/>
      <c r="P1998" s="1766"/>
      <c r="W1998" t="s">
        <v>2089</v>
      </c>
    </row>
    <row r="1999" spans="1:23" ht="13.15" customHeight="1" x14ac:dyDescent="0.2">
      <c r="A1999" s="2" t="s">
        <v>2242</v>
      </c>
      <c r="B1999" s="2">
        <f t="shared" si="62"/>
        <v>2019</v>
      </c>
      <c r="C1999" s="2" t="str">
        <f t="shared" si="63"/>
        <v>EC101</v>
      </c>
      <c r="D1999" s="2">
        <v>381</v>
      </c>
      <c r="F1999" s="1764"/>
      <c r="G1999" s="1764"/>
      <c r="H1999" s="1764"/>
      <c r="I1999" s="1764"/>
      <c r="J1999" s="1764"/>
      <c r="K1999" s="1764"/>
      <c r="L1999" s="1766"/>
      <c r="M1999" s="1766"/>
      <c r="N1999" s="1766"/>
      <c r="O1999" s="1766"/>
      <c r="P1999" s="1766"/>
      <c r="W1999" t="s">
        <v>2089</v>
      </c>
    </row>
    <row r="2000" spans="1:23" ht="13.15" customHeight="1" x14ac:dyDescent="0.2">
      <c r="A2000" s="2" t="s">
        <v>2242</v>
      </c>
      <c r="B2000" s="2">
        <f t="shared" si="62"/>
        <v>2019</v>
      </c>
      <c r="C2000" s="2" t="str">
        <f t="shared" si="63"/>
        <v>EC101</v>
      </c>
      <c r="D2000" s="2">
        <v>382</v>
      </c>
      <c r="F2000" s="1764"/>
      <c r="G2000" s="1764"/>
      <c r="H2000" s="1764"/>
      <c r="I2000" s="1764"/>
      <c r="J2000" s="1764"/>
      <c r="K2000" s="1764"/>
      <c r="L2000" s="1766"/>
      <c r="M2000" s="1766"/>
      <c r="N2000" s="1766"/>
      <c r="O2000" s="1766"/>
      <c r="P2000" s="1766"/>
      <c r="W2000" t="s">
        <v>2089</v>
      </c>
    </row>
    <row r="2001" spans="1:23" ht="13.15" customHeight="1" x14ac:dyDescent="0.2">
      <c r="A2001" s="2" t="s">
        <v>2242</v>
      </c>
      <c r="B2001" s="2">
        <f t="shared" si="62"/>
        <v>2019</v>
      </c>
      <c r="C2001" s="2" t="str">
        <f t="shared" si="63"/>
        <v>EC101</v>
      </c>
      <c r="D2001" s="2">
        <v>383</v>
      </c>
      <c r="F2001" s="1764"/>
      <c r="G2001" s="1764"/>
      <c r="H2001" s="1764"/>
      <c r="I2001" s="1764"/>
      <c r="J2001" s="1764"/>
      <c r="K2001" s="1764"/>
      <c r="L2001" s="1766"/>
      <c r="M2001" s="1766"/>
      <c r="N2001" s="1766"/>
      <c r="O2001" s="1766"/>
      <c r="P2001" s="1766"/>
      <c r="W2001" t="s">
        <v>2089</v>
      </c>
    </row>
    <row r="2002" spans="1:23" ht="13.15" customHeight="1" x14ac:dyDescent="0.2">
      <c r="A2002" s="2" t="s">
        <v>2242</v>
      </c>
      <c r="B2002" s="2">
        <f t="shared" si="62"/>
        <v>2019</v>
      </c>
      <c r="C2002" s="2" t="str">
        <f t="shared" si="63"/>
        <v>EC101</v>
      </c>
      <c r="D2002" s="2">
        <v>384</v>
      </c>
      <c r="F2002" s="1764"/>
      <c r="G2002" s="1764"/>
      <c r="H2002" s="1764"/>
      <c r="I2002" s="1764"/>
      <c r="J2002" s="1764"/>
      <c r="K2002" s="1764"/>
      <c r="L2002" s="1766"/>
      <c r="M2002" s="1766"/>
      <c r="N2002" s="1766"/>
      <c r="O2002" s="1766"/>
      <c r="P2002" s="1766"/>
      <c r="W2002" t="s">
        <v>2089</v>
      </c>
    </row>
    <row r="2003" spans="1:23" ht="13.15" customHeight="1" x14ac:dyDescent="0.2">
      <c r="A2003" s="2" t="s">
        <v>2242</v>
      </c>
      <c r="B2003" s="2">
        <f t="shared" si="62"/>
        <v>2019</v>
      </c>
      <c r="C2003" s="2" t="str">
        <f t="shared" si="63"/>
        <v>EC101</v>
      </c>
      <c r="D2003" s="2">
        <v>385</v>
      </c>
      <c r="F2003" s="1764"/>
      <c r="G2003" s="1764"/>
      <c r="H2003" s="1764"/>
      <c r="I2003" s="1764"/>
      <c r="J2003" s="1764"/>
      <c r="K2003" s="1764"/>
      <c r="L2003" s="1766"/>
      <c r="M2003" s="1766"/>
      <c r="N2003" s="1766"/>
      <c r="O2003" s="1766"/>
      <c r="P2003" s="1766"/>
      <c r="W2003" t="s">
        <v>2089</v>
      </c>
    </row>
    <row r="2004" spans="1:23" ht="13.15" customHeight="1" x14ac:dyDescent="0.2">
      <c r="A2004" s="2" t="s">
        <v>2242</v>
      </c>
      <c r="B2004" s="2">
        <f t="shared" si="62"/>
        <v>2019</v>
      </c>
      <c r="C2004" s="2" t="str">
        <f t="shared" si="63"/>
        <v>EC101</v>
      </c>
      <c r="D2004" s="2">
        <v>386</v>
      </c>
      <c r="F2004" s="1764"/>
      <c r="G2004" s="1764"/>
      <c r="H2004" s="1764"/>
      <c r="I2004" s="1764"/>
      <c r="J2004" s="1764"/>
      <c r="K2004" s="1764"/>
      <c r="L2004" s="1766"/>
      <c r="M2004" s="1766"/>
      <c r="N2004" s="1766"/>
      <c r="O2004" s="1766"/>
      <c r="P2004" s="1766"/>
      <c r="W2004" t="s">
        <v>2089</v>
      </c>
    </row>
    <row r="2005" spans="1:23" ht="13.15" customHeight="1" x14ac:dyDescent="0.2">
      <c r="A2005" s="2" t="s">
        <v>2242</v>
      </c>
      <c r="B2005" s="2">
        <f t="shared" si="62"/>
        <v>2019</v>
      </c>
      <c r="C2005" s="2" t="str">
        <f t="shared" si="63"/>
        <v>EC101</v>
      </c>
      <c r="D2005" s="2">
        <v>387</v>
      </c>
      <c r="F2005" s="1764"/>
      <c r="G2005" s="1764"/>
      <c r="H2005" s="1764"/>
      <c r="I2005" s="1764"/>
      <c r="J2005" s="1764"/>
      <c r="K2005" s="1764"/>
      <c r="L2005" s="1766"/>
      <c r="M2005" s="1766"/>
      <c r="N2005" s="1766"/>
      <c r="O2005" s="1766"/>
      <c r="P2005" s="1766"/>
      <c r="W2005" t="s">
        <v>2089</v>
      </c>
    </row>
    <row r="2006" spans="1:23" ht="13.15" customHeight="1" x14ac:dyDescent="0.2">
      <c r="A2006" s="2" t="s">
        <v>2242</v>
      </c>
      <c r="B2006" s="2">
        <f t="shared" si="62"/>
        <v>2019</v>
      </c>
      <c r="C2006" s="2" t="str">
        <f t="shared" si="63"/>
        <v>EC101</v>
      </c>
      <c r="D2006" s="2">
        <v>388</v>
      </c>
      <c r="F2006" s="1764"/>
      <c r="G2006" s="1764"/>
      <c r="H2006" s="1764"/>
      <c r="I2006" s="1764"/>
      <c r="J2006" s="1764"/>
      <c r="K2006" s="1764"/>
      <c r="L2006" s="1766"/>
      <c r="M2006" s="1766"/>
      <c r="N2006" s="1766"/>
      <c r="O2006" s="1766"/>
      <c r="P2006" s="1766"/>
      <c r="W2006" t="s">
        <v>2089</v>
      </c>
    </row>
    <row r="2007" spans="1:23" ht="13.15" customHeight="1" x14ac:dyDescent="0.2">
      <c r="A2007" s="2" t="s">
        <v>2242</v>
      </c>
      <c r="B2007" s="2">
        <f t="shared" si="62"/>
        <v>2019</v>
      </c>
      <c r="C2007" s="2" t="str">
        <f t="shared" si="63"/>
        <v>EC101</v>
      </c>
      <c r="D2007" s="2">
        <v>389</v>
      </c>
      <c r="F2007" s="1764"/>
      <c r="G2007" s="1764"/>
      <c r="H2007" s="1764"/>
      <c r="I2007" s="1764"/>
      <c r="J2007" s="1764"/>
      <c r="K2007" s="1764"/>
      <c r="L2007" s="1766"/>
      <c r="M2007" s="1766"/>
      <c r="N2007" s="1766"/>
      <c r="O2007" s="1766"/>
      <c r="P2007" s="1766"/>
      <c r="W2007" t="s">
        <v>2089</v>
      </c>
    </row>
    <row r="2008" spans="1:23" ht="13.15" customHeight="1" x14ac:dyDescent="0.2">
      <c r="A2008" s="2" t="s">
        <v>2242</v>
      </c>
      <c r="B2008" s="2">
        <f t="shared" si="62"/>
        <v>2019</v>
      </c>
      <c r="C2008" s="2" t="str">
        <f t="shared" si="63"/>
        <v>EC101</v>
      </c>
      <c r="D2008" s="2">
        <v>390</v>
      </c>
      <c r="F2008" s="1764"/>
      <c r="G2008" s="1764"/>
      <c r="H2008" s="1764"/>
      <c r="I2008" s="1764"/>
      <c r="J2008" s="1764"/>
      <c r="K2008" s="1764"/>
      <c r="L2008" s="1766"/>
      <c r="M2008" s="1766"/>
      <c r="N2008" s="1766"/>
      <c r="O2008" s="1766"/>
      <c r="P2008" s="1766"/>
      <c r="W2008" t="s">
        <v>2089</v>
      </c>
    </row>
    <row r="2009" spans="1:23" ht="13.15" customHeight="1" x14ac:dyDescent="0.2">
      <c r="A2009" s="2" t="s">
        <v>2242</v>
      </c>
      <c r="B2009" s="2">
        <f t="shared" si="62"/>
        <v>2019</v>
      </c>
      <c r="C2009" s="2" t="str">
        <f t="shared" si="63"/>
        <v>EC101</v>
      </c>
      <c r="D2009" s="2">
        <v>391</v>
      </c>
      <c r="F2009" s="1764"/>
      <c r="G2009" s="1764"/>
      <c r="H2009" s="1764"/>
      <c r="I2009" s="1764"/>
      <c r="J2009" s="1764"/>
      <c r="K2009" s="1764"/>
      <c r="L2009" s="1766"/>
      <c r="M2009" s="1766"/>
      <c r="N2009" s="1766"/>
      <c r="O2009" s="1766"/>
      <c r="P2009" s="1766"/>
      <c r="W2009" t="s">
        <v>2089</v>
      </c>
    </row>
    <row r="2010" spans="1:23" ht="13.15" customHeight="1" x14ac:dyDescent="0.2">
      <c r="A2010" s="2" t="s">
        <v>2242</v>
      </c>
      <c r="B2010" s="2">
        <f t="shared" si="62"/>
        <v>2019</v>
      </c>
      <c r="C2010" s="2" t="str">
        <f t="shared" si="63"/>
        <v>EC101</v>
      </c>
      <c r="D2010" s="2">
        <v>392</v>
      </c>
      <c r="F2010" s="1764"/>
      <c r="G2010" s="1764"/>
      <c r="H2010" s="1764"/>
      <c r="I2010" s="1764"/>
      <c r="J2010" s="1764"/>
      <c r="K2010" s="1764"/>
      <c r="L2010" s="1766"/>
      <c r="M2010" s="1766"/>
      <c r="N2010" s="1766"/>
      <c r="O2010" s="1766"/>
      <c r="P2010" s="1766"/>
      <c r="W2010" t="s">
        <v>2089</v>
      </c>
    </row>
    <row r="2011" spans="1:23" ht="13.15" customHeight="1" x14ac:dyDescent="0.2">
      <c r="A2011" s="2" t="s">
        <v>2242</v>
      </c>
      <c r="B2011" s="2">
        <f t="shared" si="62"/>
        <v>2019</v>
      </c>
      <c r="C2011" s="2" t="str">
        <f t="shared" si="63"/>
        <v>EC101</v>
      </c>
      <c r="D2011" s="2">
        <v>393</v>
      </c>
      <c r="F2011" s="1764"/>
      <c r="G2011" s="1764"/>
      <c r="H2011" s="1764"/>
      <c r="I2011" s="1764"/>
      <c r="J2011" s="1764"/>
      <c r="K2011" s="1764"/>
      <c r="L2011" s="1766"/>
      <c r="M2011" s="1766"/>
      <c r="N2011" s="1766"/>
      <c r="O2011" s="1766"/>
      <c r="P2011" s="1766"/>
      <c r="W2011" t="s">
        <v>2089</v>
      </c>
    </row>
    <row r="2012" spans="1:23" ht="13.15" customHeight="1" x14ac:dyDescent="0.2">
      <c r="A2012" s="2" t="s">
        <v>2242</v>
      </c>
      <c r="B2012" s="2">
        <f t="shared" si="62"/>
        <v>2019</v>
      </c>
      <c r="C2012" s="2" t="str">
        <f t="shared" si="63"/>
        <v>EC101</v>
      </c>
      <c r="D2012" s="2">
        <v>394</v>
      </c>
      <c r="F2012" s="1764"/>
      <c r="G2012" s="1764"/>
      <c r="H2012" s="1764"/>
      <c r="I2012" s="1764"/>
      <c r="J2012" s="1764"/>
      <c r="K2012" s="1764"/>
      <c r="L2012" s="1766"/>
      <c r="M2012" s="1766"/>
      <c r="N2012" s="1766"/>
      <c r="O2012" s="1766"/>
      <c r="P2012" s="1766"/>
      <c r="W2012" t="s">
        <v>2089</v>
      </c>
    </row>
    <row r="2013" spans="1:23" ht="13.15" customHeight="1" x14ac:dyDescent="0.2">
      <c r="A2013" s="2" t="s">
        <v>2242</v>
      </c>
      <c r="B2013" s="2">
        <f t="shared" si="62"/>
        <v>2019</v>
      </c>
      <c r="C2013" s="2" t="str">
        <f t="shared" si="63"/>
        <v>EC101</v>
      </c>
      <c r="D2013" s="2">
        <v>395</v>
      </c>
      <c r="F2013" s="1764"/>
      <c r="G2013" s="1764"/>
      <c r="H2013" s="1764"/>
      <c r="I2013" s="1764"/>
      <c r="J2013" s="1764"/>
      <c r="K2013" s="1764"/>
      <c r="L2013" s="1766"/>
      <c r="M2013" s="1766"/>
      <c r="N2013" s="1766"/>
      <c r="O2013" s="1766"/>
      <c r="P2013" s="1766"/>
      <c r="W2013" t="s">
        <v>2089</v>
      </c>
    </row>
    <row r="2014" spans="1:23" ht="13.15" customHeight="1" x14ac:dyDescent="0.2">
      <c r="A2014" s="2" t="s">
        <v>2242</v>
      </c>
      <c r="B2014" s="2">
        <f t="shared" si="62"/>
        <v>2019</v>
      </c>
      <c r="C2014" s="2" t="str">
        <f t="shared" si="63"/>
        <v>EC101</v>
      </c>
      <c r="D2014" s="2">
        <v>396</v>
      </c>
      <c r="F2014" s="1764"/>
      <c r="G2014" s="1764"/>
      <c r="H2014" s="1764"/>
      <c r="I2014" s="1764"/>
      <c r="J2014" s="1764"/>
      <c r="K2014" s="1764"/>
      <c r="L2014" s="1766"/>
      <c r="M2014" s="1766"/>
      <c r="N2014" s="1766"/>
      <c r="O2014" s="1766"/>
      <c r="P2014" s="1766"/>
      <c r="W2014" t="s">
        <v>2089</v>
      </c>
    </row>
    <row r="2015" spans="1:23" ht="13.15" customHeight="1" x14ac:dyDescent="0.2">
      <c r="A2015" s="2" t="s">
        <v>2242</v>
      </c>
      <c r="B2015" s="2">
        <f t="shared" si="62"/>
        <v>2019</v>
      </c>
      <c r="C2015" s="2" t="str">
        <f t="shared" si="63"/>
        <v>EC101</v>
      </c>
      <c r="D2015" s="2">
        <v>397</v>
      </c>
      <c r="F2015" s="1764"/>
      <c r="G2015" s="1764"/>
      <c r="H2015" s="1764"/>
      <c r="I2015" s="1764"/>
      <c r="J2015" s="1764"/>
      <c r="K2015" s="1764"/>
      <c r="L2015" s="1766"/>
      <c r="M2015" s="1766"/>
      <c r="N2015" s="1766"/>
      <c r="O2015" s="1766"/>
      <c r="P2015" s="1766"/>
      <c r="W2015" t="s">
        <v>2089</v>
      </c>
    </row>
    <row r="2016" spans="1:23" ht="13.15" customHeight="1" x14ac:dyDescent="0.2">
      <c r="A2016" s="2" t="s">
        <v>2242</v>
      </c>
      <c r="B2016" s="2">
        <f t="shared" si="62"/>
        <v>2019</v>
      </c>
      <c r="C2016" s="2" t="str">
        <f t="shared" si="63"/>
        <v>EC101</v>
      </c>
      <c r="D2016" s="2">
        <v>398</v>
      </c>
      <c r="F2016" s="1764"/>
      <c r="G2016" s="1764"/>
      <c r="H2016" s="1764"/>
      <c r="I2016" s="1764"/>
      <c r="J2016" s="1764"/>
      <c r="K2016" s="1764"/>
      <c r="L2016" s="1766"/>
      <c r="M2016" s="1766"/>
      <c r="N2016" s="1766"/>
      <c r="O2016" s="1766"/>
      <c r="P2016" s="1766"/>
      <c r="W2016" t="s">
        <v>2089</v>
      </c>
    </row>
    <row r="2017" spans="1:23" ht="13.15" customHeight="1" x14ac:dyDescent="0.2">
      <c r="A2017" s="2" t="s">
        <v>2242</v>
      </c>
      <c r="B2017" s="2">
        <f t="shared" si="62"/>
        <v>2019</v>
      </c>
      <c r="C2017" s="2" t="str">
        <f t="shared" si="63"/>
        <v>EC101</v>
      </c>
      <c r="D2017" s="2">
        <v>399</v>
      </c>
      <c r="F2017" s="1764"/>
      <c r="G2017" s="1764"/>
      <c r="H2017" s="1764"/>
      <c r="I2017" s="1764"/>
      <c r="J2017" s="1764"/>
      <c r="K2017" s="1764"/>
      <c r="L2017" s="1766"/>
      <c r="M2017" s="1766"/>
      <c r="N2017" s="1766"/>
      <c r="O2017" s="1766"/>
      <c r="P2017" s="1766"/>
      <c r="W2017" t="s">
        <v>2089</v>
      </c>
    </row>
    <row r="2018" spans="1:23" ht="13.15" customHeight="1" x14ac:dyDescent="0.2">
      <c r="A2018" s="2" t="s">
        <v>2242</v>
      </c>
      <c r="B2018" s="2">
        <f t="shared" si="62"/>
        <v>2019</v>
      </c>
      <c r="C2018" s="2" t="str">
        <f t="shared" si="63"/>
        <v>EC101</v>
      </c>
      <c r="D2018" s="2">
        <v>400</v>
      </c>
      <c r="F2018" s="1764"/>
      <c r="G2018" s="1764"/>
      <c r="H2018" s="1764"/>
      <c r="I2018" s="1764"/>
      <c r="J2018" s="1764"/>
      <c r="K2018" s="1764"/>
      <c r="L2018" s="1766"/>
      <c r="M2018" s="1766"/>
      <c r="N2018" s="1766"/>
      <c r="O2018" s="1766"/>
      <c r="P2018" s="1766"/>
      <c r="W2018" t="s">
        <v>2089</v>
      </c>
    </row>
    <row r="2019" spans="1:23" ht="13.15" customHeight="1" x14ac:dyDescent="0.2">
      <c r="A2019" s="2" t="s">
        <v>2242</v>
      </c>
      <c r="B2019" s="2">
        <f t="shared" si="62"/>
        <v>2019</v>
      </c>
      <c r="C2019" s="2" t="str">
        <f t="shared" si="63"/>
        <v>EC101</v>
      </c>
      <c r="D2019" s="2">
        <v>401</v>
      </c>
      <c r="F2019" s="1764"/>
      <c r="G2019" s="1764"/>
      <c r="H2019" s="1764"/>
      <c r="I2019" s="1764"/>
      <c r="J2019" s="1764"/>
      <c r="K2019" s="1764"/>
      <c r="L2019" s="1766"/>
      <c r="M2019" s="1766"/>
      <c r="N2019" s="1766"/>
      <c r="O2019" s="1766"/>
      <c r="P2019" s="1766"/>
      <c r="W2019" t="s">
        <v>2089</v>
      </c>
    </row>
    <row r="2020" spans="1:23" ht="13.15" customHeight="1" x14ac:dyDescent="0.2">
      <c r="A2020" s="2" t="s">
        <v>2242</v>
      </c>
      <c r="B2020" s="2">
        <f t="shared" si="62"/>
        <v>2019</v>
      </c>
      <c r="C2020" s="2" t="str">
        <f t="shared" si="63"/>
        <v>EC101</v>
      </c>
      <c r="D2020" s="2">
        <v>402</v>
      </c>
      <c r="F2020" s="1764"/>
      <c r="G2020" s="1764"/>
      <c r="H2020" s="1764"/>
      <c r="I2020" s="1764"/>
      <c r="J2020" s="1764"/>
      <c r="K2020" s="1764"/>
      <c r="L2020" s="1766"/>
      <c r="M2020" s="1766"/>
      <c r="N2020" s="1766"/>
      <c r="O2020" s="1766"/>
      <c r="P2020" s="1766"/>
      <c r="W2020" t="s">
        <v>2089</v>
      </c>
    </row>
    <row r="2021" spans="1:23" ht="13.15" customHeight="1" x14ac:dyDescent="0.2">
      <c r="A2021" s="2" t="s">
        <v>2242</v>
      </c>
      <c r="B2021" s="2">
        <f t="shared" si="62"/>
        <v>2019</v>
      </c>
      <c r="C2021" s="2" t="str">
        <f t="shared" si="63"/>
        <v>EC101</v>
      </c>
      <c r="D2021" s="2">
        <v>403</v>
      </c>
      <c r="F2021" s="1764"/>
      <c r="G2021" s="1764"/>
      <c r="H2021" s="1764"/>
      <c r="I2021" s="1764"/>
      <c r="J2021" s="1764"/>
      <c r="K2021" s="1764"/>
      <c r="L2021" s="1766"/>
      <c r="M2021" s="1766"/>
      <c r="N2021" s="1766"/>
      <c r="O2021" s="1766"/>
      <c r="P2021" s="1766"/>
      <c r="W2021" t="s">
        <v>2089</v>
      </c>
    </row>
    <row r="2022" spans="1:23" ht="13.15" customHeight="1" x14ac:dyDescent="0.2">
      <c r="A2022" s="2" t="s">
        <v>2242</v>
      </c>
      <c r="B2022" s="2">
        <f t="shared" si="62"/>
        <v>2019</v>
      </c>
      <c r="C2022" s="2" t="str">
        <f t="shared" si="63"/>
        <v>EC101</v>
      </c>
      <c r="D2022" s="2">
        <v>404</v>
      </c>
      <c r="F2022" s="1764"/>
      <c r="G2022" s="1764"/>
      <c r="H2022" s="1764"/>
      <c r="I2022" s="1764"/>
      <c r="J2022" s="1764"/>
      <c r="K2022" s="1764"/>
      <c r="L2022" s="1766"/>
      <c r="M2022" s="1766"/>
      <c r="N2022" s="1766"/>
      <c r="O2022" s="1766"/>
      <c r="P2022" s="1766"/>
      <c r="W2022" t="s">
        <v>2089</v>
      </c>
    </row>
    <row r="2023" spans="1:23" ht="13.15" customHeight="1" x14ac:dyDescent="0.2">
      <c r="A2023" s="2" t="s">
        <v>2242</v>
      </c>
      <c r="B2023" s="2">
        <f t="shared" si="62"/>
        <v>2019</v>
      </c>
      <c r="C2023" s="2" t="str">
        <f t="shared" si="63"/>
        <v>EC101</v>
      </c>
      <c r="D2023" s="2">
        <v>405</v>
      </c>
      <c r="F2023" s="1764"/>
      <c r="G2023" s="1764"/>
      <c r="H2023" s="1764"/>
      <c r="I2023" s="1764"/>
      <c r="J2023" s="1764"/>
      <c r="K2023" s="1764"/>
      <c r="L2023" s="1766"/>
      <c r="M2023" s="1766"/>
      <c r="N2023" s="1766"/>
      <c r="O2023" s="1766"/>
      <c r="P2023" s="1766"/>
      <c r="W2023" t="s">
        <v>2089</v>
      </c>
    </row>
    <row r="2024" spans="1:23" ht="13.15" customHeight="1" x14ac:dyDescent="0.2">
      <c r="A2024" s="2" t="s">
        <v>2242</v>
      </c>
      <c r="B2024" s="2">
        <f t="shared" si="62"/>
        <v>2019</v>
      </c>
      <c r="C2024" s="2" t="str">
        <f t="shared" si="63"/>
        <v>EC101</v>
      </c>
      <c r="D2024" s="2">
        <v>406</v>
      </c>
      <c r="F2024" s="1764"/>
      <c r="G2024" s="1764"/>
      <c r="H2024" s="1764"/>
      <c r="I2024" s="1764"/>
      <c r="J2024" s="1764"/>
      <c r="K2024" s="1764"/>
      <c r="L2024" s="1766"/>
      <c r="M2024" s="1766"/>
      <c r="N2024" s="1766"/>
      <c r="O2024" s="1766"/>
      <c r="P2024" s="1766"/>
      <c r="W2024" t="s">
        <v>2089</v>
      </c>
    </row>
    <row r="2025" spans="1:23" ht="13.15" customHeight="1" x14ac:dyDescent="0.2">
      <c r="A2025" s="2" t="s">
        <v>2242</v>
      </c>
      <c r="B2025" s="2">
        <f t="shared" si="62"/>
        <v>2019</v>
      </c>
      <c r="C2025" s="2" t="str">
        <f t="shared" si="63"/>
        <v>EC101</v>
      </c>
      <c r="D2025" s="2">
        <v>407</v>
      </c>
      <c r="F2025" s="1764"/>
      <c r="G2025" s="1764"/>
      <c r="H2025" s="1764"/>
      <c r="I2025" s="1764"/>
      <c r="J2025" s="1764"/>
      <c r="K2025" s="1764"/>
      <c r="L2025" s="1766"/>
      <c r="M2025" s="1766"/>
      <c r="N2025" s="1766"/>
      <c r="O2025" s="1766"/>
      <c r="P2025" s="1766"/>
      <c r="W2025" t="s">
        <v>2089</v>
      </c>
    </row>
    <row r="2026" spans="1:23" ht="13.15" customHeight="1" x14ac:dyDescent="0.2">
      <c r="A2026" s="2" t="s">
        <v>2242</v>
      </c>
      <c r="B2026" s="2">
        <f t="shared" si="62"/>
        <v>2019</v>
      </c>
      <c r="C2026" s="2" t="str">
        <f t="shared" si="63"/>
        <v>EC101</v>
      </c>
      <c r="D2026" s="2">
        <v>408</v>
      </c>
      <c r="F2026" s="1764"/>
      <c r="G2026" s="1764"/>
      <c r="H2026" s="1764"/>
      <c r="I2026" s="1764"/>
      <c r="J2026" s="1764"/>
      <c r="K2026" s="1764"/>
      <c r="L2026" s="1766"/>
      <c r="M2026" s="1766"/>
      <c r="N2026" s="1766"/>
      <c r="O2026" s="1766"/>
      <c r="P2026" s="1766"/>
      <c r="W2026" t="s">
        <v>2089</v>
      </c>
    </row>
    <row r="2027" spans="1:23" ht="13.15" customHeight="1" x14ac:dyDescent="0.2">
      <c r="A2027" s="2" t="s">
        <v>2242</v>
      </c>
      <c r="B2027" s="2">
        <f t="shared" si="62"/>
        <v>2019</v>
      </c>
      <c r="C2027" s="2" t="str">
        <f t="shared" si="63"/>
        <v>EC101</v>
      </c>
      <c r="D2027" s="2">
        <v>409</v>
      </c>
      <c r="F2027" s="1764"/>
      <c r="G2027" s="1764"/>
      <c r="H2027" s="1764"/>
      <c r="I2027" s="1764"/>
      <c r="J2027" s="1764"/>
      <c r="K2027" s="1764"/>
      <c r="L2027" s="1766"/>
      <c r="M2027" s="1766"/>
      <c r="N2027" s="1766"/>
      <c r="O2027" s="1766"/>
      <c r="P2027" s="1766"/>
      <c r="W2027" t="s">
        <v>2089</v>
      </c>
    </row>
    <row r="2028" spans="1:23" ht="13.15" customHeight="1" x14ac:dyDescent="0.2">
      <c r="A2028" s="2" t="s">
        <v>2242</v>
      </c>
      <c r="B2028" s="2">
        <f t="shared" si="62"/>
        <v>2019</v>
      </c>
      <c r="C2028" s="2" t="str">
        <f t="shared" si="63"/>
        <v>EC101</v>
      </c>
      <c r="D2028" s="2">
        <v>410</v>
      </c>
      <c r="F2028" s="1764"/>
      <c r="G2028" s="1764"/>
      <c r="H2028" s="1764"/>
      <c r="I2028" s="1764"/>
      <c r="J2028" s="1764"/>
      <c r="K2028" s="1764"/>
      <c r="L2028" s="1766"/>
      <c r="M2028" s="1766"/>
      <c r="N2028" s="1766"/>
      <c r="O2028" s="1766"/>
      <c r="P2028" s="1766"/>
      <c r="W2028" t="s">
        <v>2089</v>
      </c>
    </row>
    <row r="2029" spans="1:23" ht="13.15" customHeight="1" x14ac:dyDescent="0.2">
      <c r="A2029" s="2" t="s">
        <v>2242</v>
      </c>
      <c r="B2029" s="2">
        <f t="shared" si="62"/>
        <v>2019</v>
      </c>
      <c r="C2029" s="2" t="str">
        <f t="shared" si="63"/>
        <v>EC101</v>
      </c>
      <c r="D2029" s="2">
        <v>411</v>
      </c>
      <c r="F2029" s="1764"/>
      <c r="G2029" s="1764"/>
      <c r="H2029" s="1764"/>
      <c r="I2029" s="1764"/>
      <c r="J2029" s="1764"/>
      <c r="K2029" s="1764"/>
      <c r="L2029" s="1766"/>
      <c r="M2029" s="1766"/>
      <c r="N2029" s="1766"/>
      <c r="O2029" s="1766"/>
      <c r="P2029" s="1766"/>
      <c r="W2029" t="s">
        <v>2089</v>
      </c>
    </row>
    <row r="2030" spans="1:23" ht="13.15" customHeight="1" x14ac:dyDescent="0.2">
      <c r="A2030" s="2" t="s">
        <v>2242</v>
      </c>
      <c r="B2030" s="2">
        <f t="shared" si="62"/>
        <v>2019</v>
      </c>
      <c r="C2030" s="2" t="str">
        <f t="shared" si="63"/>
        <v>EC101</v>
      </c>
      <c r="D2030" s="2">
        <v>412</v>
      </c>
      <c r="F2030" s="1764"/>
      <c r="G2030" s="1764"/>
      <c r="H2030" s="1764"/>
      <c r="I2030" s="1764"/>
      <c r="J2030" s="1764"/>
      <c r="K2030" s="1764"/>
      <c r="L2030" s="1766"/>
      <c r="M2030" s="1766"/>
      <c r="N2030" s="1766"/>
      <c r="O2030" s="1766"/>
      <c r="P2030" s="1766"/>
      <c r="W2030" t="s">
        <v>2089</v>
      </c>
    </row>
    <row r="2031" spans="1:23" ht="13.15" customHeight="1" x14ac:dyDescent="0.2">
      <c r="A2031" s="2" t="s">
        <v>2242</v>
      </c>
      <c r="B2031" s="2">
        <f t="shared" si="62"/>
        <v>2019</v>
      </c>
      <c r="C2031" s="2" t="str">
        <f t="shared" si="63"/>
        <v>EC101</v>
      </c>
      <c r="D2031" s="2">
        <v>413</v>
      </c>
      <c r="F2031" s="1764"/>
      <c r="G2031" s="1764"/>
      <c r="H2031" s="1764"/>
      <c r="I2031" s="1764"/>
      <c r="J2031" s="1764"/>
      <c r="K2031" s="1764"/>
      <c r="L2031" s="1766"/>
      <c r="M2031" s="1766"/>
      <c r="N2031" s="1766"/>
      <c r="O2031" s="1766"/>
      <c r="P2031" s="1766"/>
      <c r="W2031" t="s">
        <v>2089</v>
      </c>
    </row>
    <row r="2032" spans="1:23" ht="13.15" customHeight="1" x14ac:dyDescent="0.2">
      <c r="A2032" s="2" t="s">
        <v>2242</v>
      </c>
      <c r="B2032" s="2">
        <f t="shared" si="62"/>
        <v>2019</v>
      </c>
      <c r="C2032" s="2" t="str">
        <f t="shared" si="63"/>
        <v>EC101</v>
      </c>
      <c r="D2032" s="2">
        <v>414</v>
      </c>
      <c r="F2032" s="1764"/>
      <c r="G2032" s="1764"/>
      <c r="H2032" s="1764"/>
      <c r="I2032" s="1764"/>
      <c r="J2032" s="1764"/>
      <c r="K2032" s="1764"/>
      <c r="L2032" s="1766"/>
      <c r="M2032" s="1766"/>
      <c r="N2032" s="1766"/>
      <c r="O2032" s="1766"/>
      <c r="P2032" s="1766"/>
      <c r="W2032" t="s">
        <v>2089</v>
      </c>
    </row>
    <row r="2033" spans="1:23" ht="13.15" customHeight="1" x14ac:dyDescent="0.2">
      <c r="A2033" s="2" t="s">
        <v>2242</v>
      </c>
      <c r="B2033" s="2">
        <f t="shared" si="62"/>
        <v>2019</v>
      </c>
      <c r="C2033" s="2" t="str">
        <f t="shared" si="63"/>
        <v>EC101</v>
      </c>
      <c r="D2033" s="2">
        <v>415</v>
      </c>
      <c r="F2033" s="1764"/>
      <c r="G2033" s="1764"/>
      <c r="H2033" s="1764"/>
      <c r="I2033" s="1764"/>
      <c r="J2033" s="1764"/>
      <c r="K2033" s="1764"/>
      <c r="L2033" s="1766"/>
      <c r="M2033" s="1766"/>
      <c r="N2033" s="1766"/>
      <c r="O2033" s="1766"/>
      <c r="P2033" s="1766"/>
      <c r="W2033" t="s">
        <v>2089</v>
      </c>
    </row>
    <row r="2034" spans="1:23" ht="13.15" customHeight="1" x14ac:dyDescent="0.2">
      <c r="A2034" s="2" t="s">
        <v>2242</v>
      </c>
      <c r="B2034" s="2">
        <f t="shared" si="62"/>
        <v>2019</v>
      </c>
      <c r="C2034" s="2" t="str">
        <f t="shared" si="63"/>
        <v>EC101</v>
      </c>
      <c r="D2034" s="2">
        <v>416</v>
      </c>
      <c r="F2034" s="1764"/>
      <c r="G2034" s="1764"/>
      <c r="H2034" s="1764"/>
      <c r="I2034" s="1764"/>
      <c r="J2034" s="1764"/>
      <c r="K2034" s="1764"/>
      <c r="L2034" s="1766"/>
      <c r="M2034" s="1766"/>
      <c r="N2034" s="1766"/>
      <c r="O2034" s="1766"/>
      <c r="P2034" s="1766"/>
      <c r="W2034" t="s">
        <v>2089</v>
      </c>
    </row>
    <row r="2035" spans="1:23" ht="13.15" customHeight="1" x14ac:dyDescent="0.2">
      <c r="A2035" s="2" t="s">
        <v>2242</v>
      </c>
      <c r="B2035" s="2">
        <f t="shared" si="62"/>
        <v>2019</v>
      </c>
      <c r="C2035" s="2" t="str">
        <f t="shared" si="63"/>
        <v>EC101</v>
      </c>
      <c r="D2035" s="2">
        <v>417</v>
      </c>
      <c r="F2035" s="1764"/>
      <c r="G2035" s="1764"/>
      <c r="H2035" s="1764"/>
      <c r="I2035" s="1764"/>
      <c r="J2035" s="1764"/>
      <c r="K2035" s="1764"/>
      <c r="L2035" s="1766"/>
      <c r="M2035" s="1766"/>
      <c r="N2035" s="1766"/>
      <c r="O2035" s="1766"/>
      <c r="P2035" s="1766"/>
      <c r="W2035" t="s">
        <v>2089</v>
      </c>
    </row>
    <row r="2036" spans="1:23" ht="13.15" customHeight="1" x14ac:dyDescent="0.2">
      <c r="A2036" s="2" t="s">
        <v>2242</v>
      </c>
      <c r="B2036" s="2">
        <f t="shared" si="62"/>
        <v>2019</v>
      </c>
      <c r="C2036" s="2" t="str">
        <f t="shared" si="63"/>
        <v>EC101</v>
      </c>
      <c r="D2036" s="2">
        <v>418</v>
      </c>
      <c r="F2036" s="1764"/>
      <c r="G2036" s="1764"/>
      <c r="H2036" s="1764"/>
      <c r="I2036" s="1764"/>
      <c r="J2036" s="1764"/>
      <c r="K2036" s="1764"/>
      <c r="L2036" s="1766"/>
      <c r="M2036" s="1766"/>
      <c r="N2036" s="1766"/>
      <c r="O2036" s="1766"/>
      <c r="P2036" s="1766"/>
      <c r="W2036" t="s">
        <v>2089</v>
      </c>
    </row>
    <row r="2037" spans="1:23" ht="13.15" customHeight="1" x14ac:dyDescent="0.2">
      <c r="A2037" s="2" t="s">
        <v>2242</v>
      </c>
      <c r="B2037" s="2">
        <f t="shared" si="62"/>
        <v>2019</v>
      </c>
      <c r="C2037" s="2" t="str">
        <f t="shared" si="63"/>
        <v>EC101</v>
      </c>
      <c r="D2037" s="2">
        <v>419</v>
      </c>
      <c r="F2037" s="1764"/>
      <c r="G2037" s="1764"/>
      <c r="H2037" s="1764"/>
      <c r="I2037" s="1764"/>
      <c r="J2037" s="1764"/>
      <c r="K2037" s="1764"/>
      <c r="L2037" s="1766"/>
      <c r="M2037" s="1766"/>
      <c r="N2037" s="1766"/>
      <c r="O2037" s="1766"/>
      <c r="P2037" s="1766"/>
      <c r="W2037" t="s">
        <v>2089</v>
      </c>
    </row>
    <row r="2038" spans="1:23" ht="13.15" customHeight="1" x14ac:dyDescent="0.2">
      <c r="A2038" s="2" t="s">
        <v>2242</v>
      </c>
      <c r="B2038" s="2">
        <f t="shared" si="62"/>
        <v>2019</v>
      </c>
      <c r="C2038" s="2" t="str">
        <f t="shared" si="63"/>
        <v>EC101</v>
      </c>
      <c r="D2038" s="2">
        <v>420</v>
      </c>
      <c r="F2038" s="1764"/>
      <c r="G2038" s="1764"/>
      <c r="H2038" s="1764"/>
      <c r="I2038" s="1764"/>
      <c r="J2038" s="1764"/>
      <c r="K2038" s="1764"/>
      <c r="L2038" s="1766"/>
      <c r="M2038" s="1766"/>
      <c r="N2038" s="1766"/>
      <c r="O2038" s="1766"/>
      <c r="P2038" s="1766"/>
      <c r="W2038" t="s">
        <v>2089</v>
      </c>
    </row>
    <row r="2039" spans="1:23" ht="13.15" customHeight="1" x14ac:dyDescent="0.2">
      <c r="A2039" s="2" t="s">
        <v>2242</v>
      </c>
      <c r="B2039" s="2">
        <f t="shared" si="62"/>
        <v>2019</v>
      </c>
      <c r="C2039" s="2" t="str">
        <f t="shared" si="63"/>
        <v>EC101</v>
      </c>
      <c r="D2039" s="2">
        <v>421</v>
      </c>
      <c r="F2039" s="1764"/>
      <c r="G2039" s="1764"/>
      <c r="H2039" s="1764"/>
      <c r="I2039" s="1764"/>
      <c r="J2039" s="1764"/>
      <c r="K2039" s="1764"/>
      <c r="L2039" s="1766"/>
      <c r="M2039" s="1766"/>
      <c r="N2039" s="1766"/>
      <c r="O2039" s="1766"/>
      <c r="P2039" s="1766"/>
      <c r="W2039" t="s">
        <v>2089</v>
      </c>
    </row>
    <row r="2040" spans="1:23" ht="13.15" customHeight="1" x14ac:dyDescent="0.2">
      <c r="A2040" s="2" t="s">
        <v>2242</v>
      </c>
      <c r="B2040" s="2">
        <f t="shared" si="62"/>
        <v>2019</v>
      </c>
      <c r="C2040" s="2" t="str">
        <f t="shared" si="63"/>
        <v>EC101</v>
      </c>
      <c r="D2040" s="2">
        <v>422</v>
      </c>
      <c r="F2040" s="1764"/>
      <c r="G2040" s="1764"/>
      <c r="H2040" s="1764"/>
      <c r="I2040" s="1764"/>
      <c r="J2040" s="1764"/>
      <c r="K2040" s="1764"/>
      <c r="L2040" s="1766"/>
      <c r="M2040" s="1766"/>
      <c r="N2040" s="1766"/>
      <c r="O2040" s="1766"/>
      <c r="P2040" s="1766"/>
      <c r="W2040" t="s">
        <v>2089</v>
      </c>
    </row>
    <row r="2041" spans="1:23" ht="13.15" customHeight="1" x14ac:dyDescent="0.2">
      <c r="A2041" s="2" t="s">
        <v>2242</v>
      </c>
      <c r="B2041" s="2">
        <f t="shared" si="62"/>
        <v>2019</v>
      </c>
      <c r="C2041" s="2" t="str">
        <f t="shared" si="63"/>
        <v>EC101</v>
      </c>
      <c r="D2041" s="2">
        <v>423</v>
      </c>
      <c r="F2041" s="1764"/>
      <c r="G2041" s="1764"/>
      <c r="H2041" s="1764"/>
      <c r="I2041" s="1764"/>
      <c r="J2041" s="1764"/>
      <c r="K2041" s="1764"/>
      <c r="L2041" s="1766"/>
      <c r="M2041" s="1766"/>
      <c r="N2041" s="1766"/>
      <c r="O2041" s="1766"/>
      <c r="P2041" s="1766"/>
      <c r="W2041" t="s">
        <v>2089</v>
      </c>
    </row>
    <row r="2042" spans="1:23" ht="13.15" customHeight="1" x14ac:dyDescent="0.2">
      <c r="A2042" s="2" t="s">
        <v>2242</v>
      </c>
      <c r="B2042" s="2">
        <f t="shared" si="62"/>
        <v>2019</v>
      </c>
      <c r="C2042" s="2" t="str">
        <f t="shared" si="63"/>
        <v>EC101</v>
      </c>
      <c r="D2042" s="2">
        <v>424</v>
      </c>
      <c r="F2042" s="1764"/>
      <c r="G2042" s="1764"/>
      <c r="H2042" s="1764"/>
      <c r="I2042" s="1764"/>
      <c r="J2042" s="1764"/>
      <c r="K2042" s="1764"/>
      <c r="L2042" s="1766"/>
      <c r="M2042" s="1766"/>
      <c r="N2042" s="1766"/>
      <c r="O2042" s="1766"/>
      <c r="P2042" s="1766"/>
      <c r="W2042" t="s">
        <v>2089</v>
      </c>
    </row>
    <row r="2043" spans="1:23" ht="13.15" customHeight="1" x14ac:dyDescent="0.2">
      <c r="A2043" s="2" t="s">
        <v>2242</v>
      </c>
      <c r="B2043" s="2">
        <f t="shared" si="62"/>
        <v>2019</v>
      </c>
      <c r="C2043" s="2" t="str">
        <f t="shared" si="63"/>
        <v>EC101</v>
      </c>
      <c r="D2043" s="2">
        <v>425</v>
      </c>
      <c r="F2043" s="1764"/>
      <c r="G2043" s="1764"/>
      <c r="H2043" s="1764"/>
      <c r="I2043" s="1764"/>
      <c r="J2043" s="1764"/>
      <c r="K2043" s="1764"/>
      <c r="L2043" s="1766"/>
      <c r="M2043" s="1766"/>
      <c r="N2043" s="1766"/>
      <c r="O2043" s="1766"/>
      <c r="P2043" s="1766"/>
      <c r="W2043" t="s">
        <v>2089</v>
      </c>
    </row>
    <row r="2044" spans="1:23" ht="13.15" customHeight="1" x14ac:dyDescent="0.2">
      <c r="A2044" s="2" t="s">
        <v>2242</v>
      </c>
      <c r="B2044" s="2">
        <f t="shared" si="62"/>
        <v>2019</v>
      </c>
      <c r="C2044" s="2" t="str">
        <f t="shared" si="63"/>
        <v>EC101</v>
      </c>
      <c r="D2044" s="2">
        <v>426</v>
      </c>
      <c r="F2044" s="1764"/>
      <c r="G2044" s="1764"/>
      <c r="H2044" s="1764"/>
      <c r="I2044" s="1764"/>
      <c r="J2044" s="1764"/>
      <c r="K2044" s="1764"/>
      <c r="L2044" s="1766"/>
      <c r="M2044" s="1766"/>
      <c r="N2044" s="1766"/>
      <c r="O2044" s="1766"/>
      <c r="P2044" s="1766"/>
      <c r="W2044" t="s">
        <v>2089</v>
      </c>
    </row>
    <row r="2045" spans="1:23" ht="13.15" customHeight="1" x14ac:dyDescent="0.2">
      <c r="A2045" s="2" t="s">
        <v>2242</v>
      </c>
      <c r="B2045" s="2">
        <f t="shared" si="62"/>
        <v>2019</v>
      </c>
      <c r="C2045" s="2" t="str">
        <f t="shared" si="63"/>
        <v>EC101</v>
      </c>
      <c r="D2045" s="2">
        <v>427</v>
      </c>
      <c r="F2045" s="1764"/>
      <c r="G2045" s="1764"/>
      <c r="H2045" s="1764"/>
      <c r="I2045" s="1764"/>
      <c r="J2045" s="1764"/>
      <c r="K2045" s="1764"/>
      <c r="L2045" s="1766"/>
      <c r="M2045" s="1766"/>
      <c r="N2045" s="1766"/>
      <c r="O2045" s="1766"/>
      <c r="P2045" s="1766"/>
      <c r="W2045" t="s">
        <v>2089</v>
      </c>
    </row>
    <row r="2046" spans="1:23" ht="13.15" customHeight="1" x14ac:dyDescent="0.2">
      <c r="A2046" s="2" t="s">
        <v>2242</v>
      </c>
      <c r="B2046" s="2">
        <f t="shared" si="62"/>
        <v>2019</v>
      </c>
      <c r="C2046" s="2" t="str">
        <f t="shared" si="63"/>
        <v>EC101</v>
      </c>
      <c r="D2046" s="2">
        <v>428</v>
      </c>
      <c r="F2046" s="1764"/>
      <c r="G2046" s="1764"/>
      <c r="H2046" s="1764"/>
      <c r="I2046" s="1764"/>
      <c r="J2046" s="1764"/>
      <c r="K2046" s="1764"/>
      <c r="L2046" s="1766"/>
      <c r="M2046" s="1766"/>
      <c r="N2046" s="1766"/>
      <c r="O2046" s="1766"/>
      <c r="P2046" s="1766"/>
      <c r="W2046" t="s">
        <v>2089</v>
      </c>
    </row>
    <row r="2047" spans="1:23" ht="13.15" customHeight="1" x14ac:dyDescent="0.2">
      <c r="A2047" s="2" t="s">
        <v>2242</v>
      </c>
      <c r="B2047" s="2">
        <f t="shared" si="62"/>
        <v>2019</v>
      </c>
      <c r="C2047" s="2" t="str">
        <f t="shared" si="63"/>
        <v>EC101</v>
      </c>
      <c r="D2047" s="2">
        <v>429</v>
      </c>
      <c r="F2047" s="1764"/>
      <c r="G2047" s="1764"/>
      <c r="H2047" s="1764"/>
      <c r="I2047" s="1764"/>
      <c r="J2047" s="1764"/>
      <c r="K2047" s="1764"/>
      <c r="L2047" s="1766"/>
      <c r="M2047" s="1766"/>
      <c r="N2047" s="1766"/>
      <c r="O2047" s="1766"/>
      <c r="P2047" s="1766"/>
      <c r="W2047" t="s">
        <v>2089</v>
      </c>
    </row>
    <row r="2048" spans="1:23" ht="13.15" customHeight="1" x14ac:dyDescent="0.2">
      <c r="A2048" s="2" t="s">
        <v>2242</v>
      </c>
      <c r="B2048" s="2">
        <f t="shared" si="62"/>
        <v>2019</v>
      </c>
      <c r="C2048" s="2" t="str">
        <f t="shared" si="63"/>
        <v>EC101</v>
      </c>
      <c r="D2048" s="2">
        <v>430</v>
      </c>
      <c r="F2048" s="1764"/>
      <c r="G2048" s="1764"/>
      <c r="H2048" s="1764"/>
      <c r="I2048" s="1764"/>
      <c r="J2048" s="1764"/>
      <c r="K2048" s="1764"/>
      <c r="L2048" s="1766"/>
      <c r="M2048" s="1766"/>
      <c r="N2048" s="1766"/>
      <c r="O2048" s="1766"/>
      <c r="P2048" s="1766"/>
      <c r="W2048" t="s">
        <v>2089</v>
      </c>
    </row>
    <row r="2049" spans="1:23" ht="13.15" customHeight="1" x14ac:dyDescent="0.2">
      <c r="A2049" s="2" t="s">
        <v>2242</v>
      </c>
      <c r="B2049" s="2">
        <f t="shared" si="62"/>
        <v>2019</v>
      </c>
      <c r="C2049" s="2" t="str">
        <f t="shared" si="63"/>
        <v>EC101</v>
      </c>
      <c r="D2049" s="2">
        <v>431</v>
      </c>
      <c r="F2049" s="1764"/>
      <c r="G2049" s="1764"/>
      <c r="H2049" s="1764"/>
      <c r="I2049" s="1764"/>
      <c r="J2049" s="1764"/>
      <c r="K2049" s="1764"/>
      <c r="L2049" s="1766"/>
      <c r="M2049" s="1766"/>
      <c r="N2049" s="1766"/>
      <c r="O2049" s="1766"/>
      <c r="P2049" s="1766"/>
      <c r="W2049" t="s">
        <v>2089</v>
      </c>
    </row>
    <row r="2050" spans="1:23" ht="13.15" customHeight="1" x14ac:dyDescent="0.2">
      <c r="A2050" s="2" t="s">
        <v>2242</v>
      </c>
      <c r="B2050" s="2">
        <f t="shared" ref="B2050:B2113" si="64">+MTREF</f>
        <v>2019</v>
      </c>
      <c r="C2050" s="2" t="str">
        <f t="shared" ref="C2050:C2113" si="65">LEFT(muni,(FIND(" ",muni,1)-1))</f>
        <v>EC101</v>
      </c>
      <c r="D2050" s="2">
        <v>432</v>
      </c>
      <c r="F2050" s="1764"/>
      <c r="G2050" s="1764"/>
      <c r="H2050" s="1764"/>
      <c r="I2050" s="1764"/>
      <c r="J2050" s="1764"/>
      <c r="K2050" s="1764"/>
      <c r="L2050" s="1766"/>
      <c r="M2050" s="1766"/>
      <c r="N2050" s="1766"/>
      <c r="O2050" s="1766"/>
      <c r="P2050" s="1766"/>
      <c r="W2050" t="s">
        <v>2089</v>
      </c>
    </row>
    <row r="2051" spans="1:23" ht="13.15" customHeight="1" x14ac:dyDescent="0.2">
      <c r="A2051" s="2" t="s">
        <v>2242</v>
      </c>
      <c r="B2051" s="2">
        <f t="shared" si="64"/>
        <v>2019</v>
      </c>
      <c r="C2051" s="2" t="str">
        <f t="shared" si="65"/>
        <v>EC101</v>
      </c>
      <c r="D2051" s="2">
        <v>433</v>
      </c>
      <c r="F2051" s="1764"/>
      <c r="G2051" s="1764"/>
      <c r="H2051" s="1764"/>
      <c r="I2051" s="1764"/>
      <c r="J2051" s="1764"/>
      <c r="K2051" s="1764"/>
      <c r="L2051" s="1766"/>
      <c r="M2051" s="1766"/>
      <c r="N2051" s="1766"/>
      <c r="O2051" s="1766"/>
      <c r="P2051" s="1766"/>
      <c r="W2051" t="s">
        <v>2089</v>
      </c>
    </row>
    <row r="2052" spans="1:23" ht="13.15" customHeight="1" x14ac:dyDescent="0.2">
      <c r="A2052" s="2" t="s">
        <v>2242</v>
      </c>
      <c r="B2052" s="2">
        <f t="shared" si="64"/>
        <v>2019</v>
      </c>
      <c r="C2052" s="2" t="str">
        <f t="shared" si="65"/>
        <v>EC101</v>
      </c>
      <c r="D2052" s="2">
        <v>434</v>
      </c>
      <c r="F2052" s="1764"/>
      <c r="G2052" s="1764"/>
      <c r="H2052" s="1764"/>
      <c r="I2052" s="1764"/>
      <c r="J2052" s="1764"/>
      <c r="K2052" s="1764"/>
      <c r="L2052" s="1766"/>
      <c r="M2052" s="1766"/>
      <c r="N2052" s="1766"/>
      <c r="O2052" s="1766"/>
      <c r="P2052" s="1766"/>
      <c r="W2052" t="s">
        <v>2089</v>
      </c>
    </row>
    <row r="2053" spans="1:23" ht="13.15" customHeight="1" x14ac:dyDescent="0.2">
      <c r="A2053" s="2" t="s">
        <v>2242</v>
      </c>
      <c r="B2053" s="2">
        <f t="shared" si="64"/>
        <v>2019</v>
      </c>
      <c r="C2053" s="2" t="str">
        <f t="shared" si="65"/>
        <v>EC101</v>
      </c>
      <c r="D2053" s="2">
        <v>435</v>
      </c>
      <c r="F2053" s="1764"/>
      <c r="G2053" s="1764"/>
      <c r="H2053" s="1764"/>
      <c r="I2053" s="1764"/>
      <c r="J2053" s="1764"/>
      <c r="K2053" s="1764"/>
      <c r="L2053" s="1766"/>
      <c r="M2053" s="1766"/>
      <c r="N2053" s="1766"/>
      <c r="O2053" s="1766"/>
      <c r="P2053" s="1766"/>
      <c r="W2053" t="s">
        <v>2089</v>
      </c>
    </row>
    <row r="2054" spans="1:23" ht="13.15" customHeight="1" x14ac:dyDescent="0.2">
      <c r="A2054" s="2" t="s">
        <v>2242</v>
      </c>
      <c r="B2054" s="2">
        <f t="shared" si="64"/>
        <v>2019</v>
      </c>
      <c r="C2054" s="2" t="str">
        <f t="shared" si="65"/>
        <v>EC101</v>
      </c>
      <c r="D2054" s="2">
        <v>436</v>
      </c>
      <c r="F2054" s="1764"/>
      <c r="G2054" s="1764"/>
      <c r="H2054" s="1764"/>
      <c r="I2054" s="1764"/>
      <c r="J2054" s="1764"/>
      <c r="K2054" s="1764"/>
      <c r="L2054" s="1766"/>
      <c r="M2054" s="1766"/>
      <c r="N2054" s="1766"/>
      <c r="O2054" s="1766"/>
      <c r="P2054" s="1766"/>
      <c r="W2054" t="s">
        <v>2089</v>
      </c>
    </row>
    <row r="2055" spans="1:23" ht="13.15" customHeight="1" x14ac:dyDescent="0.2">
      <c r="A2055" s="2" t="s">
        <v>2242</v>
      </c>
      <c r="B2055" s="2">
        <f t="shared" si="64"/>
        <v>2019</v>
      </c>
      <c r="C2055" s="2" t="str">
        <f t="shared" si="65"/>
        <v>EC101</v>
      </c>
      <c r="D2055" s="2">
        <v>437</v>
      </c>
      <c r="F2055" s="1764"/>
      <c r="G2055" s="1764"/>
      <c r="H2055" s="1764"/>
      <c r="I2055" s="1764"/>
      <c r="J2055" s="1764"/>
      <c r="K2055" s="1764"/>
      <c r="L2055" s="1766"/>
      <c r="M2055" s="1766"/>
      <c r="N2055" s="1766"/>
      <c r="O2055" s="1766"/>
      <c r="P2055" s="1766"/>
      <c r="W2055" t="s">
        <v>2089</v>
      </c>
    </row>
    <row r="2056" spans="1:23" ht="13.15" customHeight="1" x14ac:dyDescent="0.2">
      <c r="A2056" s="2" t="s">
        <v>2242</v>
      </c>
      <c r="B2056" s="2">
        <f t="shared" si="64"/>
        <v>2019</v>
      </c>
      <c r="C2056" s="2" t="str">
        <f t="shared" si="65"/>
        <v>EC101</v>
      </c>
      <c r="D2056" s="2">
        <v>438</v>
      </c>
      <c r="F2056" s="1764"/>
      <c r="G2056" s="1764"/>
      <c r="H2056" s="1764"/>
      <c r="I2056" s="1764"/>
      <c r="J2056" s="1764"/>
      <c r="K2056" s="1764"/>
      <c r="L2056" s="1766"/>
      <c r="M2056" s="1766"/>
      <c r="N2056" s="1766"/>
      <c r="O2056" s="1766"/>
      <c r="P2056" s="1766"/>
      <c r="W2056" t="s">
        <v>2089</v>
      </c>
    </row>
    <row r="2057" spans="1:23" ht="13.15" customHeight="1" x14ac:dyDescent="0.2">
      <c r="A2057" s="2" t="s">
        <v>2242</v>
      </c>
      <c r="B2057" s="2">
        <f t="shared" si="64"/>
        <v>2019</v>
      </c>
      <c r="C2057" s="2" t="str">
        <f t="shared" si="65"/>
        <v>EC101</v>
      </c>
      <c r="D2057" s="2">
        <v>439</v>
      </c>
      <c r="F2057" s="1764"/>
      <c r="G2057" s="1764"/>
      <c r="H2057" s="1764"/>
      <c r="I2057" s="1764"/>
      <c r="J2057" s="1764"/>
      <c r="K2057" s="1764"/>
      <c r="L2057" s="1766"/>
      <c r="M2057" s="1766"/>
      <c r="N2057" s="1766"/>
      <c r="O2057" s="1766"/>
      <c r="P2057" s="1766"/>
      <c r="W2057" t="s">
        <v>2089</v>
      </c>
    </row>
    <row r="2058" spans="1:23" ht="13.15" customHeight="1" x14ac:dyDescent="0.2">
      <c r="A2058" s="2" t="s">
        <v>2242</v>
      </c>
      <c r="B2058" s="2">
        <f t="shared" si="64"/>
        <v>2019</v>
      </c>
      <c r="C2058" s="2" t="str">
        <f t="shared" si="65"/>
        <v>EC101</v>
      </c>
      <c r="D2058" s="2">
        <v>440</v>
      </c>
      <c r="F2058" s="1764"/>
      <c r="G2058" s="1764"/>
      <c r="H2058" s="1764"/>
      <c r="I2058" s="1764"/>
      <c r="J2058" s="1764"/>
      <c r="K2058" s="1764"/>
      <c r="L2058" s="1766"/>
      <c r="M2058" s="1766"/>
      <c r="N2058" s="1766"/>
      <c r="O2058" s="1766"/>
      <c r="P2058" s="1766"/>
      <c r="W2058" t="s">
        <v>2089</v>
      </c>
    </row>
    <row r="2059" spans="1:23" ht="13.15" customHeight="1" x14ac:dyDescent="0.2">
      <c r="A2059" s="2" t="s">
        <v>2242</v>
      </c>
      <c r="B2059" s="2">
        <f t="shared" si="64"/>
        <v>2019</v>
      </c>
      <c r="C2059" s="2" t="str">
        <f t="shared" si="65"/>
        <v>EC101</v>
      </c>
      <c r="D2059" s="2">
        <v>441</v>
      </c>
      <c r="F2059" s="1764"/>
      <c r="G2059" s="1764"/>
      <c r="H2059" s="1764"/>
      <c r="I2059" s="1764"/>
      <c r="J2059" s="1764"/>
      <c r="K2059" s="1764"/>
      <c r="L2059" s="1766"/>
      <c r="M2059" s="1766"/>
      <c r="N2059" s="1766"/>
      <c r="O2059" s="1766"/>
      <c r="P2059" s="1766"/>
      <c r="W2059" t="s">
        <v>2089</v>
      </c>
    </row>
    <row r="2060" spans="1:23" ht="13.15" customHeight="1" x14ac:dyDescent="0.2">
      <c r="A2060" s="2" t="s">
        <v>2242</v>
      </c>
      <c r="B2060" s="2">
        <f t="shared" si="64"/>
        <v>2019</v>
      </c>
      <c r="C2060" s="2" t="str">
        <f t="shared" si="65"/>
        <v>EC101</v>
      </c>
      <c r="D2060" s="2">
        <v>442</v>
      </c>
      <c r="F2060" s="1764"/>
      <c r="G2060" s="1764"/>
      <c r="H2060" s="1764"/>
      <c r="I2060" s="1764"/>
      <c r="J2060" s="1764"/>
      <c r="K2060" s="1764"/>
      <c r="L2060" s="1766"/>
      <c r="M2060" s="1766"/>
      <c r="N2060" s="1766"/>
      <c r="O2060" s="1766"/>
      <c r="P2060" s="1766"/>
      <c r="W2060" t="s">
        <v>2089</v>
      </c>
    </row>
    <row r="2061" spans="1:23" ht="13.15" customHeight="1" x14ac:dyDescent="0.2">
      <c r="A2061" s="2" t="s">
        <v>2242</v>
      </c>
      <c r="B2061" s="2">
        <f t="shared" si="64"/>
        <v>2019</v>
      </c>
      <c r="C2061" s="2" t="str">
        <f t="shared" si="65"/>
        <v>EC101</v>
      </c>
      <c r="D2061" s="2">
        <v>443</v>
      </c>
      <c r="F2061" s="1764"/>
      <c r="G2061" s="1764"/>
      <c r="H2061" s="1764"/>
      <c r="I2061" s="1764"/>
      <c r="J2061" s="1764"/>
      <c r="K2061" s="1764"/>
      <c r="L2061" s="1766"/>
      <c r="M2061" s="1766"/>
      <c r="N2061" s="1766"/>
      <c r="O2061" s="1766"/>
      <c r="P2061" s="1766"/>
      <c r="W2061" t="s">
        <v>2089</v>
      </c>
    </row>
    <row r="2062" spans="1:23" ht="13.15" customHeight="1" x14ac:dyDescent="0.2">
      <c r="A2062" s="2" t="s">
        <v>2242</v>
      </c>
      <c r="B2062" s="2">
        <f t="shared" si="64"/>
        <v>2019</v>
      </c>
      <c r="C2062" s="2" t="str">
        <f t="shared" si="65"/>
        <v>EC101</v>
      </c>
      <c r="D2062" s="2">
        <v>444</v>
      </c>
      <c r="F2062" s="1764"/>
      <c r="G2062" s="1764"/>
      <c r="H2062" s="1764"/>
      <c r="I2062" s="1764"/>
      <c r="J2062" s="1764"/>
      <c r="K2062" s="1764"/>
      <c r="L2062" s="1766"/>
      <c r="M2062" s="1766"/>
      <c r="N2062" s="1766"/>
      <c r="O2062" s="1766"/>
      <c r="P2062" s="1766"/>
      <c r="W2062" t="s">
        <v>2089</v>
      </c>
    </row>
    <row r="2063" spans="1:23" ht="13.15" customHeight="1" x14ac:dyDescent="0.2">
      <c r="A2063" s="2" t="s">
        <v>2242</v>
      </c>
      <c r="B2063" s="2">
        <f t="shared" si="64"/>
        <v>2019</v>
      </c>
      <c r="C2063" s="2" t="str">
        <f t="shared" si="65"/>
        <v>EC101</v>
      </c>
      <c r="D2063" s="2">
        <v>445</v>
      </c>
      <c r="F2063" s="1764"/>
      <c r="G2063" s="1764"/>
      <c r="H2063" s="1764"/>
      <c r="I2063" s="1764"/>
      <c r="J2063" s="1764"/>
      <c r="K2063" s="1764"/>
      <c r="L2063" s="1766"/>
      <c r="M2063" s="1766"/>
      <c r="N2063" s="1766"/>
      <c r="O2063" s="1766"/>
      <c r="P2063" s="1766"/>
      <c r="W2063" t="s">
        <v>2089</v>
      </c>
    </row>
    <row r="2064" spans="1:23" ht="13.15" customHeight="1" x14ac:dyDescent="0.2">
      <c r="A2064" s="2" t="s">
        <v>2242</v>
      </c>
      <c r="B2064" s="2">
        <f t="shared" si="64"/>
        <v>2019</v>
      </c>
      <c r="C2064" s="2" t="str">
        <f t="shared" si="65"/>
        <v>EC101</v>
      </c>
      <c r="D2064" s="2">
        <v>446</v>
      </c>
      <c r="F2064" s="1764"/>
      <c r="G2064" s="1764"/>
      <c r="H2064" s="1764"/>
      <c r="I2064" s="1764"/>
      <c r="J2064" s="1764"/>
      <c r="K2064" s="1764"/>
      <c r="L2064" s="1766"/>
      <c r="M2064" s="1766"/>
      <c r="N2064" s="1766"/>
      <c r="O2064" s="1766"/>
      <c r="P2064" s="1766"/>
      <c r="W2064" t="s">
        <v>2089</v>
      </c>
    </row>
    <row r="2065" spans="1:23" ht="13.15" customHeight="1" x14ac:dyDescent="0.2">
      <c r="A2065" s="2" t="s">
        <v>2242</v>
      </c>
      <c r="B2065" s="2">
        <f t="shared" si="64"/>
        <v>2019</v>
      </c>
      <c r="C2065" s="2" t="str">
        <f t="shared" si="65"/>
        <v>EC101</v>
      </c>
      <c r="D2065" s="2">
        <v>447</v>
      </c>
      <c r="F2065" s="1764"/>
      <c r="G2065" s="1764"/>
      <c r="H2065" s="1764"/>
      <c r="I2065" s="1764"/>
      <c r="J2065" s="1764"/>
      <c r="K2065" s="1764"/>
      <c r="L2065" s="1766"/>
      <c r="M2065" s="1766"/>
      <c r="N2065" s="1766"/>
      <c r="O2065" s="1766"/>
      <c r="P2065" s="1766"/>
      <c r="W2065" t="s">
        <v>2089</v>
      </c>
    </row>
    <row r="2066" spans="1:23" ht="13.15" customHeight="1" x14ac:dyDescent="0.2">
      <c r="A2066" s="2" t="s">
        <v>2242</v>
      </c>
      <c r="B2066" s="2">
        <f t="shared" si="64"/>
        <v>2019</v>
      </c>
      <c r="C2066" s="2" t="str">
        <f t="shared" si="65"/>
        <v>EC101</v>
      </c>
      <c r="D2066" s="2">
        <v>448</v>
      </c>
      <c r="F2066" s="1764"/>
      <c r="G2066" s="1764"/>
      <c r="H2066" s="1764"/>
      <c r="I2066" s="1764"/>
      <c r="J2066" s="1764"/>
      <c r="K2066" s="1764"/>
      <c r="L2066" s="1766"/>
      <c r="M2066" s="1766"/>
      <c r="N2066" s="1766"/>
      <c r="O2066" s="1766"/>
      <c r="P2066" s="1766"/>
      <c r="W2066" t="s">
        <v>2089</v>
      </c>
    </row>
    <row r="2067" spans="1:23" ht="13.15" customHeight="1" x14ac:dyDescent="0.2">
      <c r="A2067" s="2" t="s">
        <v>2242</v>
      </c>
      <c r="B2067" s="2">
        <f t="shared" si="64"/>
        <v>2019</v>
      </c>
      <c r="C2067" s="2" t="str">
        <f t="shared" si="65"/>
        <v>EC101</v>
      </c>
      <c r="D2067" s="2">
        <v>449</v>
      </c>
      <c r="F2067" s="1764"/>
      <c r="G2067" s="1764"/>
      <c r="H2067" s="1764"/>
      <c r="I2067" s="1764"/>
      <c r="J2067" s="1764"/>
      <c r="K2067" s="1764"/>
      <c r="L2067" s="1766"/>
      <c r="M2067" s="1766"/>
      <c r="N2067" s="1766"/>
      <c r="O2067" s="1766"/>
      <c r="P2067" s="1766"/>
      <c r="W2067" t="s">
        <v>2089</v>
      </c>
    </row>
    <row r="2068" spans="1:23" ht="13.15" customHeight="1" x14ac:dyDescent="0.2">
      <c r="A2068" s="2" t="s">
        <v>2242</v>
      </c>
      <c r="B2068" s="2">
        <f t="shared" si="64"/>
        <v>2019</v>
      </c>
      <c r="C2068" s="2" t="str">
        <f t="shared" si="65"/>
        <v>EC101</v>
      </c>
      <c r="D2068" s="2">
        <v>450</v>
      </c>
      <c r="F2068" s="1764"/>
      <c r="G2068" s="1764"/>
      <c r="H2068" s="1764"/>
      <c r="I2068" s="1764"/>
      <c r="J2068" s="1764"/>
      <c r="K2068" s="1764"/>
      <c r="L2068" s="1766"/>
      <c r="M2068" s="1766"/>
      <c r="N2068" s="1766"/>
      <c r="O2068" s="1766"/>
      <c r="P2068" s="1766"/>
      <c r="W2068" t="s">
        <v>2089</v>
      </c>
    </row>
    <row r="2069" spans="1:23" ht="13.15" customHeight="1" x14ac:dyDescent="0.2">
      <c r="A2069" s="2" t="s">
        <v>2242</v>
      </c>
      <c r="B2069" s="2">
        <f t="shared" si="64"/>
        <v>2019</v>
      </c>
      <c r="C2069" s="2" t="str">
        <f t="shared" si="65"/>
        <v>EC101</v>
      </c>
      <c r="D2069" s="2">
        <v>451</v>
      </c>
      <c r="F2069" s="1764"/>
      <c r="G2069" s="1764"/>
      <c r="H2069" s="1764"/>
      <c r="I2069" s="1764"/>
      <c r="J2069" s="1764"/>
      <c r="K2069" s="1764"/>
      <c r="L2069" s="1766"/>
      <c r="M2069" s="1766"/>
      <c r="N2069" s="1766"/>
      <c r="O2069" s="1766"/>
      <c r="P2069" s="1766"/>
      <c r="W2069" t="s">
        <v>2089</v>
      </c>
    </row>
    <row r="2070" spans="1:23" ht="13.15" customHeight="1" x14ac:dyDescent="0.2">
      <c r="A2070" s="2" t="s">
        <v>2242</v>
      </c>
      <c r="B2070" s="2">
        <f t="shared" si="64"/>
        <v>2019</v>
      </c>
      <c r="C2070" s="2" t="str">
        <f t="shared" si="65"/>
        <v>EC101</v>
      </c>
      <c r="D2070" s="2">
        <v>452</v>
      </c>
      <c r="F2070" s="1764"/>
      <c r="G2070" s="1764"/>
      <c r="H2070" s="1764"/>
      <c r="I2070" s="1764"/>
      <c r="J2070" s="1764"/>
      <c r="K2070" s="1764"/>
      <c r="L2070" s="1766"/>
      <c r="M2070" s="1766"/>
      <c r="N2070" s="1766"/>
      <c r="O2070" s="1766"/>
      <c r="P2070" s="1766"/>
      <c r="W2070" t="s">
        <v>2089</v>
      </c>
    </row>
    <row r="2071" spans="1:23" ht="13.15" customHeight="1" x14ac:dyDescent="0.2">
      <c r="A2071" s="2" t="s">
        <v>2242</v>
      </c>
      <c r="B2071" s="2">
        <f t="shared" si="64"/>
        <v>2019</v>
      </c>
      <c r="C2071" s="2" t="str">
        <f t="shared" si="65"/>
        <v>EC101</v>
      </c>
      <c r="D2071" s="2">
        <v>453</v>
      </c>
      <c r="F2071" s="1764"/>
      <c r="G2071" s="1764"/>
      <c r="H2071" s="1764"/>
      <c r="I2071" s="1764"/>
      <c r="J2071" s="1764"/>
      <c r="K2071" s="1764"/>
      <c r="L2071" s="1766"/>
      <c r="M2071" s="1766"/>
      <c r="N2071" s="1766"/>
      <c r="O2071" s="1766"/>
      <c r="P2071" s="1766"/>
      <c r="W2071" t="s">
        <v>2089</v>
      </c>
    </row>
    <row r="2072" spans="1:23" ht="13.15" customHeight="1" x14ac:dyDescent="0.2">
      <c r="A2072" s="2" t="s">
        <v>2242</v>
      </c>
      <c r="B2072" s="2">
        <f t="shared" si="64"/>
        <v>2019</v>
      </c>
      <c r="C2072" s="2" t="str">
        <f t="shared" si="65"/>
        <v>EC101</v>
      </c>
      <c r="D2072" s="2">
        <v>454</v>
      </c>
      <c r="F2072" s="1764"/>
      <c r="G2072" s="1764"/>
      <c r="H2072" s="1764"/>
      <c r="I2072" s="1764"/>
      <c r="J2072" s="1764"/>
      <c r="K2072" s="1764"/>
      <c r="L2072" s="1766"/>
      <c r="M2072" s="1766"/>
      <c r="N2072" s="1766"/>
      <c r="O2072" s="1766"/>
      <c r="P2072" s="1766"/>
      <c r="W2072" t="s">
        <v>2089</v>
      </c>
    </row>
    <row r="2073" spans="1:23" ht="13.15" customHeight="1" x14ac:dyDescent="0.2">
      <c r="A2073" s="2" t="s">
        <v>2242</v>
      </c>
      <c r="B2073" s="2">
        <f t="shared" si="64"/>
        <v>2019</v>
      </c>
      <c r="C2073" s="2" t="str">
        <f t="shared" si="65"/>
        <v>EC101</v>
      </c>
      <c r="D2073" s="2">
        <v>455</v>
      </c>
      <c r="F2073" s="1764"/>
      <c r="G2073" s="1764"/>
      <c r="H2073" s="1764"/>
      <c r="I2073" s="1764"/>
      <c r="J2073" s="1764"/>
      <c r="K2073" s="1764"/>
      <c r="L2073" s="1766"/>
      <c r="M2073" s="1766"/>
      <c r="N2073" s="1766"/>
      <c r="O2073" s="1766"/>
      <c r="P2073" s="1766"/>
      <c r="W2073" t="s">
        <v>2089</v>
      </c>
    </row>
    <row r="2074" spans="1:23" ht="13.15" customHeight="1" x14ac:dyDescent="0.2">
      <c r="A2074" s="2" t="s">
        <v>2242</v>
      </c>
      <c r="B2074" s="2">
        <f t="shared" si="64"/>
        <v>2019</v>
      </c>
      <c r="C2074" s="2" t="str">
        <f t="shared" si="65"/>
        <v>EC101</v>
      </c>
      <c r="D2074" s="2">
        <v>456</v>
      </c>
      <c r="F2074" s="1764"/>
      <c r="G2074" s="1764"/>
      <c r="H2074" s="1764"/>
      <c r="I2074" s="1764"/>
      <c r="J2074" s="1764"/>
      <c r="K2074" s="1764"/>
      <c r="L2074" s="1766"/>
      <c r="M2074" s="1766"/>
      <c r="N2074" s="1766"/>
      <c r="O2074" s="1766"/>
      <c r="P2074" s="1766"/>
      <c r="W2074" t="s">
        <v>2089</v>
      </c>
    </row>
    <row r="2075" spans="1:23" ht="13.15" customHeight="1" x14ac:dyDescent="0.2">
      <c r="A2075" s="2" t="s">
        <v>2242</v>
      </c>
      <c r="B2075" s="2">
        <f t="shared" si="64"/>
        <v>2019</v>
      </c>
      <c r="C2075" s="2" t="str">
        <f t="shared" si="65"/>
        <v>EC101</v>
      </c>
      <c r="D2075" s="2">
        <v>457</v>
      </c>
      <c r="F2075" s="1764"/>
      <c r="G2075" s="1764"/>
      <c r="H2075" s="1764"/>
      <c r="I2075" s="1764"/>
      <c r="J2075" s="1764"/>
      <c r="K2075" s="1764"/>
      <c r="L2075" s="1766"/>
      <c r="M2075" s="1766"/>
      <c r="N2075" s="1766"/>
      <c r="O2075" s="1766"/>
      <c r="P2075" s="1766"/>
      <c r="W2075" t="s">
        <v>2089</v>
      </c>
    </row>
    <row r="2076" spans="1:23" ht="13.15" customHeight="1" x14ac:dyDescent="0.2">
      <c r="A2076" s="2" t="s">
        <v>2242</v>
      </c>
      <c r="B2076" s="2">
        <f t="shared" si="64"/>
        <v>2019</v>
      </c>
      <c r="C2076" s="2" t="str">
        <f t="shared" si="65"/>
        <v>EC101</v>
      </c>
      <c r="D2076" s="2">
        <v>458</v>
      </c>
      <c r="F2076" s="1764"/>
      <c r="G2076" s="1764"/>
      <c r="H2076" s="1764"/>
      <c r="I2076" s="1764"/>
      <c r="J2076" s="1764"/>
      <c r="K2076" s="1764"/>
      <c r="L2076" s="1766"/>
      <c r="M2076" s="1766"/>
      <c r="N2076" s="1766"/>
      <c r="O2076" s="1766"/>
      <c r="P2076" s="1766"/>
      <c r="W2076" t="s">
        <v>2089</v>
      </c>
    </row>
    <row r="2077" spans="1:23" ht="13.15" customHeight="1" x14ac:dyDescent="0.2">
      <c r="A2077" s="2" t="s">
        <v>2242</v>
      </c>
      <c r="B2077" s="2">
        <f t="shared" si="64"/>
        <v>2019</v>
      </c>
      <c r="C2077" s="2" t="str">
        <f t="shared" si="65"/>
        <v>EC101</v>
      </c>
      <c r="D2077" s="2">
        <v>459</v>
      </c>
      <c r="F2077" s="1764"/>
      <c r="G2077" s="1764"/>
      <c r="H2077" s="1764"/>
      <c r="I2077" s="1764"/>
      <c r="J2077" s="1764"/>
      <c r="K2077" s="1764"/>
      <c r="L2077" s="1766"/>
      <c r="M2077" s="1766"/>
      <c r="N2077" s="1766"/>
      <c r="O2077" s="1766"/>
      <c r="P2077" s="1766"/>
      <c r="W2077" t="s">
        <v>2089</v>
      </c>
    </row>
    <row r="2078" spans="1:23" ht="13.15" customHeight="1" x14ac:dyDescent="0.2">
      <c r="A2078" s="2" t="s">
        <v>2242</v>
      </c>
      <c r="B2078" s="2">
        <f t="shared" si="64"/>
        <v>2019</v>
      </c>
      <c r="C2078" s="2" t="str">
        <f t="shared" si="65"/>
        <v>EC101</v>
      </c>
      <c r="D2078" s="2">
        <v>460</v>
      </c>
      <c r="F2078" s="1764"/>
      <c r="G2078" s="1764"/>
      <c r="H2078" s="1764"/>
      <c r="I2078" s="1764"/>
      <c r="J2078" s="1764"/>
      <c r="K2078" s="1764"/>
      <c r="L2078" s="1766"/>
      <c r="M2078" s="1766"/>
      <c r="N2078" s="1766"/>
      <c r="O2078" s="1766"/>
      <c r="P2078" s="1766"/>
      <c r="W2078" t="s">
        <v>2089</v>
      </c>
    </row>
    <row r="2079" spans="1:23" ht="13.15" customHeight="1" x14ac:dyDescent="0.2">
      <c r="A2079" s="2" t="s">
        <v>2242</v>
      </c>
      <c r="B2079" s="2">
        <f t="shared" si="64"/>
        <v>2019</v>
      </c>
      <c r="C2079" s="2" t="str">
        <f t="shared" si="65"/>
        <v>EC101</v>
      </c>
      <c r="D2079" s="2">
        <v>461</v>
      </c>
      <c r="F2079" s="1764"/>
      <c r="G2079" s="1764"/>
      <c r="H2079" s="1764"/>
      <c r="I2079" s="1764"/>
      <c r="J2079" s="1764"/>
      <c r="K2079" s="1764"/>
      <c r="L2079" s="1766"/>
      <c r="M2079" s="1766"/>
      <c r="N2079" s="1766"/>
      <c r="O2079" s="1766"/>
      <c r="P2079" s="1766"/>
      <c r="W2079" t="s">
        <v>2089</v>
      </c>
    </row>
    <row r="2080" spans="1:23" ht="13.15" customHeight="1" x14ac:dyDescent="0.2">
      <c r="A2080" s="2" t="s">
        <v>2242</v>
      </c>
      <c r="B2080" s="2">
        <f t="shared" si="64"/>
        <v>2019</v>
      </c>
      <c r="C2080" s="2" t="str">
        <f t="shared" si="65"/>
        <v>EC101</v>
      </c>
      <c r="D2080" s="2">
        <v>462</v>
      </c>
      <c r="F2080" s="1764"/>
      <c r="G2080" s="1764"/>
      <c r="H2080" s="1764"/>
      <c r="I2080" s="1764"/>
      <c r="J2080" s="1764"/>
      <c r="K2080" s="1764"/>
      <c r="L2080" s="1766"/>
      <c r="M2080" s="1766"/>
      <c r="N2080" s="1766"/>
      <c r="O2080" s="1766"/>
      <c r="P2080" s="1766"/>
      <c r="W2080" t="s">
        <v>2089</v>
      </c>
    </row>
    <row r="2081" spans="1:23" ht="13.15" customHeight="1" x14ac:dyDescent="0.2">
      <c r="A2081" s="2" t="s">
        <v>2242</v>
      </c>
      <c r="B2081" s="2">
        <f t="shared" si="64"/>
        <v>2019</v>
      </c>
      <c r="C2081" s="2" t="str">
        <f t="shared" si="65"/>
        <v>EC101</v>
      </c>
      <c r="D2081" s="2">
        <v>463</v>
      </c>
      <c r="F2081" s="1764"/>
      <c r="G2081" s="1764"/>
      <c r="H2081" s="1764"/>
      <c r="I2081" s="1764"/>
      <c r="J2081" s="1764"/>
      <c r="K2081" s="1764"/>
      <c r="L2081" s="1766"/>
      <c r="M2081" s="1766"/>
      <c r="N2081" s="1766"/>
      <c r="O2081" s="1766"/>
      <c r="P2081" s="1766"/>
      <c r="W2081" t="s">
        <v>2089</v>
      </c>
    </row>
    <row r="2082" spans="1:23" ht="13.15" customHeight="1" x14ac:dyDescent="0.2">
      <c r="A2082" s="2" t="s">
        <v>2242</v>
      </c>
      <c r="B2082" s="2">
        <f t="shared" si="64"/>
        <v>2019</v>
      </c>
      <c r="C2082" s="2" t="str">
        <f t="shared" si="65"/>
        <v>EC101</v>
      </c>
      <c r="D2082" s="2">
        <v>464</v>
      </c>
      <c r="F2082" s="1764"/>
      <c r="G2082" s="1764"/>
      <c r="H2082" s="1764"/>
      <c r="I2082" s="1764"/>
      <c r="J2082" s="1764"/>
      <c r="K2082" s="1764"/>
      <c r="L2082" s="1766"/>
      <c r="M2082" s="1766"/>
      <c r="N2082" s="1766"/>
      <c r="O2082" s="1766"/>
      <c r="P2082" s="1766"/>
      <c r="W2082" t="s">
        <v>2089</v>
      </c>
    </row>
    <row r="2083" spans="1:23" ht="13.15" customHeight="1" x14ac:dyDescent="0.2">
      <c r="A2083" s="2" t="s">
        <v>2242</v>
      </c>
      <c r="B2083" s="2">
        <f t="shared" si="64"/>
        <v>2019</v>
      </c>
      <c r="C2083" s="2" t="str">
        <f t="shared" si="65"/>
        <v>EC101</v>
      </c>
      <c r="D2083" s="2">
        <v>465</v>
      </c>
      <c r="F2083" s="1764"/>
      <c r="G2083" s="1764"/>
      <c r="H2083" s="1764"/>
      <c r="I2083" s="1764"/>
      <c r="J2083" s="1764"/>
      <c r="K2083" s="1764"/>
      <c r="L2083" s="1766"/>
      <c r="M2083" s="1766"/>
      <c r="N2083" s="1766"/>
      <c r="O2083" s="1766"/>
      <c r="P2083" s="1766"/>
      <c r="W2083" t="s">
        <v>2089</v>
      </c>
    </row>
    <row r="2084" spans="1:23" ht="13.15" customHeight="1" x14ac:dyDescent="0.2">
      <c r="A2084" s="2" t="s">
        <v>2242</v>
      </c>
      <c r="B2084" s="2">
        <f t="shared" si="64"/>
        <v>2019</v>
      </c>
      <c r="C2084" s="2" t="str">
        <f t="shared" si="65"/>
        <v>EC101</v>
      </c>
      <c r="D2084" s="2">
        <v>466</v>
      </c>
      <c r="F2084" s="1764"/>
      <c r="G2084" s="1764"/>
      <c r="H2084" s="1764"/>
      <c r="I2084" s="1764"/>
      <c r="J2084" s="1764"/>
      <c r="K2084" s="1764"/>
      <c r="L2084" s="1766"/>
      <c r="M2084" s="1766"/>
      <c r="N2084" s="1766"/>
      <c r="O2084" s="1766"/>
      <c r="P2084" s="1766"/>
      <c r="W2084" t="s">
        <v>2089</v>
      </c>
    </row>
    <row r="2085" spans="1:23" ht="13.15" customHeight="1" x14ac:dyDescent="0.2">
      <c r="A2085" s="2" t="s">
        <v>2242</v>
      </c>
      <c r="B2085" s="2">
        <f t="shared" si="64"/>
        <v>2019</v>
      </c>
      <c r="C2085" s="2" t="str">
        <f t="shared" si="65"/>
        <v>EC101</v>
      </c>
      <c r="D2085" s="2">
        <v>467</v>
      </c>
      <c r="F2085" s="1764"/>
      <c r="G2085" s="1764"/>
      <c r="H2085" s="1764"/>
      <c r="I2085" s="1764"/>
      <c r="J2085" s="1764"/>
      <c r="K2085" s="1764"/>
      <c r="L2085" s="1766"/>
      <c r="M2085" s="1766"/>
      <c r="N2085" s="1766"/>
      <c r="O2085" s="1766"/>
      <c r="P2085" s="1766"/>
      <c r="W2085" t="s">
        <v>2089</v>
      </c>
    </row>
    <row r="2086" spans="1:23" ht="13.15" customHeight="1" x14ac:dyDescent="0.2">
      <c r="A2086" s="2" t="s">
        <v>2242</v>
      </c>
      <c r="B2086" s="2">
        <f t="shared" si="64"/>
        <v>2019</v>
      </c>
      <c r="C2086" s="2" t="str">
        <f t="shared" si="65"/>
        <v>EC101</v>
      </c>
      <c r="D2086" s="2">
        <v>468</v>
      </c>
      <c r="F2086" s="1764"/>
      <c r="G2086" s="1764"/>
      <c r="H2086" s="1764"/>
      <c r="I2086" s="1764"/>
      <c r="J2086" s="1764"/>
      <c r="K2086" s="1764"/>
      <c r="L2086" s="1766"/>
      <c r="M2086" s="1766"/>
      <c r="N2086" s="1766"/>
      <c r="O2086" s="1766"/>
      <c r="P2086" s="1766"/>
      <c r="W2086" t="s">
        <v>2089</v>
      </c>
    </row>
    <row r="2087" spans="1:23" ht="13.15" customHeight="1" x14ac:dyDescent="0.2">
      <c r="A2087" s="2" t="s">
        <v>2242</v>
      </c>
      <c r="B2087" s="2">
        <f t="shared" si="64"/>
        <v>2019</v>
      </c>
      <c r="C2087" s="2" t="str">
        <f t="shared" si="65"/>
        <v>EC101</v>
      </c>
      <c r="D2087" s="2">
        <v>469</v>
      </c>
      <c r="F2087" s="1764"/>
      <c r="G2087" s="1764"/>
      <c r="H2087" s="1764"/>
      <c r="I2087" s="1764"/>
      <c r="J2087" s="1764"/>
      <c r="K2087" s="1764"/>
      <c r="L2087" s="1766"/>
      <c r="M2087" s="1766"/>
      <c r="N2087" s="1766"/>
      <c r="O2087" s="1766"/>
      <c r="P2087" s="1766"/>
      <c r="W2087" t="s">
        <v>2089</v>
      </c>
    </row>
    <row r="2088" spans="1:23" ht="13.15" customHeight="1" x14ac:dyDescent="0.2">
      <c r="A2088" s="2" t="s">
        <v>2242</v>
      </c>
      <c r="B2088" s="2">
        <f t="shared" si="64"/>
        <v>2019</v>
      </c>
      <c r="C2088" s="2" t="str">
        <f t="shared" si="65"/>
        <v>EC101</v>
      </c>
      <c r="D2088" s="2">
        <v>470</v>
      </c>
      <c r="F2088" s="1764"/>
      <c r="G2088" s="1764"/>
      <c r="H2088" s="1764"/>
      <c r="I2088" s="1764"/>
      <c r="J2088" s="1764"/>
      <c r="K2088" s="1764"/>
      <c r="L2088" s="1766"/>
      <c r="M2088" s="1766"/>
      <c r="N2088" s="1766"/>
      <c r="O2088" s="1766"/>
      <c r="P2088" s="1766"/>
      <c r="W2088" t="s">
        <v>2089</v>
      </c>
    </row>
    <row r="2089" spans="1:23" ht="13.15" customHeight="1" x14ac:dyDescent="0.2">
      <c r="A2089" s="2" t="s">
        <v>2242</v>
      </c>
      <c r="B2089" s="2">
        <f t="shared" si="64"/>
        <v>2019</v>
      </c>
      <c r="C2089" s="2" t="str">
        <f t="shared" si="65"/>
        <v>EC101</v>
      </c>
      <c r="D2089" s="2">
        <v>471</v>
      </c>
      <c r="F2089" s="1764"/>
      <c r="G2089" s="1764"/>
      <c r="H2089" s="1764"/>
      <c r="I2089" s="1764"/>
      <c r="J2089" s="1764"/>
      <c r="K2089" s="1764"/>
      <c r="L2089" s="1766"/>
      <c r="M2089" s="1766"/>
      <c r="N2089" s="1766"/>
      <c r="O2089" s="1766"/>
      <c r="P2089" s="1766"/>
      <c r="W2089" t="s">
        <v>2089</v>
      </c>
    </row>
    <row r="2090" spans="1:23" ht="13.15" customHeight="1" x14ac:dyDescent="0.2">
      <c r="A2090" s="2" t="s">
        <v>2242</v>
      </c>
      <c r="B2090" s="2">
        <f t="shared" si="64"/>
        <v>2019</v>
      </c>
      <c r="C2090" s="2" t="str">
        <f t="shared" si="65"/>
        <v>EC101</v>
      </c>
      <c r="D2090" s="2">
        <v>472</v>
      </c>
      <c r="F2090" s="1764"/>
      <c r="G2090" s="1764"/>
      <c r="H2090" s="1764"/>
      <c r="I2090" s="1764"/>
      <c r="J2090" s="1764"/>
      <c r="K2090" s="1764"/>
      <c r="L2090" s="1766"/>
      <c r="M2090" s="1766"/>
      <c r="N2090" s="1766"/>
      <c r="O2090" s="1766"/>
      <c r="P2090" s="1766"/>
      <c r="W2090" t="s">
        <v>2089</v>
      </c>
    </row>
    <row r="2091" spans="1:23" ht="13.15" customHeight="1" x14ac:dyDescent="0.2">
      <c r="A2091" s="2" t="s">
        <v>2242</v>
      </c>
      <c r="B2091" s="2">
        <f t="shared" si="64"/>
        <v>2019</v>
      </c>
      <c r="C2091" s="2" t="str">
        <f t="shared" si="65"/>
        <v>EC101</v>
      </c>
      <c r="D2091" s="2">
        <v>473</v>
      </c>
      <c r="F2091" s="1764"/>
      <c r="G2091" s="1764"/>
      <c r="H2091" s="1764"/>
      <c r="I2091" s="1764"/>
      <c r="J2091" s="1764"/>
      <c r="K2091" s="1764"/>
      <c r="L2091" s="1766"/>
      <c r="M2091" s="1766"/>
      <c r="N2091" s="1766"/>
      <c r="O2091" s="1766"/>
      <c r="P2091" s="1766"/>
      <c r="W2091" t="s">
        <v>2089</v>
      </c>
    </row>
    <row r="2092" spans="1:23" ht="13.15" customHeight="1" x14ac:dyDescent="0.2">
      <c r="A2092" s="2" t="s">
        <v>2242</v>
      </c>
      <c r="B2092" s="2">
        <f t="shared" si="64"/>
        <v>2019</v>
      </c>
      <c r="C2092" s="2" t="str">
        <f t="shared" si="65"/>
        <v>EC101</v>
      </c>
      <c r="D2092" s="2">
        <v>474</v>
      </c>
      <c r="F2092" s="1764"/>
      <c r="G2092" s="1764"/>
      <c r="H2092" s="1764"/>
      <c r="I2092" s="1764"/>
      <c r="J2092" s="1764"/>
      <c r="K2092" s="1764"/>
      <c r="L2092" s="1766"/>
      <c r="M2092" s="1766"/>
      <c r="N2092" s="1766"/>
      <c r="O2092" s="1766"/>
      <c r="P2092" s="1766"/>
      <c r="W2092" t="s">
        <v>2089</v>
      </c>
    </row>
    <row r="2093" spans="1:23" ht="13.15" customHeight="1" x14ac:dyDescent="0.2">
      <c r="A2093" s="2" t="s">
        <v>2242</v>
      </c>
      <c r="B2093" s="2">
        <f t="shared" si="64"/>
        <v>2019</v>
      </c>
      <c r="C2093" s="2" t="str">
        <f t="shared" si="65"/>
        <v>EC101</v>
      </c>
      <c r="D2093" s="2">
        <v>475</v>
      </c>
      <c r="F2093" s="1764"/>
      <c r="G2093" s="1764"/>
      <c r="H2093" s="1764"/>
      <c r="I2093" s="1764"/>
      <c r="J2093" s="1764"/>
      <c r="K2093" s="1764"/>
      <c r="L2093" s="1766"/>
      <c r="M2093" s="1766"/>
      <c r="N2093" s="1766"/>
      <c r="O2093" s="1766"/>
      <c r="P2093" s="1766"/>
      <c r="W2093" t="s">
        <v>2089</v>
      </c>
    </row>
    <row r="2094" spans="1:23" ht="13.15" customHeight="1" x14ac:dyDescent="0.2">
      <c r="A2094" s="2" t="s">
        <v>2242</v>
      </c>
      <c r="B2094" s="2">
        <f t="shared" si="64"/>
        <v>2019</v>
      </c>
      <c r="C2094" s="2" t="str">
        <f t="shared" si="65"/>
        <v>EC101</v>
      </c>
      <c r="D2094" s="2">
        <v>476</v>
      </c>
      <c r="F2094" s="1764"/>
      <c r="G2094" s="1764"/>
      <c r="H2094" s="1764"/>
      <c r="I2094" s="1764"/>
      <c r="J2094" s="1764"/>
      <c r="K2094" s="1764"/>
      <c r="L2094" s="1766"/>
      <c r="M2094" s="1766"/>
      <c r="N2094" s="1766"/>
      <c r="O2094" s="1766"/>
      <c r="P2094" s="1766"/>
      <c r="W2094" t="s">
        <v>2089</v>
      </c>
    </row>
    <row r="2095" spans="1:23" ht="13.15" customHeight="1" x14ac:dyDescent="0.2">
      <c r="A2095" s="2" t="s">
        <v>2242</v>
      </c>
      <c r="B2095" s="2">
        <f t="shared" si="64"/>
        <v>2019</v>
      </c>
      <c r="C2095" s="2" t="str">
        <f t="shared" si="65"/>
        <v>EC101</v>
      </c>
      <c r="D2095" s="2">
        <v>477</v>
      </c>
      <c r="F2095" s="1764"/>
      <c r="G2095" s="1764"/>
      <c r="H2095" s="1764"/>
      <c r="I2095" s="1764"/>
      <c r="J2095" s="1764"/>
      <c r="K2095" s="1764"/>
      <c r="L2095" s="1766"/>
      <c r="M2095" s="1766"/>
      <c r="N2095" s="1766"/>
      <c r="O2095" s="1766"/>
      <c r="P2095" s="1766"/>
      <c r="W2095" t="s">
        <v>2089</v>
      </c>
    </row>
    <row r="2096" spans="1:23" ht="13.15" customHeight="1" x14ac:dyDescent="0.2">
      <c r="A2096" s="2" t="s">
        <v>2242</v>
      </c>
      <c r="B2096" s="2">
        <f t="shared" si="64"/>
        <v>2019</v>
      </c>
      <c r="C2096" s="2" t="str">
        <f t="shared" si="65"/>
        <v>EC101</v>
      </c>
      <c r="D2096" s="2">
        <v>478</v>
      </c>
      <c r="F2096" s="1764"/>
      <c r="G2096" s="1764"/>
      <c r="H2096" s="1764"/>
      <c r="I2096" s="1764"/>
      <c r="J2096" s="1764"/>
      <c r="K2096" s="1764"/>
      <c r="L2096" s="1766"/>
      <c r="M2096" s="1766"/>
      <c r="N2096" s="1766"/>
      <c r="O2096" s="1766"/>
      <c r="P2096" s="1766"/>
      <c r="W2096" t="s">
        <v>2089</v>
      </c>
    </row>
    <row r="2097" spans="1:23" ht="13.15" customHeight="1" x14ac:dyDescent="0.2">
      <c r="A2097" s="2" t="s">
        <v>2242</v>
      </c>
      <c r="B2097" s="2">
        <f t="shared" si="64"/>
        <v>2019</v>
      </c>
      <c r="C2097" s="2" t="str">
        <f t="shared" si="65"/>
        <v>EC101</v>
      </c>
      <c r="D2097" s="2">
        <v>479</v>
      </c>
      <c r="F2097" s="1764"/>
      <c r="G2097" s="1764"/>
      <c r="H2097" s="1764"/>
      <c r="I2097" s="1764"/>
      <c r="J2097" s="1764"/>
      <c r="K2097" s="1764"/>
      <c r="L2097" s="1766"/>
      <c r="M2097" s="1766"/>
      <c r="N2097" s="1766"/>
      <c r="O2097" s="1766"/>
      <c r="P2097" s="1766"/>
      <c r="W2097" t="s">
        <v>2089</v>
      </c>
    </row>
    <row r="2098" spans="1:23" ht="13.15" customHeight="1" x14ac:dyDescent="0.2">
      <c r="A2098" s="2" t="s">
        <v>2242</v>
      </c>
      <c r="B2098" s="2">
        <f t="shared" si="64"/>
        <v>2019</v>
      </c>
      <c r="C2098" s="2" t="str">
        <f t="shared" si="65"/>
        <v>EC101</v>
      </c>
      <c r="D2098" s="2">
        <v>480</v>
      </c>
      <c r="F2098" s="1764"/>
      <c r="G2098" s="1764"/>
      <c r="H2098" s="1764"/>
      <c r="I2098" s="1764"/>
      <c r="J2098" s="1764"/>
      <c r="K2098" s="1764"/>
      <c r="L2098" s="1766"/>
      <c r="M2098" s="1766"/>
      <c r="N2098" s="1766"/>
      <c r="O2098" s="1766"/>
      <c r="P2098" s="1766"/>
      <c r="W2098" t="s">
        <v>2089</v>
      </c>
    </row>
    <row r="2099" spans="1:23" ht="13.15" customHeight="1" x14ac:dyDescent="0.2">
      <c r="A2099" s="2" t="s">
        <v>2242</v>
      </c>
      <c r="B2099" s="2">
        <f t="shared" si="64"/>
        <v>2019</v>
      </c>
      <c r="C2099" s="2" t="str">
        <f t="shared" si="65"/>
        <v>EC101</v>
      </c>
      <c r="D2099" s="2">
        <v>481</v>
      </c>
      <c r="F2099" s="1764"/>
      <c r="G2099" s="1764"/>
      <c r="H2099" s="1764"/>
      <c r="I2099" s="1764"/>
      <c r="J2099" s="1764"/>
      <c r="K2099" s="1764"/>
      <c r="L2099" s="1766"/>
      <c r="M2099" s="1766"/>
      <c r="N2099" s="1766"/>
      <c r="O2099" s="1766"/>
      <c r="P2099" s="1766"/>
      <c r="W2099" t="s">
        <v>2089</v>
      </c>
    </row>
    <row r="2100" spans="1:23" ht="13.15" customHeight="1" x14ac:dyDescent="0.2">
      <c r="A2100" s="2" t="s">
        <v>2242</v>
      </c>
      <c r="B2100" s="2">
        <f t="shared" si="64"/>
        <v>2019</v>
      </c>
      <c r="C2100" s="2" t="str">
        <f t="shared" si="65"/>
        <v>EC101</v>
      </c>
      <c r="D2100" s="2">
        <v>482</v>
      </c>
      <c r="F2100" s="1764"/>
      <c r="G2100" s="1764"/>
      <c r="H2100" s="1764"/>
      <c r="I2100" s="1764"/>
      <c r="J2100" s="1764"/>
      <c r="K2100" s="1764"/>
      <c r="L2100" s="1766"/>
      <c r="M2100" s="1766"/>
      <c r="N2100" s="1766"/>
      <c r="O2100" s="1766"/>
      <c r="P2100" s="1766"/>
      <c r="W2100" t="s">
        <v>2089</v>
      </c>
    </row>
    <row r="2101" spans="1:23" ht="13.15" customHeight="1" x14ac:dyDescent="0.2">
      <c r="A2101" s="2" t="s">
        <v>2242</v>
      </c>
      <c r="B2101" s="2">
        <f t="shared" si="64"/>
        <v>2019</v>
      </c>
      <c r="C2101" s="2" t="str">
        <f t="shared" si="65"/>
        <v>EC101</v>
      </c>
      <c r="D2101" s="2">
        <v>483</v>
      </c>
      <c r="F2101" s="1764"/>
      <c r="G2101" s="1764"/>
      <c r="H2101" s="1764"/>
      <c r="I2101" s="1764"/>
      <c r="J2101" s="1764"/>
      <c r="K2101" s="1764"/>
      <c r="L2101" s="1766"/>
      <c r="M2101" s="1766"/>
      <c r="N2101" s="1766"/>
      <c r="O2101" s="1766"/>
      <c r="P2101" s="1766"/>
      <c r="W2101" t="s">
        <v>2089</v>
      </c>
    </row>
    <row r="2102" spans="1:23" ht="13.15" customHeight="1" x14ac:dyDescent="0.2">
      <c r="A2102" s="2" t="s">
        <v>2242</v>
      </c>
      <c r="B2102" s="2">
        <f t="shared" si="64"/>
        <v>2019</v>
      </c>
      <c r="C2102" s="2" t="str">
        <f t="shared" si="65"/>
        <v>EC101</v>
      </c>
      <c r="D2102" s="2">
        <v>484</v>
      </c>
      <c r="F2102" s="1764"/>
      <c r="G2102" s="1764"/>
      <c r="H2102" s="1764"/>
      <c r="I2102" s="1764"/>
      <c r="J2102" s="1764"/>
      <c r="K2102" s="1764"/>
      <c r="L2102" s="1766"/>
      <c r="M2102" s="1766"/>
      <c r="N2102" s="1766"/>
      <c r="O2102" s="1766"/>
      <c r="P2102" s="1766"/>
      <c r="W2102" t="s">
        <v>2089</v>
      </c>
    </row>
    <row r="2103" spans="1:23" ht="13.15" customHeight="1" x14ac:dyDescent="0.2">
      <c r="A2103" s="2" t="s">
        <v>2242</v>
      </c>
      <c r="B2103" s="2">
        <f t="shared" si="64"/>
        <v>2019</v>
      </c>
      <c r="C2103" s="2" t="str">
        <f t="shared" si="65"/>
        <v>EC101</v>
      </c>
      <c r="D2103" s="2">
        <v>485</v>
      </c>
      <c r="F2103" s="1764"/>
      <c r="G2103" s="1764"/>
      <c r="H2103" s="1764"/>
      <c r="I2103" s="1764"/>
      <c r="J2103" s="1764"/>
      <c r="K2103" s="1764"/>
      <c r="L2103" s="1766"/>
      <c r="M2103" s="1766"/>
      <c r="N2103" s="1766"/>
      <c r="O2103" s="1766"/>
      <c r="P2103" s="1766"/>
      <c r="W2103" t="s">
        <v>2089</v>
      </c>
    </row>
    <row r="2104" spans="1:23" ht="13.15" customHeight="1" x14ac:dyDescent="0.2">
      <c r="A2104" s="2" t="s">
        <v>2242</v>
      </c>
      <c r="B2104" s="2">
        <f t="shared" si="64"/>
        <v>2019</v>
      </c>
      <c r="C2104" s="2" t="str">
        <f t="shared" si="65"/>
        <v>EC101</v>
      </c>
      <c r="D2104" s="2">
        <v>486</v>
      </c>
      <c r="F2104" s="1764"/>
      <c r="G2104" s="1764"/>
      <c r="H2104" s="1764"/>
      <c r="I2104" s="1764"/>
      <c r="J2104" s="1764"/>
      <c r="K2104" s="1764"/>
      <c r="L2104" s="1766"/>
      <c r="M2104" s="1766"/>
      <c r="N2104" s="1766"/>
      <c r="O2104" s="1766"/>
      <c r="P2104" s="1766"/>
      <c r="W2104" t="s">
        <v>2089</v>
      </c>
    </row>
    <row r="2105" spans="1:23" ht="13.15" customHeight="1" x14ac:dyDescent="0.2">
      <c r="A2105" s="2" t="s">
        <v>2242</v>
      </c>
      <c r="B2105" s="2">
        <f t="shared" si="64"/>
        <v>2019</v>
      </c>
      <c r="C2105" s="2" t="str">
        <f t="shared" si="65"/>
        <v>EC101</v>
      </c>
      <c r="D2105" s="2">
        <v>487</v>
      </c>
      <c r="F2105" s="1764"/>
      <c r="G2105" s="1764"/>
      <c r="H2105" s="1764"/>
      <c r="I2105" s="1764"/>
      <c r="J2105" s="1764"/>
      <c r="K2105" s="1764"/>
      <c r="L2105" s="1766"/>
      <c r="M2105" s="1766"/>
      <c r="N2105" s="1766"/>
      <c r="O2105" s="1766"/>
      <c r="P2105" s="1766"/>
      <c r="W2105" t="s">
        <v>2089</v>
      </c>
    </row>
    <row r="2106" spans="1:23" ht="13.15" customHeight="1" x14ac:dyDescent="0.2">
      <c r="A2106" s="2" t="s">
        <v>2242</v>
      </c>
      <c r="B2106" s="2">
        <f t="shared" si="64"/>
        <v>2019</v>
      </c>
      <c r="C2106" s="2" t="str">
        <f t="shared" si="65"/>
        <v>EC101</v>
      </c>
      <c r="D2106" s="2">
        <v>488</v>
      </c>
      <c r="F2106" s="1764"/>
      <c r="G2106" s="1764"/>
      <c r="H2106" s="1764"/>
      <c r="I2106" s="1764"/>
      <c r="J2106" s="1764"/>
      <c r="K2106" s="1764"/>
      <c r="L2106" s="1766"/>
      <c r="M2106" s="1766"/>
      <c r="N2106" s="1766"/>
      <c r="O2106" s="1766"/>
      <c r="P2106" s="1766"/>
      <c r="W2106" t="s">
        <v>2089</v>
      </c>
    </row>
    <row r="2107" spans="1:23" ht="13.15" customHeight="1" x14ac:dyDescent="0.2">
      <c r="A2107" s="2" t="s">
        <v>2242</v>
      </c>
      <c r="B2107" s="2">
        <f t="shared" si="64"/>
        <v>2019</v>
      </c>
      <c r="C2107" s="2" t="str">
        <f t="shared" si="65"/>
        <v>EC101</v>
      </c>
      <c r="D2107" s="2">
        <v>489</v>
      </c>
      <c r="F2107" s="1764"/>
      <c r="G2107" s="1764"/>
      <c r="H2107" s="1764"/>
      <c r="I2107" s="1764"/>
      <c r="J2107" s="1764"/>
      <c r="K2107" s="1764"/>
      <c r="L2107" s="1766"/>
      <c r="M2107" s="1766"/>
      <c r="N2107" s="1766"/>
      <c r="O2107" s="1766"/>
      <c r="P2107" s="1766"/>
      <c r="W2107" t="s">
        <v>2089</v>
      </c>
    </row>
    <row r="2108" spans="1:23" ht="13.15" customHeight="1" x14ac:dyDescent="0.2">
      <c r="A2108" s="2" t="s">
        <v>2242</v>
      </c>
      <c r="B2108" s="2">
        <f t="shared" si="64"/>
        <v>2019</v>
      </c>
      <c r="C2108" s="2" t="str">
        <f t="shared" si="65"/>
        <v>EC101</v>
      </c>
      <c r="D2108" s="2">
        <v>490</v>
      </c>
      <c r="F2108" s="1764"/>
      <c r="G2108" s="1764"/>
      <c r="H2108" s="1764"/>
      <c r="I2108" s="1764"/>
      <c r="J2108" s="1764"/>
      <c r="K2108" s="1764"/>
      <c r="L2108" s="1766"/>
      <c r="M2108" s="1766"/>
      <c r="N2108" s="1766"/>
      <c r="O2108" s="1766"/>
      <c r="P2108" s="1766"/>
      <c r="W2108" t="s">
        <v>2089</v>
      </c>
    </row>
    <row r="2109" spans="1:23" ht="13.15" customHeight="1" x14ac:dyDescent="0.2">
      <c r="A2109" s="2" t="s">
        <v>2242</v>
      </c>
      <c r="B2109" s="2">
        <f t="shared" si="64"/>
        <v>2019</v>
      </c>
      <c r="C2109" s="2" t="str">
        <f t="shared" si="65"/>
        <v>EC101</v>
      </c>
      <c r="D2109" s="2">
        <v>491</v>
      </c>
      <c r="F2109" s="1764"/>
      <c r="G2109" s="1764"/>
      <c r="H2109" s="1764"/>
      <c r="I2109" s="1764"/>
      <c r="J2109" s="1764"/>
      <c r="K2109" s="1764"/>
      <c r="L2109" s="1766"/>
      <c r="M2109" s="1766"/>
      <c r="N2109" s="1766"/>
      <c r="O2109" s="1766"/>
      <c r="P2109" s="1766"/>
      <c r="W2109" t="s">
        <v>2089</v>
      </c>
    </row>
    <row r="2110" spans="1:23" ht="13.15" customHeight="1" x14ac:dyDescent="0.2">
      <c r="A2110" s="2" t="s">
        <v>2242</v>
      </c>
      <c r="B2110" s="2">
        <f t="shared" si="64"/>
        <v>2019</v>
      </c>
      <c r="C2110" s="2" t="str">
        <f t="shared" si="65"/>
        <v>EC101</v>
      </c>
      <c r="D2110" s="2">
        <v>492</v>
      </c>
      <c r="F2110" s="1764"/>
      <c r="G2110" s="1764"/>
      <c r="H2110" s="1764"/>
      <c r="I2110" s="1764"/>
      <c r="J2110" s="1764"/>
      <c r="K2110" s="1764"/>
      <c r="L2110" s="1766"/>
      <c r="M2110" s="1766"/>
      <c r="N2110" s="1766"/>
      <c r="O2110" s="1766"/>
      <c r="P2110" s="1766"/>
      <c r="W2110" t="s">
        <v>2089</v>
      </c>
    </row>
    <row r="2111" spans="1:23" ht="13.15" customHeight="1" x14ac:dyDescent="0.2">
      <c r="A2111" s="2" t="s">
        <v>2242</v>
      </c>
      <c r="B2111" s="2">
        <f t="shared" si="64"/>
        <v>2019</v>
      </c>
      <c r="C2111" s="2" t="str">
        <f t="shared" si="65"/>
        <v>EC101</v>
      </c>
      <c r="D2111" s="2">
        <v>493</v>
      </c>
      <c r="F2111" s="1764"/>
      <c r="G2111" s="1764"/>
      <c r="H2111" s="1764"/>
      <c r="I2111" s="1764"/>
      <c r="J2111" s="1764"/>
      <c r="K2111" s="1764"/>
      <c r="L2111" s="1766"/>
      <c r="M2111" s="1766"/>
      <c r="N2111" s="1766"/>
      <c r="O2111" s="1766"/>
      <c r="P2111" s="1766"/>
      <c r="W2111" t="s">
        <v>2089</v>
      </c>
    </row>
    <row r="2112" spans="1:23" ht="13.15" customHeight="1" x14ac:dyDescent="0.2">
      <c r="A2112" s="2" t="s">
        <v>2242</v>
      </c>
      <c r="B2112" s="2">
        <f t="shared" si="64"/>
        <v>2019</v>
      </c>
      <c r="C2112" s="2" t="str">
        <f t="shared" si="65"/>
        <v>EC101</v>
      </c>
      <c r="D2112" s="2">
        <v>494</v>
      </c>
      <c r="F2112" s="1764"/>
      <c r="G2112" s="1764"/>
      <c r="H2112" s="1764"/>
      <c r="I2112" s="1764"/>
      <c r="J2112" s="1764"/>
      <c r="K2112" s="1764"/>
      <c r="L2112" s="1766"/>
      <c r="M2112" s="1766"/>
      <c r="N2112" s="1766"/>
      <c r="O2112" s="1766"/>
      <c r="P2112" s="1766"/>
      <c r="W2112" t="s">
        <v>2089</v>
      </c>
    </row>
    <row r="2113" spans="1:23" ht="13.15" customHeight="1" x14ac:dyDescent="0.2">
      <c r="A2113" s="2" t="s">
        <v>2242</v>
      </c>
      <c r="B2113" s="2">
        <f t="shared" si="64"/>
        <v>2019</v>
      </c>
      <c r="C2113" s="2" t="str">
        <f t="shared" si="65"/>
        <v>EC101</v>
      </c>
      <c r="D2113" s="2">
        <v>495</v>
      </c>
      <c r="F2113" s="1764"/>
      <c r="G2113" s="1764"/>
      <c r="H2113" s="1764"/>
      <c r="I2113" s="1764"/>
      <c r="J2113" s="1764"/>
      <c r="K2113" s="1764"/>
      <c r="L2113" s="1766"/>
      <c r="M2113" s="1766"/>
      <c r="N2113" s="1766"/>
      <c r="O2113" s="1766"/>
      <c r="P2113" s="1766"/>
      <c r="W2113" t="s">
        <v>2089</v>
      </c>
    </row>
    <row r="2114" spans="1:23" ht="13.15" customHeight="1" x14ac:dyDescent="0.2">
      <c r="A2114" s="2" t="s">
        <v>2242</v>
      </c>
      <c r="B2114" s="2">
        <f t="shared" ref="B2114:B2177" si="66">+MTREF</f>
        <v>2019</v>
      </c>
      <c r="C2114" s="2" t="str">
        <f t="shared" ref="C2114:C2177" si="67">LEFT(muni,(FIND(" ",muni,1)-1))</f>
        <v>EC101</v>
      </c>
      <c r="D2114" s="2">
        <v>496</v>
      </c>
      <c r="F2114" s="1764"/>
      <c r="G2114" s="1764"/>
      <c r="H2114" s="1764"/>
      <c r="I2114" s="1764"/>
      <c r="J2114" s="1764"/>
      <c r="K2114" s="1764"/>
      <c r="L2114" s="1766"/>
      <c r="M2114" s="1766"/>
      <c r="N2114" s="1766"/>
      <c r="O2114" s="1766"/>
      <c r="P2114" s="1766"/>
      <c r="W2114" t="s">
        <v>2089</v>
      </c>
    </row>
    <row r="2115" spans="1:23" ht="13.15" customHeight="1" x14ac:dyDescent="0.2">
      <c r="A2115" s="2" t="s">
        <v>2242</v>
      </c>
      <c r="B2115" s="2">
        <f t="shared" si="66"/>
        <v>2019</v>
      </c>
      <c r="C2115" s="2" t="str">
        <f t="shared" si="67"/>
        <v>EC101</v>
      </c>
      <c r="D2115" s="2">
        <v>497</v>
      </c>
      <c r="F2115" s="1764"/>
      <c r="G2115" s="1764"/>
      <c r="H2115" s="1764"/>
      <c r="I2115" s="1764"/>
      <c r="J2115" s="1764"/>
      <c r="K2115" s="1764"/>
      <c r="L2115" s="1766"/>
      <c r="M2115" s="1766"/>
      <c r="N2115" s="1766"/>
      <c r="O2115" s="1766"/>
      <c r="P2115" s="1766"/>
      <c r="W2115" t="s">
        <v>2089</v>
      </c>
    </row>
    <row r="2116" spans="1:23" ht="13.15" customHeight="1" x14ac:dyDescent="0.2">
      <c r="A2116" s="2" t="s">
        <v>2242</v>
      </c>
      <c r="B2116" s="2">
        <f t="shared" si="66"/>
        <v>2019</v>
      </c>
      <c r="C2116" s="2" t="str">
        <f t="shared" si="67"/>
        <v>EC101</v>
      </c>
      <c r="D2116" s="2">
        <v>498</v>
      </c>
      <c r="F2116" s="1764"/>
      <c r="G2116" s="1764"/>
      <c r="H2116" s="1764"/>
      <c r="I2116" s="1764"/>
      <c r="J2116" s="1764"/>
      <c r="K2116" s="1764"/>
      <c r="L2116" s="1766"/>
      <c r="M2116" s="1766"/>
      <c r="N2116" s="1766"/>
      <c r="O2116" s="1766"/>
      <c r="P2116" s="1766"/>
      <c r="W2116" t="s">
        <v>2089</v>
      </c>
    </row>
    <row r="2117" spans="1:23" ht="13.15" customHeight="1" x14ac:dyDescent="0.2">
      <c r="A2117" s="2" t="s">
        <v>2242</v>
      </c>
      <c r="B2117" s="2">
        <f t="shared" si="66"/>
        <v>2019</v>
      </c>
      <c r="C2117" s="2" t="str">
        <f t="shared" si="67"/>
        <v>EC101</v>
      </c>
      <c r="D2117" s="2">
        <v>499</v>
      </c>
      <c r="F2117" s="1764"/>
      <c r="G2117" s="1764"/>
      <c r="H2117" s="1764"/>
      <c r="I2117" s="1764"/>
      <c r="J2117" s="1764"/>
      <c r="K2117" s="1764"/>
      <c r="L2117" s="1766"/>
      <c r="M2117" s="1766"/>
      <c r="N2117" s="1766"/>
      <c r="O2117" s="1766"/>
      <c r="P2117" s="1766"/>
      <c r="W2117" t="s">
        <v>2089</v>
      </c>
    </row>
    <row r="2118" spans="1:23" ht="13.15" customHeight="1" x14ac:dyDescent="0.2">
      <c r="A2118" s="2" t="s">
        <v>2242</v>
      </c>
      <c r="B2118" s="2">
        <f t="shared" si="66"/>
        <v>2019</v>
      </c>
      <c r="C2118" s="2" t="str">
        <f t="shared" si="67"/>
        <v>EC101</v>
      </c>
      <c r="D2118" s="2">
        <v>500</v>
      </c>
      <c r="F2118" s="1764"/>
      <c r="G2118" s="1764"/>
      <c r="H2118" s="1764"/>
      <c r="I2118" s="1764"/>
      <c r="J2118" s="1764"/>
      <c r="K2118" s="1764"/>
      <c r="L2118" s="1766"/>
      <c r="M2118" s="1766"/>
      <c r="N2118" s="1766"/>
      <c r="O2118" s="1766"/>
      <c r="P2118" s="1766"/>
      <c r="W2118" t="s">
        <v>2089</v>
      </c>
    </row>
    <row r="2119" spans="1:23" ht="13.15" customHeight="1" x14ac:dyDescent="0.2">
      <c r="A2119" s="2" t="s">
        <v>2242</v>
      </c>
      <c r="B2119" s="2">
        <f t="shared" si="66"/>
        <v>2019</v>
      </c>
      <c r="C2119" s="2" t="str">
        <f t="shared" si="67"/>
        <v>EC101</v>
      </c>
      <c r="D2119" s="2">
        <v>501</v>
      </c>
      <c r="F2119" s="1764"/>
      <c r="G2119" s="1764"/>
      <c r="H2119" s="1764"/>
      <c r="I2119" s="1764"/>
      <c r="J2119" s="1764"/>
      <c r="K2119" s="1764"/>
      <c r="L2119" s="1766"/>
      <c r="M2119" s="1766"/>
      <c r="N2119" s="1766"/>
      <c r="O2119" s="1766"/>
      <c r="P2119" s="1766"/>
      <c r="W2119" t="s">
        <v>2089</v>
      </c>
    </row>
    <row r="2120" spans="1:23" ht="13.15" customHeight="1" x14ac:dyDescent="0.2">
      <c r="A2120" s="2" t="s">
        <v>2242</v>
      </c>
      <c r="B2120" s="2">
        <f t="shared" si="66"/>
        <v>2019</v>
      </c>
      <c r="C2120" s="2" t="str">
        <f t="shared" si="67"/>
        <v>EC101</v>
      </c>
      <c r="D2120" s="2">
        <v>502</v>
      </c>
      <c r="F2120" s="1764"/>
      <c r="G2120" s="1764"/>
      <c r="H2120" s="1764"/>
      <c r="I2120" s="1764"/>
      <c r="J2120" s="1764"/>
      <c r="K2120" s="1764"/>
      <c r="L2120" s="1766"/>
      <c r="M2120" s="1766"/>
      <c r="N2120" s="1766"/>
      <c r="O2120" s="1766"/>
      <c r="P2120" s="1766"/>
      <c r="W2120" t="s">
        <v>2089</v>
      </c>
    </row>
    <row r="2121" spans="1:23" ht="13.15" customHeight="1" x14ac:dyDescent="0.2">
      <c r="A2121" s="2" t="s">
        <v>2242</v>
      </c>
      <c r="B2121" s="2">
        <f t="shared" si="66"/>
        <v>2019</v>
      </c>
      <c r="C2121" s="2" t="str">
        <f t="shared" si="67"/>
        <v>EC101</v>
      </c>
      <c r="D2121" s="2">
        <v>503</v>
      </c>
      <c r="F2121" s="1764"/>
      <c r="G2121" s="1764"/>
      <c r="H2121" s="1764"/>
      <c r="I2121" s="1764"/>
      <c r="J2121" s="1764"/>
      <c r="K2121" s="1764"/>
      <c r="L2121" s="1766"/>
      <c r="M2121" s="1766"/>
      <c r="N2121" s="1766"/>
      <c r="O2121" s="1766"/>
      <c r="P2121" s="1766"/>
      <c r="W2121" t="s">
        <v>2089</v>
      </c>
    </row>
    <row r="2122" spans="1:23" ht="13.15" customHeight="1" x14ac:dyDescent="0.2">
      <c r="A2122" s="2" t="s">
        <v>2242</v>
      </c>
      <c r="B2122" s="2">
        <f t="shared" si="66"/>
        <v>2019</v>
      </c>
      <c r="C2122" s="2" t="str">
        <f t="shared" si="67"/>
        <v>EC101</v>
      </c>
      <c r="D2122" s="2">
        <v>504</v>
      </c>
      <c r="F2122" s="1764"/>
      <c r="G2122" s="1764"/>
      <c r="H2122" s="1764"/>
      <c r="I2122" s="1764"/>
      <c r="J2122" s="1764"/>
      <c r="K2122" s="1764"/>
      <c r="L2122" s="1766"/>
      <c r="M2122" s="1766"/>
      <c r="N2122" s="1766"/>
      <c r="O2122" s="1766"/>
      <c r="P2122" s="1766"/>
      <c r="W2122" t="s">
        <v>2089</v>
      </c>
    </row>
    <row r="2123" spans="1:23" ht="13.15" customHeight="1" x14ac:dyDescent="0.2">
      <c r="A2123" s="2" t="s">
        <v>2242</v>
      </c>
      <c r="B2123" s="2">
        <f t="shared" si="66"/>
        <v>2019</v>
      </c>
      <c r="C2123" s="2" t="str">
        <f t="shared" si="67"/>
        <v>EC101</v>
      </c>
      <c r="D2123" s="2">
        <v>505</v>
      </c>
      <c r="F2123" s="1764"/>
      <c r="G2123" s="1764"/>
      <c r="H2123" s="1764"/>
      <c r="I2123" s="1764"/>
      <c r="J2123" s="1764"/>
      <c r="K2123" s="1764"/>
      <c r="L2123" s="1766"/>
      <c r="M2123" s="1766"/>
      <c r="N2123" s="1766"/>
      <c r="O2123" s="1766"/>
      <c r="P2123" s="1766"/>
      <c r="W2123" t="s">
        <v>2089</v>
      </c>
    </row>
    <row r="2124" spans="1:23" ht="13.15" customHeight="1" x14ac:dyDescent="0.2">
      <c r="A2124" s="2" t="s">
        <v>2242</v>
      </c>
      <c r="B2124" s="2">
        <f t="shared" si="66"/>
        <v>2019</v>
      </c>
      <c r="C2124" s="2" t="str">
        <f t="shared" si="67"/>
        <v>EC101</v>
      </c>
      <c r="D2124" s="2">
        <v>506</v>
      </c>
      <c r="F2124" s="1764"/>
      <c r="G2124" s="1764"/>
      <c r="H2124" s="1764"/>
      <c r="I2124" s="1764"/>
      <c r="J2124" s="1764"/>
      <c r="K2124" s="1764"/>
      <c r="L2124" s="1766"/>
      <c r="M2124" s="1766"/>
      <c r="N2124" s="1766"/>
      <c r="O2124" s="1766"/>
      <c r="P2124" s="1766"/>
      <c r="W2124" t="s">
        <v>2089</v>
      </c>
    </row>
    <row r="2125" spans="1:23" ht="13.15" customHeight="1" x14ac:dyDescent="0.2">
      <c r="A2125" s="2" t="s">
        <v>2242</v>
      </c>
      <c r="B2125" s="2">
        <f t="shared" si="66"/>
        <v>2019</v>
      </c>
      <c r="C2125" s="2" t="str">
        <f t="shared" si="67"/>
        <v>EC101</v>
      </c>
      <c r="D2125" s="2">
        <v>507</v>
      </c>
      <c r="F2125" s="1764"/>
      <c r="G2125" s="1764"/>
      <c r="H2125" s="1764"/>
      <c r="I2125" s="1764"/>
      <c r="J2125" s="1764"/>
      <c r="K2125" s="1764"/>
      <c r="L2125" s="1766"/>
      <c r="M2125" s="1766"/>
      <c r="N2125" s="1766"/>
      <c r="O2125" s="1766"/>
      <c r="P2125" s="1766"/>
      <c r="W2125" t="s">
        <v>2089</v>
      </c>
    </row>
    <row r="2126" spans="1:23" ht="13.15" customHeight="1" x14ac:dyDescent="0.2">
      <c r="A2126" s="2" t="s">
        <v>2242</v>
      </c>
      <c r="B2126" s="2">
        <f t="shared" si="66"/>
        <v>2019</v>
      </c>
      <c r="C2126" s="2" t="str">
        <f t="shared" si="67"/>
        <v>EC101</v>
      </c>
      <c r="D2126" s="2">
        <v>508</v>
      </c>
      <c r="F2126" s="1764"/>
      <c r="G2126" s="1764"/>
      <c r="H2126" s="1764"/>
      <c r="I2126" s="1764"/>
      <c r="J2126" s="1764"/>
      <c r="K2126" s="1764"/>
      <c r="L2126" s="1766"/>
      <c r="M2126" s="1766"/>
      <c r="N2126" s="1766"/>
      <c r="O2126" s="1766"/>
      <c r="P2126" s="1766"/>
      <c r="W2126" t="s">
        <v>2089</v>
      </c>
    </row>
    <row r="2127" spans="1:23" ht="13.15" customHeight="1" x14ac:dyDescent="0.2">
      <c r="A2127" s="2" t="s">
        <v>2242</v>
      </c>
      <c r="B2127" s="2">
        <f t="shared" si="66"/>
        <v>2019</v>
      </c>
      <c r="C2127" s="2" t="str">
        <f t="shared" si="67"/>
        <v>EC101</v>
      </c>
      <c r="D2127" s="2">
        <v>509</v>
      </c>
      <c r="F2127" s="1764"/>
      <c r="G2127" s="1764"/>
      <c r="H2127" s="1764"/>
      <c r="I2127" s="1764"/>
      <c r="J2127" s="1764"/>
      <c r="K2127" s="1764"/>
      <c r="L2127" s="1766"/>
      <c r="M2127" s="1766"/>
      <c r="N2127" s="1766"/>
      <c r="O2127" s="1766"/>
      <c r="P2127" s="1766"/>
      <c r="W2127" t="s">
        <v>2089</v>
      </c>
    </row>
    <row r="2128" spans="1:23" ht="13.15" customHeight="1" x14ac:dyDescent="0.2">
      <c r="A2128" s="2" t="s">
        <v>2242</v>
      </c>
      <c r="B2128" s="2">
        <f t="shared" si="66"/>
        <v>2019</v>
      </c>
      <c r="C2128" s="2" t="str">
        <f t="shared" si="67"/>
        <v>EC101</v>
      </c>
      <c r="D2128" s="2">
        <v>510</v>
      </c>
      <c r="F2128" s="1764"/>
      <c r="G2128" s="1764"/>
      <c r="H2128" s="1764"/>
      <c r="I2128" s="1764"/>
      <c r="J2128" s="1764"/>
      <c r="K2128" s="1764"/>
      <c r="L2128" s="1766"/>
      <c r="M2128" s="1766"/>
      <c r="N2128" s="1766"/>
      <c r="O2128" s="1766"/>
      <c r="P2128" s="1766"/>
      <c r="W2128" t="s">
        <v>2089</v>
      </c>
    </row>
    <row r="2129" spans="1:23" ht="13.15" customHeight="1" x14ac:dyDescent="0.2">
      <c r="A2129" s="2" t="s">
        <v>2242</v>
      </c>
      <c r="B2129" s="2">
        <f t="shared" si="66"/>
        <v>2019</v>
      </c>
      <c r="C2129" s="2" t="str">
        <f t="shared" si="67"/>
        <v>EC101</v>
      </c>
      <c r="D2129" s="2">
        <v>511</v>
      </c>
      <c r="F2129" s="1764"/>
      <c r="G2129" s="1764"/>
      <c r="H2129" s="1764"/>
      <c r="I2129" s="1764"/>
      <c r="J2129" s="1764"/>
      <c r="K2129" s="1764"/>
      <c r="L2129" s="1766"/>
      <c r="M2129" s="1766"/>
      <c r="N2129" s="1766"/>
      <c r="O2129" s="1766"/>
      <c r="P2129" s="1766"/>
      <c r="W2129" t="s">
        <v>2089</v>
      </c>
    </row>
    <row r="2130" spans="1:23" ht="13.15" customHeight="1" x14ac:dyDescent="0.2">
      <c r="A2130" s="2" t="s">
        <v>2242</v>
      </c>
      <c r="B2130" s="2">
        <f t="shared" si="66"/>
        <v>2019</v>
      </c>
      <c r="C2130" s="2" t="str">
        <f t="shared" si="67"/>
        <v>EC101</v>
      </c>
      <c r="D2130" s="2">
        <v>512</v>
      </c>
      <c r="F2130" s="1764"/>
      <c r="G2130" s="1764"/>
      <c r="H2130" s="1764"/>
      <c r="I2130" s="1764"/>
      <c r="J2130" s="1764"/>
      <c r="K2130" s="1764"/>
      <c r="L2130" s="1766"/>
      <c r="M2130" s="1766"/>
      <c r="N2130" s="1766"/>
      <c r="O2130" s="1766"/>
      <c r="P2130" s="1766"/>
      <c r="W2130" t="s">
        <v>2089</v>
      </c>
    </row>
    <row r="2131" spans="1:23" ht="13.15" customHeight="1" x14ac:dyDescent="0.2">
      <c r="A2131" s="2" t="s">
        <v>2242</v>
      </c>
      <c r="B2131" s="2">
        <f t="shared" si="66"/>
        <v>2019</v>
      </c>
      <c r="C2131" s="2" t="str">
        <f t="shared" si="67"/>
        <v>EC101</v>
      </c>
      <c r="D2131" s="2">
        <v>513</v>
      </c>
      <c r="F2131" s="1764"/>
      <c r="G2131" s="1764"/>
      <c r="H2131" s="1764"/>
      <c r="I2131" s="1764"/>
      <c r="J2131" s="1764"/>
      <c r="K2131" s="1764"/>
      <c r="L2131" s="1766"/>
      <c r="M2131" s="1766"/>
      <c r="N2131" s="1766"/>
      <c r="O2131" s="1766"/>
      <c r="P2131" s="1766"/>
      <c r="W2131" t="s">
        <v>2089</v>
      </c>
    </row>
    <row r="2132" spans="1:23" ht="13.15" customHeight="1" x14ac:dyDescent="0.2">
      <c r="A2132" s="2" t="s">
        <v>2242</v>
      </c>
      <c r="B2132" s="2">
        <f t="shared" si="66"/>
        <v>2019</v>
      </c>
      <c r="C2132" s="2" t="str">
        <f t="shared" si="67"/>
        <v>EC101</v>
      </c>
      <c r="D2132" s="2">
        <v>514</v>
      </c>
      <c r="F2132" s="1764"/>
      <c r="G2132" s="1764"/>
      <c r="H2132" s="1764"/>
      <c r="I2132" s="1764"/>
      <c r="J2132" s="1764"/>
      <c r="K2132" s="1764"/>
      <c r="L2132" s="1766"/>
      <c r="M2132" s="1766"/>
      <c r="N2132" s="1766"/>
      <c r="O2132" s="1766"/>
      <c r="P2132" s="1766"/>
      <c r="W2132" t="s">
        <v>2089</v>
      </c>
    </row>
    <row r="2133" spans="1:23" ht="13.15" customHeight="1" x14ac:dyDescent="0.2">
      <c r="A2133" s="2" t="s">
        <v>2242</v>
      </c>
      <c r="B2133" s="2">
        <f t="shared" si="66"/>
        <v>2019</v>
      </c>
      <c r="C2133" s="2" t="str">
        <f t="shared" si="67"/>
        <v>EC101</v>
      </c>
      <c r="D2133" s="2">
        <v>515</v>
      </c>
      <c r="F2133" s="1764"/>
      <c r="G2133" s="1764"/>
      <c r="H2133" s="1764"/>
      <c r="I2133" s="1764"/>
      <c r="J2133" s="1764"/>
      <c r="K2133" s="1764"/>
      <c r="L2133" s="1766"/>
      <c r="M2133" s="1766"/>
      <c r="N2133" s="1766"/>
      <c r="O2133" s="1766"/>
      <c r="P2133" s="1766"/>
      <c r="W2133" t="s">
        <v>2089</v>
      </c>
    </row>
    <row r="2134" spans="1:23" ht="13.15" customHeight="1" x14ac:dyDescent="0.2">
      <c r="A2134" s="2" t="s">
        <v>2242</v>
      </c>
      <c r="B2134" s="2">
        <f t="shared" si="66"/>
        <v>2019</v>
      </c>
      <c r="C2134" s="2" t="str">
        <f t="shared" si="67"/>
        <v>EC101</v>
      </c>
      <c r="D2134" s="2">
        <v>516</v>
      </c>
      <c r="F2134" s="1764"/>
      <c r="G2134" s="1764"/>
      <c r="H2134" s="1764"/>
      <c r="I2134" s="1764"/>
      <c r="J2134" s="1764"/>
      <c r="K2134" s="1764"/>
      <c r="L2134" s="1766"/>
      <c r="M2134" s="1766"/>
      <c r="N2134" s="1766"/>
      <c r="O2134" s="1766"/>
      <c r="P2134" s="1766"/>
      <c r="W2134" t="s">
        <v>2089</v>
      </c>
    </row>
    <row r="2135" spans="1:23" ht="13.15" customHeight="1" x14ac:dyDescent="0.2">
      <c r="A2135" s="2" t="s">
        <v>2242</v>
      </c>
      <c r="B2135" s="2">
        <f t="shared" si="66"/>
        <v>2019</v>
      </c>
      <c r="C2135" s="2" t="str">
        <f t="shared" si="67"/>
        <v>EC101</v>
      </c>
      <c r="D2135" s="2">
        <v>517</v>
      </c>
      <c r="F2135" s="1764"/>
      <c r="G2135" s="1764"/>
      <c r="H2135" s="1764"/>
      <c r="I2135" s="1764"/>
      <c r="J2135" s="1764"/>
      <c r="K2135" s="1764"/>
      <c r="L2135" s="1766"/>
      <c r="M2135" s="1766"/>
      <c r="N2135" s="1766"/>
      <c r="O2135" s="1766"/>
      <c r="P2135" s="1766"/>
      <c r="W2135" t="s">
        <v>2089</v>
      </c>
    </row>
    <row r="2136" spans="1:23" ht="13.15" customHeight="1" x14ac:dyDescent="0.2">
      <c r="A2136" s="2" t="s">
        <v>2242</v>
      </c>
      <c r="B2136" s="2">
        <f t="shared" si="66"/>
        <v>2019</v>
      </c>
      <c r="C2136" s="2" t="str">
        <f t="shared" si="67"/>
        <v>EC101</v>
      </c>
      <c r="D2136" s="2">
        <v>518</v>
      </c>
      <c r="F2136" s="1764"/>
      <c r="G2136" s="1764"/>
      <c r="H2136" s="1764"/>
      <c r="I2136" s="1764"/>
      <c r="J2136" s="1764"/>
      <c r="K2136" s="1764"/>
      <c r="L2136" s="1766"/>
      <c r="M2136" s="1766"/>
      <c r="N2136" s="1766"/>
      <c r="O2136" s="1766"/>
      <c r="P2136" s="1766"/>
      <c r="W2136" t="s">
        <v>2089</v>
      </c>
    </row>
    <row r="2137" spans="1:23" ht="13.15" customHeight="1" x14ac:dyDescent="0.2">
      <c r="A2137" s="2" t="s">
        <v>2242</v>
      </c>
      <c r="B2137" s="2">
        <f t="shared" si="66"/>
        <v>2019</v>
      </c>
      <c r="C2137" s="2" t="str">
        <f t="shared" si="67"/>
        <v>EC101</v>
      </c>
      <c r="D2137" s="2">
        <v>519</v>
      </c>
      <c r="F2137" s="1764"/>
      <c r="G2137" s="1764"/>
      <c r="H2137" s="1764"/>
      <c r="I2137" s="1764"/>
      <c r="J2137" s="1764"/>
      <c r="K2137" s="1764"/>
      <c r="L2137" s="1766"/>
      <c r="M2137" s="1766"/>
      <c r="N2137" s="1766"/>
      <c r="O2137" s="1766"/>
      <c r="P2137" s="1766"/>
      <c r="W2137" t="s">
        <v>2089</v>
      </c>
    </row>
    <row r="2138" spans="1:23" ht="13.15" customHeight="1" x14ac:dyDescent="0.2">
      <c r="A2138" s="2" t="s">
        <v>2242</v>
      </c>
      <c r="B2138" s="2">
        <f t="shared" si="66"/>
        <v>2019</v>
      </c>
      <c r="C2138" s="2" t="str">
        <f t="shared" si="67"/>
        <v>EC101</v>
      </c>
      <c r="D2138" s="2">
        <v>520</v>
      </c>
      <c r="F2138" s="1764"/>
      <c r="G2138" s="1764"/>
      <c r="H2138" s="1764"/>
      <c r="I2138" s="1764"/>
      <c r="J2138" s="1764"/>
      <c r="K2138" s="1764"/>
      <c r="L2138" s="1766"/>
      <c r="M2138" s="1766"/>
      <c r="N2138" s="1766"/>
      <c r="O2138" s="1766"/>
      <c r="P2138" s="1766"/>
      <c r="W2138" t="s">
        <v>2089</v>
      </c>
    </row>
    <row r="2139" spans="1:23" ht="13.15" customHeight="1" x14ac:dyDescent="0.2">
      <c r="A2139" s="2" t="s">
        <v>2242</v>
      </c>
      <c r="B2139" s="2">
        <f t="shared" si="66"/>
        <v>2019</v>
      </c>
      <c r="C2139" s="2" t="str">
        <f t="shared" si="67"/>
        <v>EC101</v>
      </c>
      <c r="D2139" s="2">
        <v>521</v>
      </c>
      <c r="F2139" s="1764"/>
      <c r="G2139" s="1764"/>
      <c r="H2139" s="1764"/>
      <c r="I2139" s="1764"/>
      <c r="J2139" s="1764"/>
      <c r="K2139" s="1764"/>
      <c r="L2139" s="1766"/>
      <c r="M2139" s="1766"/>
      <c r="N2139" s="1766"/>
      <c r="O2139" s="1766"/>
      <c r="P2139" s="1766"/>
      <c r="W2139" t="s">
        <v>2089</v>
      </c>
    </row>
    <row r="2140" spans="1:23" ht="13.15" customHeight="1" x14ac:dyDescent="0.2">
      <c r="A2140" s="2" t="s">
        <v>2242</v>
      </c>
      <c r="B2140" s="2">
        <f t="shared" si="66"/>
        <v>2019</v>
      </c>
      <c r="C2140" s="2" t="str">
        <f t="shared" si="67"/>
        <v>EC101</v>
      </c>
      <c r="D2140" s="2">
        <v>522</v>
      </c>
      <c r="F2140" s="1764"/>
      <c r="G2140" s="1764"/>
      <c r="H2140" s="1764"/>
      <c r="I2140" s="1764"/>
      <c r="J2140" s="1764"/>
      <c r="K2140" s="1764"/>
      <c r="L2140" s="1766"/>
      <c r="M2140" s="1766"/>
      <c r="N2140" s="1766"/>
      <c r="O2140" s="1766"/>
      <c r="P2140" s="1766"/>
      <c r="W2140" t="s">
        <v>2089</v>
      </c>
    </row>
    <row r="2141" spans="1:23" ht="13.15" customHeight="1" x14ac:dyDescent="0.2">
      <c r="A2141" s="2" t="s">
        <v>2242</v>
      </c>
      <c r="B2141" s="2">
        <f t="shared" si="66"/>
        <v>2019</v>
      </c>
      <c r="C2141" s="2" t="str">
        <f t="shared" si="67"/>
        <v>EC101</v>
      </c>
      <c r="D2141" s="2">
        <v>523</v>
      </c>
      <c r="F2141" s="1764"/>
      <c r="G2141" s="1764"/>
      <c r="H2141" s="1764"/>
      <c r="I2141" s="1764"/>
      <c r="J2141" s="1764"/>
      <c r="K2141" s="1764"/>
      <c r="L2141" s="1766"/>
      <c r="M2141" s="1766"/>
      <c r="N2141" s="1766"/>
      <c r="O2141" s="1766"/>
      <c r="P2141" s="1766"/>
      <c r="W2141" t="s">
        <v>2089</v>
      </c>
    </row>
    <row r="2142" spans="1:23" ht="13.15" customHeight="1" x14ac:dyDescent="0.2">
      <c r="A2142" s="2" t="s">
        <v>2242</v>
      </c>
      <c r="B2142" s="2">
        <f t="shared" si="66"/>
        <v>2019</v>
      </c>
      <c r="C2142" s="2" t="str">
        <f t="shared" si="67"/>
        <v>EC101</v>
      </c>
      <c r="D2142" s="2">
        <v>524</v>
      </c>
      <c r="F2142" s="1764"/>
      <c r="G2142" s="1764"/>
      <c r="H2142" s="1764"/>
      <c r="I2142" s="1764"/>
      <c r="J2142" s="1764"/>
      <c r="K2142" s="1764"/>
      <c r="L2142" s="1766"/>
      <c r="M2142" s="1766"/>
      <c r="N2142" s="1766"/>
      <c r="O2142" s="1766"/>
      <c r="P2142" s="1766"/>
      <c r="W2142" t="s">
        <v>2089</v>
      </c>
    </row>
    <row r="2143" spans="1:23" ht="13.15" customHeight="1" x14ac:dyDescent="0.2">
      <c r="A2143" s="2" t="s">
        <v>2242</v>
      </c>
      <c r="B2143" s="2">
        <f t="shared" si="66"/>
        <v>2019</v>
      </c>
      <c r="C2143" s="2" t="str">
        <f t="shared" si="67"/>
        <v>EC101</v>
      </c>
      <c r="D2143" s="2">
        <v>525</v>
      </c>
      <c r="F2143" s="1764"/>
      <c r="G2143" s="1764"/>
      <c r="H2143" s="1764"/>
      <c r="I2143" s="1764"/>
      <c r="J2143" s="1764"/>
      <c r="K2143" s="1764"/>
      <c r="L2143" s="1766"/>
      <c r="M2143" s="1766"/>
      <c r="N2143" s="1766"/>
      <c r="O2143" s="1766"/>
      <c r="P2143" s="1766"/>
      <c r="W2143" t="s">
        <v>2089</v>
      </c>
    </row>
    <row r="2144" spans="1:23" ht="13.15" customHeight="1" x14ac:dyDescent="0.2">
      <c r="A2144" s="2" t="s">
        <v>2242</v>
      </c>
      <c r="B2144" s="2">
        <f t="shared" si="66"/>
        <v>2019</v>
      </c>
      <c r="C2144" s="2" t="str">
        <f t="shared" si="67"/>
        <v>EC101</v>
      </c>
      <c r="D2144" s="2">
        <v>526</v>
      </c>
      <c r="F2144" s="1764"/>
      <c r="G2144" s="1764"/>
      <c r="H2144" s="1764"/>
      <c r="I2144" s="1764"/>
      <c r="J2144" s="1764"/>
      <c r="K2144" s="1764"/>
      <c r="L2144" s="1766"/>
      <c r="M2144" s="1766"/>
      <c r="N2144" s="1766"/>
      <c r="O2144" s="1766"/>
      <c r="P2144" s="1766"/>
      <c r="W2144" t="s">
        <v>2089</v>
      </c>
    </row>
    <row r="2145" spans="1:23" ht="13.15" customHeight="1" x14ac:dyDescent="0.2">
      <c r="A2145" s="2" t="s">
        <v>2242</v>
      </c>
      <c r="B2145" s="2">
        <f t="shared" si="66"/>
        <v>2019</v>
      </c>
      <c r="C2145" s="2" t="str">
        <f t="shared" si="67"/>
        <v>EC101</v>
      </c>
      <c r="D2145" s="2">
        <v>527</v>
      </c>
      <c r="F2145" s="1764"/>
      <c r="G2145" s="1764"/>
      <c r="H2145" s="1764"/>
      <c r="I2145" s="1764"/>
      <c r="J2145" s="1764"/>
      <c r="K2145" s="1764"/>
      <c r="L2145" s="1766"/>
      <c r="M2145" s="1766"/>
      <c r="N2145" s="1766"/>
      <c r="O2145" s="1766"/>
      <c r="P2145" s="1766"/>
      <c r="W2145" t="s">
        <v>2089</v>
      </c>
    </row>
    <row r="2146" spans="1:23" ht="13.15" customHeight="1" x14ac:dyDescent="0.2">
      <c r="A2146" s="2" t="s">
        <v>2242</v>
      </c>
      <c r="B2146" s="2">
        <f t="shared" si="66"/>
        <v>2019</v>
      </c>
      <c r="C2146" s="2" t="str">
        <f t="shared" si="67"/>
        <v>EC101</v>
      </c>
      <c r="D2146" s="2">
        <v>528</v>
      </c>
      <c r="F2146" s="1764"/>
      <c r="G2146" s="1764"/>
      <c r="H2146" s="1764"/>
      <c r="I2146" s="1764"/>
      <c r="J2146" s="1764"/>
      <c r="K2146" s="1764"/>
      <c r="L2146" s="1766"/>
      <c r="M2146" s="1766"/>
      <c r="N2146" s="1766"/>
      <c r="O2146" s="1766"/>
      <c r="P2146" s="1766"/>
      <c r="W2146" t="s">
        <v>2089</v>
      </c>
    </row>
    <row r="2147" spans="1:23" ht="13.15" customHeight="1" x14ac:dyDescent="0.2">
      <c r="A2147" s="2" t="s">
        <v>2242</v>
      </c>
      <c r="B2147" s="2">
        <f t="shared" si="66"/>
        <v>2019</v>
      </c>
      <c r="C2147" s="2" t="str">
        <f t="shared" si="67"/>
        <v>EC101</v>
      </c>
      <c r="D2147" s="2">
        <v>529</v>
      </c>
      <c r="F2147" s="1764"/>
      <c r="G2147" s="1764"/>
      <c r="H2147" s="1764"/>
      <c r="I2147" s="1764"/>
      <c r="J2147" s="1764"/>
      <c r="K2147" s="1764"/>
      <c r="L2147" s="1766"/>
      <c r="M2147" s="1766"/>
      <c r="N2147" s="1766"/>
      <c r="O2147" s="1766"/>
      <c r="P2147" s="1766"/>
      <c r="W2147" t="s">
        <v>2089</v>
      </c>
    </row>
    <row r="2148" spans="1:23" ht="13.15" customHeight="1" x14ac:dyDescent="0.2">
      <c r="A2148" s="2" t="s">
        <v>2242</v>
      </c>
      <c r="B2148" s="2">
        <f t="shared" si="66"/>
        <v>2019</v>
      </c>
      <c r="C2148" s="2" t="str">
        <f t="shared" si="67"/>
        <v>EC101</v>
      </c>
      <c r="D2148" s="2">
        <v>530</v>
      </c>
      <c r="F2148" s="1764"/>
      <c r="G2148" s="1764"/>
      <c r="H2148" s="1764"/>
      <c r="I2148" s="1764"/>
      <c r="J2148" s="1764"/>
      <c r="K2148" s="1764"/>
      <c r="L2148" s="1766"/>
      <c r="M2148" s="1766"/>
      <c r="N2148" s="1766"/>
      <c r="O2148" s="1766"/>
      <c r="P2148" s="1766"/>
      <c r="W2148" t="s">
        <v>2089</v>
      </c>
    </row>
    <row r="2149" spans="1:23" ht="13.15" customHeight="1" x14ac:dyDescent="0.2">
      <c r="A2149" s="2" t="s">
        <v>2242</v>
      </c>
      <c r="B2149" s="2">
        <f t="shared" si="66"/>
        <v>2019</v>
      </c>
      <c r="C2149" s="2" t="str">
        <f t="shared" si="67"/>
        <v>EC101</v>
      </c>
      <c r="D2149" s="2">
        <v>531</v>
      </c>
      <c r="F2149" s="1764"/>
      <c r="G2149" s="1764"/>
      <c r="H2149" s="1764"/>
      <c r="I2149" s="1764"/>
      <c r="J2149" s="1764"/>
      <c r="K2149" s="1764"/>
      <c r="L2149" s="1766"/>
      <c r="M2149" s="1766"/>
      <c r="N2149" s="1766"/>
      <c r="O2149" s="1766"/>
      <c r="P2149" s="1766"/>
      <c r="W2149" t="s">
        <v>2089</v>
      </c>
    </row>
    <row r="2150" spans="1:23" ht="13.15" customHeight="1" x14ac:dyDescent="0.2">
      <c r="A2150" s="2" t="s">
        <v>2242</v>
      </c>
      <c r="B2150" s="2">
        <f t="shared" si="66"/>
        <v>2019</v>
      </c>
      <c r="C2150" s="2" t="str">
        <f t="shared" si="67"/>
        <v>EC101</v>
      </c>
      <c r="D2150" s="2">
        <v>532</v>
      </c>
      <c r="F2150" s="1764"/>
      <c r="G2150" s="1764"/>
      <c r="H2150" s="1764"/>
      <c r="I2150" s="1764"/>
      <c r="J2150" s="1764"/>
      <c r="K2150" s="1764"/>
      <c r="L2150" s="1766"/>
      <c r="M2150" s="1766"/>
      <c r="N2150" s="1766"/>
      <c r="O2150" s="1766"/>
      <c r="P2150" s="1766"/>
      <c r="W2150" t="s">
        <v>2089</v>
      </c>
    </row>
    <row r="2151" spans="1:23" ht="13.15" customHeight="1" x14ac:dyDescent="0.2">
      <c r="A2151" s="2" t="s">
        <v>2242</v>
      </c>
      <c r="B2151" s="2">
        <f t="shared" si="66"/>
        <v>2019</v>
      </c>
      <c r="C2151" s="2" t="str">
        <f t="shared" si="67"/>
        <v>EC101</v>
      </c>
      <c r="D2151" s="2">
        <v>533</v>
      </c>
      <c r="F2151" s="1764"/>
      <c r="G2151" s="1764"/>
      <c r="H2151" s="1764"/>
      <c r="I2151" s="1764"/>
      <c r="J2151" s="1764"/>
      <c r="K2151" s="1764"/>
      <c r="L2151" s="1766"/>
      <c r="M2151" s="1766"/>
      <c r="N2151" s="1766"/>
      <c r="O2151" s="1766"/>
      <c r="P2151" s="1766"/>
      <c r="W2151" t="s">
        <v>2089</v>
      </c>
    </row>
    <row r="2152" spans="1:23" ht="13.15" customHeight="1" x14ac:dyDescent="0.2">
      <c r="A2152" s="2" t="s">
        <v>2242</v>
      </c>
      <c r="B2152" s="2">
        <f t="shared" si="66"/>
        <v>2019</v>
      </c>
      <c r="C2152" s="2" t="str">
        <f t="shared" si="67"/>
        <v>EC101</v>
      </c>
      <c r="D2152" s="2">
        <v>534</v>
      </c>
      <c r="F2152" s="1764"/>
      <c r="G2152" s="1764"/>
      <c r="H2152" s="1764"/>
      <c r="I2152" s="1764"/>
      <c r="J2152" s="1764"/>
      <c r="K2152" s="1764"/>
      <c r="L2152" s="1766"/>
      <c r="M2152" s="1766"/>
      <c r="N2152" s="1766"/>
      <c r="O2152" s="1766"/>
      <c r="P2152" s="1766"/>
      <c r="W2152" t="s">
        <v>2089</v>
      </c>
    </row>
    <row r="2153" spans="1:23" ht="13.15" customHeight="1" x14ac:dyDescent="0.2">
      <c r="A2153" s="2" t="s">
        <v>2242</v>
      </c>
      <c r="B2153" s="2">
        <f t="shared" si="66"/>
        <v>2019</v>
      </c>
      <c r="C2153" s="2" t="str">
        <f t="shared" si="67"/>
        <v>EC101</v>
      </c>
      <c r="D2153" s="2">
        <v>535</v>
      </c>
      <c r="F2153" s="1764"/>
      <c r="G2153" s="1764"/>
      <c r="H2153" s="1764"/>
      <c r="I2153" s="1764"/>
      <c r="J2153" s="1764"/>
      <c r="K2153" s="1764"/>
      <c r="L2153" s="1766"/>
      <c r="M2153" s="1766"/>
      <c r="N2153" s="1766"/>
      <c r="O2153" s="1766"/>
      <c r="P2153" s="1766"/>
      <c r="W2153" t="s">
        <v>2089</v>
      </c>
    </row>
    <row r="2154" spans="1:23" ht="13.15" customHeight="1" x14ac:dyDescent="0.2">
      <c r="A2154" s="2" t="s">
        <v>2242</v>
      </c>
      <c r="B2154" s="2">
        <f t="shared" si="66"/>
        <v>2019</v>
      </c>
      <c r="C2154" s="2" t="str">
        <f t="shared" si="67"/>
        <v>EC101</v>
      </c>
      <c r="D2154" s="2">
        <v>536</v>
      </c>
      <c r="F2154" s="1764"/>
      <c r="G2154" s="1764"/>
      <c r="H2154" s="1764"/>
      <c r="I2154" s="1764"/>
      <c r="J2154" s="1764"/>
      <c r="K2154" s="1764"/>
      <c r="L2154" s="1766"/>
      <c r="M2154" s="1766"/>
      <c r="N2154" s="1766"/>
      <c r="O2154" s="1766"/>
      <c r="P2154" s="1766"/>
      <c r="W2154" t="s">
        <v>2089</v>
      </c>
    </row>
    <row r="2155" spans="1:23" ht="13.15" customHeight="1" x14ac:dyDescent="0.2">
      <c r="A2155" s="2" t="s">
        <v>2242</v>
      </c>
      <c r="B2155" s="2">
        <f t="shared" si="66"/>
        <v>2019</v>
      </c>
      <c r="C2155" s="2" t="str">
        <f t="shared" si="67"/>
        <v>EC101</v>
      </c>
      <c r="D2155" s="2">
        <v>537</v>
      </c>
      <c r="F2155" s="1764"/>
      <c r="G2155" s="1764"/>
      <c r="H2155" s="1764"/>
      <c r="I2155" s="1764"/>
      <c r="J2155" s="1764"/>
      <c r="K2155" s="1764"/>
      <c r="L2155" s="1766"/>
      <c r="M2155" s="1766"/>
      <c r="N2155" s="1766"/>
      <c r="O2155" s="1766"/>
      <c r="P2155" s="1766"/>
      <c r="W2155" t="s">
        <v>2089</v>
      </c>
    </row>
    <row r="2156" spans="1:23" ht="13.15" customHeight="1" x14ac:dyDescent="0.2">
      <c r="A2156" s="2" t="s">
        <v>2242</v>
      </c>
      <c r="B2156" s="2">
        <f t="shared" si="66"/>
        <v>2019</v>
      </c>
      <c r="C2156" s="2" t="str">
        <f t="shared" si="67"/>
        <v>EC101</v>
      </c>
      <c r="D2156" s="2">
        <v>538</v>
      </c>
      <c r="F2156" s="1764"/>
      <c r="G2156" s="1764"/>
      <c r="H2156" s="1764"/>
      <c r="I2156" s="1764"/>
      <c r="J2156" s="1764"/>
      <c r="K2156" s="1764"/>
      <c r="L2156" s="1766"/>
      <c r="M2156" s="1766"/>
      <c r="N2156" s="1766"/>
      <c r="O2156" s="1766"/>
      <c r="P2156" s="1766"/>
      <c r="W2156" t="s">
        <v>2089</v>
      </c>
    </row>
    <row r="2157" spans="1:23" ht="13.15" customHeight="1" x14ac:dyDescent="0.2">
      <c r="A2157" s="2" t="s">
        <v>2242</v>
      </c>
      <c r="B2157" s="2">
        <f t="shared" si="66"/>
        <v>2019</v>
      </c>
      <c r="C2157" s="2" t="str">
        <f t="shared" si="67"/>
        <v>EC101</v>
      </c>
      <c r="D2157" s="2">
        <v>539</v>
      </c>
      <c r="F2157" s="1764"/>
      <c r="G2157" s="1764"/>
      <c r="H2157" s="1764"/>
      <c r="I2157" s="1764"/>
      <c r="J2157" s="1764"/>
      <c r="K2157" s="1764"/>
      <c r="L2157" s="1766"/>
      <c r="M2157" s="1766"/>
      <c r="N2157" s="1766"/>
      <c r="O2157" s="1766"/>
      <c r="P2157" s="1766"/>
      <c r="W2157" t="s">
        <v>2089</v>
      </c>
    </row>
    <row r="2158" spans="1:23" ht="13.15" customHeight="1" x14ac:dyDescent="0.2">
      <c r="A2158" s="2" t="s">
        <v>2242</v>
      </c>
      <c r="B2158" s="2">
        <f t="shared" si="66"/>
        <v>2019</v>
      </c>
      <c r="C2158" s="2" t="str">
        <f t="shared" si="67"/>
        <v>EC101</v>
      </c>
      <c r="D2158" s="2">
        <v>540</v>
      </c>
      <c r="F2158" s="1764"/>
      <c r="G2158" s="1764"/>
      <c r="H2158" s="1764"/>
      <c r="I2158" s="1764"/>
      <c r="J2158" s="1764"/>
      <c r="K2158" s="1764"/>
      <c r="L2158" s="1766"/>
      <c r="M2158" s="1766"/>
      <c r="N2158" s="1766"/>
      <c r="O2158" s="1766"/>
      <c r="P2158" s="1766"/>
      <c r="W2158" t="s">
        <v>2089</v>
      </c>
    </row>
    <row r="2159" spans="1:23" ht="13.15" customHeight="1" x14ac:dyDescent="0.2">
      <c r="A2159" s="2" t="s">
        <v>2242</v>
      </c>
      <c r="B2159" s="2">
        <f t="shared" si="66"/>
        <v>2019</v>
      </c>
      <c r="C2159" s="2" t="str">
        <f t="shared" si="67"/>
        <v>EC101</v>
      </c>
      <c r="D2159" s="2">
        <v>541</v>
      </c>
      <c r="F2159" s="1764"/>
      <c r="G2159" s="1764"/>
      <c r="H2159" s="1764"/>
      <c r="I2159" s="1764"/>
      <c r="J2159" s="1764"/>
      <c r="K2159" s="1764"/>
      <c r="L2159" s="1766"/>
      <c r="M2159" s="1766"/>
      <c r="N2159" s="1766"/>
      <c r="O2159" s="1766"/>
      <c r="P2159" s="1766"/>
      <c r="W2159" t="s">
        <v>2089</v>
      </c>
    </row>
    <row r="2160" spans="1:23" ht="13.15" customHeight="1" x14ac:dyDescent="0.2">
      <c r="A2160" s="2" t="s">
        <v>2242</v>
      </c>
      <c r="B2160" s="2">
        <f t="shared" si="66"/>
        <v>2019</v>
      </c>
      <c r="C2160" s="2" t="str">
        <f t="shared" si="67"/>
        <v>EC101</v>
      </c>
      <c r="D2160" s="2">
        <v>542</v>
      </c>
      <c r="F2160" s="1764"/>
      <c r="G2160" s="1764"/>
      <c r="H2160" s="1764"/>
      <c r="I2160" s="1764"/>
      <c r="J2160" s="1764"/>
      <c r="K2160" s="1764"/>
      <c r="L2160" s="1766"/>
      <c r="M2160" s="1766"/>
      <c r="N2160" s="1766"/>
      <c r="O2160" s="1766"/>
      <c r="P2160" s="1766"/>
      <c r="W2160" t="s">
        <v>2089</v>
      </c>
    </row>
    <row r="2161" spans="1:23" ht="13.15" customHeight="1" x14ac:dyDescent="0.2">
      <c r="A2161" s="2" t="s">
        <v>2242</v>
      </c>
      <c r="B2161" s="2">
        <f t="shared" si="66"/>
        <v>2019</v>
      </c>
      <c r="C2161" s="2" t="str">
        <f t="shared" si="67"/>
        <v>EC101</v>
      </c>
      <c r="D2161" s="2">
        <v>543</v>
      </c>
      <c r="F2161" s="1764"/>
      <c r="G2161" s="1764"/>
      <c r="H2161" s="1764"/>
      <c r="I2161" s="1764"/>
      <c r="J2161" s="1764"/>
      <c r="K2161" s="1764"/>
      <c r="L2161" s="1766"/>
      <c r="M2161" s="1766"/>
      <c r="N2161" s="1766"/>
      <c r="O2161" s="1766"/>
      <c r="P2161" s="1766"/>
      <c r="W2161" t="s">
        <v>2089</v>
      </c>
    </row>
    <row r="2162" spans="1:23" ht="13.15" customHeight="1" x14ac:dyDescent="0.2">
      <c r="A2162" s="2" t="s">
        <v>2242</v>
      </c>
      <c r="B2162" s="2">
        <f t="shared" si="66"/>
        <v>2019</v>
      </c>
      <c r="C2162" s="2" t="str">
        <f t="shared" si="67"/>
        <v>EC101</v>
      </c>
      <c r="D2162" s="2">
        <v>544</v>
      </c>
      <c r="F2162" s="1764"/>
      <c r="G2162" s="1764"/>
      <c r="H2162" s="1764"/>
      <c r="I2162" s="1764"/>
      <c r="J2162" s="1764"/>
      <c r="K2162" s="1764"/>
      <c r="L2162" s="1766"/>
      <c r="M2162" s="1766"/>
      <c r="N2162" s="1766"/>
      <c r="O2162" s="1766"/>
      <c r="P2162" s="1766"/>
      <c r="W2162" t="s">
        <v>2089</v>
      </c>
    </row>
    <row r="2163" spans="1:23" ht="13.15" customHeight="1" x14ac:dyDescent="0.2">
      <c r="A2163" s="2" t="s">
        <v>2242</v>
      </c>
      <c r="B2163" s="2">
        <f t="shared" si="66"/>
        <v>2019</v>
      </c>
      <c r="C2163" s="2" t="str">
        <f t="shared" si="67"/>
        <v>EC101</v>
      </c>
      <c r="D2163" s="2">
        <v>545</v>
      </c>
      <c r="F2163" s="1764"/>
      <c r="G2163" s="1764"/>
      <c r="H2163" s="1764"/>
      <c r="I2163" s="1764"/>
      <c r="J2163" s="1764"/>
      <c r="K2163" s="1764"/>
      <c r="L2163" s="1766"/>
      <c r="M2163" s="1766"/>
      <c r="N2163" s="1766"/>
      <c r="O2163" s="1766"/>
      <c r="P2163" s="1766"/>
      <c r="W2163" t="s">
        <v>2089</v>
      </c>
    </row>
    <row r="2164" spans="1:23" ht="13.15" customHeight="1" x14ac:dyDescent="0.2">
      <c r="A2164" s="2" t="s">
        <v>2242</v>
      </c>
      <c r="B2164" s="2">
        <f t="shared" si="66"/>
        <v>2019</v>
      </c>
      <c r="C2164" s="2" t="str">
        <f t="shared" si="67"/>
        <v>EC101</v>
      </c>
      <c r="D2164" s="2">
        <v>546</v>
      </c>
      <c r="F2164" s="1764"/>
      <c r="G2164" s="1764"/>
      <c r="H2164" s="1764"/>
      <c r="I2164" s="1764"/>
      <c r="J2164" s="1764"/>
      <c r="K2164" s="1764"/>
      <c r="L2164" s="1766"/>
      <c r="M2164" s="1766"/>
      <c r="N2164" s="1766"/>
      <c r="O2164" s="1766"/>
      <c r="P2164" s="1766"/>
      <c r="W2164" t="s">
        <v>2089</v>
      </c>
    </row>
    <row r="2165" spans="1:23" ht="13.15" customHeight="1" x14ac:dyDescent="0.2">
      <c r="A2165" s="2" t="s">
        <v>2242</v>
      </c>
      <c r="B2165" s="2">
        <f t="shared" si="66"/>
        <v>2019</v>
      </c>
      <c r="C2165" s="2" t="str">
        <f t="shared" si="67"/>
        <v>EC101</v>
      </c>
      <c r="D2165" s="2">
        <v>547</v>
      </c>
      <c r="F2165" s="1764"/>
      <c r="G2165" s="1764"/>
      <c r="H2165" s="1764"/>
      <c r="I2165" s="1764"/>
      <c r="J2165" s="1764"/>
      <c r="K2165" s="1764"/>
      <c r="L2165" s="1766"/>
      <c r="M2165" s="1766"/>
      <c r="N2165" s="1766"/>
      <c r="O2165" s="1766"/>
      <c r="P2165" s="1766"/>
      <c r="W2165" t="s">
        <v>2089</v>
      </c>
    </row>
    <row r="2166" spans="1:23" ht="13.15" customHeight="1" x14ac:dyDescent="0.2">
      <c r="A2166" s="2" t="s">
        <v>2242</v>
      </c>
      <c r="B2166" s="2">
        <f t="shared" si="66"/>
        <v>2019</v>
      </c>
      <c r="C2166" s="2" t="str">
        <f t="shared" si="67"/>
        <v>EC101</v>
      </c>
      <c r="D2166" s="2">
        <v>548</v>
      </c>
      <c r="F2166" s="1764"/>
      <c r="G2166" s="1764"/>
      <c r="H2166" s="1764"/>
      <c r="I2166" s="1764"/>
      <c r="J2166" s="1764"/>
      <c r="K2166" s="1764"/>
      <c r="L2166" s="1766"/>
      <c r="M2166" s="1766"/>
      <c r="N2166" s="1766"/>
      <c r="O2166" s="1766"/>
      <c r="P2166" s="1766"/>
      <c r="W2166" t="s">
        <v>2089</v>
      </c>
    </row>
    <row r="2167" spans="1:23" ht="13.15" customHeight="1" x14ac:dyDescent="0.2">
      <c r="A2167" s="2" t="s">
        <v>2242</v>
      </c>
      <c r="B2167" s="2">
        <f t="shared" si="66"/>
        <v>2019</v>
      </c>
      <c r="C2167" s="2" t="str">
        <f t="shared" si="67"/>
        <v>EC101</v>
      </c>
      <c r="D2167" s="2">
        <v>549</v>
      </c>
      <c r="F2167" s="1764"/>
      <c r="G2167" s="1764"/>
      <c r="H2167" s="1764"/>
      <c r="I2167" s="1764"/>
      <c r="J2167" s="1764"/>
      <c r="K2167" s="1764"/>
      <c r="L2167" s="1766"/>
      <c r="M2167" s="1766"/>
      <c r="N2167" s="1766"/>
      <c r="O2167" s="1766"/>
      <c r="P2167" s="1766"/>
      <c r="W2167" t="s">
        <v>2089</v>
      </c>
    </row>
    <row r="2168" spans="1:23" ht="13.15" customHeight="1" x14ac:dyDescent="0.2">
      <c r="A2168" s="2" t="s">
        <v>2242</v>
      </c>
      <c r="B2168" s="2">
        <f t="shared" si="66"/>
        <v>2019</v>
      </c>
      <c r="C2168" s="2" t="str">
        <f t="shared" si="67"/>
        <v>EC101</v>
      </c>
      <c r="D2168" s="2">
        <v>550</v>
      </c>
      <c r="F2168" s="1764"/>
      <c r="G2168" s="1764"/>
      <c r="H2168" s="1764"/>
      <c r="I2168" s="1764"/>
      <c r="J2168" s="1764"/>
      <c r="K2168" s="1764"/>
      <c r="L2168" s="1766"/>
      <c r="M2168" s="1766"/>
      <c r="N2168" s="1766"/>
      <c r="O2168" s="1766"/>
      <c r="P2168" s="1766"/>
      <c r="W2168" t="s">
        <v>2089</v>
      </c>
    </row>
    <row r="2169" spans="1:23" ht="13.15" customHeight="1" x14ac:dyDescent="0.2">
      <c r="A2169" s="2" t="s">
        <v>2242</v>
      </c>
      <c r="B2169" s="2">
        <f t="shared" si="66"/>
        <v>2019</v>
      </c>
      <c r="C2169" s="2" t="str">
        <f t="shared" si="67"/>
        <v>EC101</v>
      </c>
      <c r="D2169" s="2">
        <v>551</v>
      </c>
      <c r="F2169" s="1764"/>
      <c r="G2169" s="1764"/>
      <c r="H2169" s="1764"/>
      <c r="I2169" s="1764"/>
      <c r="J2169" s="1764"/>
      <c r="K2169" s="1764"/>
      <c r="L2169" s="1766"/>
      <c r="M2169" s="1766"/>
      <c r="N2169" s="1766"/>
      <c r="O2169" s="1766"/>
      <c r="P2169" s="1766"/>
      <c r="W2169" t="s">
        <v>2089</v>
      </c>
    </row>
    <row r="2170" spans="1:23" ht="13.15" customHeight="1" x14ac:dyDescent="0.2">
      <c r="A2170" s="2" t="s">
        <v>2242</v>
      </c>
      <c r="B2170" s="2">
        <f t="shared" si="66"/>
        <v>2019</v>
      </c>
      <c r="C2170" s="2" t="str">
        <f t="shared" si="67"/>
        <v>EC101</v>
      </c>
      <c r="D2170" s="2">
        <v>552</v>
      </c>
      <c r="F2170" s="1764"/>
      <c r="G2170" s="1764"/>
      <c r="H2170" s="1764"/>
      <c r="I2170" s="1764"/>
      <c r="J2170" s="1764"/>
      <c r="K2170" s="1764"/>
      <c r="L2170" s="1766"/>
      <c r="M2170" s="1766"/>
      <c r="N2170" s="1766"/>
      <c r="O2170" s="1766"/>
      <c r="P2170" s="1766"/>
      <c r="W2170" t="s">
        <v>2089</v>
      </c>
    </row>
    <row r="2171" spans="1:23" ht="13.15" customHeight="1" x14ac:dyDescent="0.2">
      <c r="A2171" s="2" t="s">
        <v>2242</v>
      </c>
      <c r="B2171" s="2">
        <f t="shared" si="66"/>
        <v>2019</v>
      </c>
      <c r="C2171" s="2" t="str">
        <f t="shared" si="67"/>
        <v>EC101</v>
      </c>
      <c r="D2171" s="2">
        <v>553</v>
      </c>
      <c r="F2171" s="1764"/>
      <c r="G2171" s="1764"/>
      <c r="H2171" s="1764"/>
      <c r="I2171" s="1764"/>
      <c r="J2171" s="1764"/>
      <c r="K2171" s="1764"/>
      <c r="L2171" s="1766"/>
      <c r="M2171" s="1766"/>
      <c r="N2171" s="1766"/>
      <c r="O2171" s="1766"/>
      <c r="P2171" s="1766"/>
      <c r="W2171" t="s">
        <v>2089</v>
      </c>
    </row>
    <row r="2172" spans="1:23" ht="13.15" customHeight="1" x14ac:dyDescent="0.2">
      <c r="A2172" s="2" t="s">
        <v>2242</v>
      </c>
      <c r="B2172" s="2">
        <f t="shared" si="66"/>
        <v>2019</v>
      </c>
      <c r="C2172" s="2" t="str">
        <f t="shared" si="67"/>
        <v>EC101</v>
      </c>
      <c r="D2172" s="2">
        <v>554</v>
      </c>
      <c r="F2172" s="1764"/>
      <c r="G2172" s="1764"/>
      <c r="H2172" s="1764"/>
      <c r="I2172" s="1764"/>
      <c r="J2172" s="1764"/>
      <c r="K2172" s="1764"/>
      <c r="L2172" s="1766"/>
      <c r="M2172" s="1766"/>
      <c r="N2172" s="1766"/>
      <c r="O2172" s="1766"/>
      <c r="P2172" s="1766"/>
      <c r="W2172" t="s">
        <v>2089</v>
      </c>
    </row>
    <row r="2173" spans="1:23" ht="13.15" customHeight="1" x14ac:dyDescent="0.2">
      <c r="A2173" s="2" t="s">
        <v>2242</v>
      </c>
      <c r="B2173" s="2">
        <f t="shared" si="66"/>
        <v>2019</v>
      </c>
      <c r="C2173" s="2" t="str">
        <f t="shared" si="67"/>
        <v>EC101</v>
      </c>
      <c r="D2173" s="2">
        <v>555</v>
      </c>
      <c r="F2173" s="1764"/>
      <c r="G2173" s="1764"/>
      <c r="H2173" s="1764"/>
      <c r="I2173" s="1764"/>
      <c r="J2173" s="1764"/>
      <c r="K2173" s="1764"/>
      <c r="L2173" s="1766"/>
      <c r="M2173" s="1766"/>
      <c r="N2173" s="1766"/>
      <c r="O2173" s="1766"/>
      <c r="P2173" s="1766"/>
      <c r="W2173" t="s">
        <v>2089</v>
      </c>
    </row>
    <row r="2174" spans="1:23" ht="13.15" customHeight="1" x14ac:dyDescent="0.2">
      <c r="A2174" s="2" t="s">
        <v>2242</v>
      </c>
      <c r="B2174" s="2">
        <f t="shared" si="66"/>
        <v>2019</v>
      </c>
      <c r="C2174" s="2" t="str">
        <f t="shared" si="67"/>
        <v>EC101</v>
      </c>
      <c r="D2174" s="2">
        <v>556</v>
      </c>
      <c r="F2174" s="1764"/>
      <c r="G2174" s="1764"/>
      <c r="H2174" s="1764"/>
      <c r="I2174" s="1764"/>
      <c r="J2174" s="1764"/>
      <c r="K2174" s="1764"/>
      <c r="L2174" s="1766"/>
      <c r="M2174" s="1766"/>
      <c r="N2174" s="1766"/>
      <c r="O2174" s="1766"/>
      <c r="P2174" s="1766"/>
      <c r="W2174" t="s">
        <v>2089</v>
      </c>
    </row>
    <row r="2175" spans="1:23" ht="13.15" customHeight="1" x14ac:dyDescent="0.2">
      <c r="A2175" s="2" t="s">
        <v>2242</v>
      </c>
      <c r="B2175" s="2">
        <f t="shared" si="66"/>
        <v>2019</v>
      </c>
      <c r="C2175" s="2" t="str">
        <f t="shared" si="67"/>
        <v>EC101</v>
      </c>
      <c r="D2175" s="2">
        <v>557</v>
      </c>
      <c r="F2175" s="1764"/>
      <c r="G2175" s="1764"/>
      <c r="H2175" s="1764"/>
      <c r="I2175" s="1764"/>
      <c r="J2175" s="1764"/>
      <c r="K2175" s="1764"/>
      <c r="L2175" s="1766"/>
      <c r="M2175" s="1766"/>
      <c r="N2175" s="1766"/>
      <c r="O2175" s="1766"/>
      <c r="P2175" s="1766"/>
      <c r="W2175" t="s">
        <v>2089</v>
      </c>
    </row>
    <row r="2176" spans="1:23" ht="13.15" customHeight="1" x14ac:dyDescent="0.2">
      <c r="A2176" s="2" t="s">
        <v>2242</v>
      </c>
      <c r="B2176" s="2">
        <f t="shared" si="66"/>
        <v>2019</v>
      </c>
      <c r="C2176" s="2" t="str">
        <f t="shared" si="67"/>
        <v>EC101</v>
      </c>
      <c r="D2176" s="2">
        <v>558</v>
      </c>
      <c r="F2176" s="1764"/>
      <c r="G2176" s="1764"/>
      <c r="H2176" s="1764"/>
      <c r="I2176" s="1764"/>
      <c r="J2176" s="1764"/>
      <c r="K2176" s="1764"/>
      <c r="L2176" s="1766"/>
      <c r="M2176" s="1766"/>
      <c r="N2176" s="1766"/>
      <c r="O2176" s="1766"/>
      <c r="P2176" s="1766"/>
      <c r="W2176" t="s">
        <v>2089</v>
      </c>
    </row>
    <row r="2177" spans="1:23" ht="13.15" customHeight="1" x14ac:dyDescent="0.2">
      <c r="A2177" s="2" t="s">
        <v>2242</v>
      </c>
      <c r="B2177" s="2">
        <f t="shared" si="66"/>
        <v>2019</v>
      </c>
      <c r="C2177" s="2" t="str">
        <f t="shared" si="67"/>
        <v>EC101</v>
      </c>
      <c r="D2177" s="2">
        <v>559</v>
      </c>
      <c r="F2177" s="1764"/>
      <c r="G2177" s="1764"/>
      <c r="H2177" s="1764"/>
      <c r="I2177" s="1764"/>
      <c r="J2177" s="1764"/>
      <c r="K2177" s="1764"/>
      <c r="L2177" s="1766"/>
      <c r="M2177" s="1766"/>
      <c r="N2177" s="1766"/>
      <c r="O2177" s="1766"/>
      <c r="P2177" s="1766"/>
      <c r="W2177" t="s">
        <v>2089</v>
      </c>
    </row>
    <row r="2178" spans="1:23" ht="13.15" customHeight="1" x14ac:dyDescent="0.2">
      <c r="A2178" s="2" t="s">
        <v>2242</v>
      </c>
      <c r="B2178" s="2">
        <f t="shared" ref="B2178:B2241" si="68">+MTREF</f>
        <v>2019</v>
      </c>
      <c r="C2178" s="2" t="str">
        <f t="shared" ref="C2178:C2241" si="69">LEFT(muni,(FIND(" ",muni,1)-1))</f>
        <v>EC101</v>
      </c>
      <c r="D2178" s="2">
        <v>560</v>
      </c>
      <c r="F2178" s="1764"/>
      <c r="G2178" s="1764"/>
      <c r="H2178" s="1764"/>
      <c r="I2178" s="1764"/>
      <c r="J2178" s="1764"/>
      <c r="K2178" s="1764"/>
      <c r="L2178" s="1766"/>
      <c r="M2178" s="1766"/>
      <c r="N2178" s="1766"/>
      <c r="O2178" s="1766"/>
      <c r="P2178" s="1766"/>
      <c r="W2178" t="s">
        <v>2089</v>
      </c>
    </row>
    <row r="2179" spans="1:23" ht="13.15" customHeight="1" x14ac:dyDescent="0.2">
      <c r="A2179" s="2" t="s">
        <v>2242</v>
      </c>
      <c r="B2179" s="2">
        <f t="shared" si="68"/>
        <v>2019</v>
      </c>
      <c r="C2179" s="2" t="str">
        <f t="shared" si="69"/>
        <v>EC101</v>
      </c>
      <c r="D2179" s="2">
        <v>561</v>
      </c>
      <c r="F2179" s="1764"/>
      <c r="G2179" s="1764"/>
      <c r="H2179" s="1764"/>
      <c r="I2179" s="1764"/>
      <c r="J2179" s="1764"/>
      <c r="K2179" s="1764"/>
      <c r="L2179" s="1766"/>
      <c r="M2179" s="1766"/>
      <c r="N2179" s="1766"/>
      <c r="O2179" s="1766"/>
      <c r="P2179" s="1766"/>
      <c r="W2179" t="s">
        <v>2089</v>
      </c>
    </row>
    <row r="2180" spans="1:23" ht="13.15" customHeight="1" x14ac:dyDescent="0.2">
      <c r="A2180" s="2" t="s">
        <v>2242</v>
      </c>
      <c r="B2180" s="2">
        <f t="shared" si="68"/>
        <v>2019</v>
      </c>
      <c r="C2180" s="2" t="str">
        <f t="shared" si="69"/>
        <v>EC101</v>
      </c>
      <c r="D2180" s="2">
        <v>562</v>
      </c>
      <c r="F2180" s="1764"/>
      <c r="G2180" s="1764"/>
      <c r="H2180" s="1764"/>
      <c r="I2180" s="1764"/>
      <c r="J2180" s="1764"/>
      <c r="K2180" s="1764"/>
      <c r="L2180" s="1766"/>
      <c r="M2180" s="1766"/>
      <c r="N2180" s="1766"/>
      <c r="O2180" s="1766"/>
      <c r="P2180" s="1766"/>
      <c r="W2180" t="s">
        <v>2089</v>
      </c>
    </row>
    <row r="2181" spans="1:23" ht="13.15" customHeight="1" x14ac:dyDescent="0.2">
      <c r="A2181" s="2" t="s">
        <v>2242</v>
      </c>
      <c r="B2181" s="2">
        <f t="shared" si="68"/>
        <v>2019</v>
      </c>
      <c r="C2181" s="2" t="str">
        <f t="shared" si="69"/>
        <v>EC101</v>
      </c>
      <c r="D2181" s="2">
        <v>563</v>
      </c>
      <c r="F2181" s="1764"/>
      <c r="G2181" s="1764"/>
      <c r="H2181" s="1764"/>
      <c r="I2181" s="1764"/>
      <c r="J2181" s="1764"/>
      <c r="K2181" s="1764"/>
      <c r="L2181" s="1766"/>
      <c r="M2181" s="1766"/>
      <c r="N2181" s="1766"/>
      <c r="O2181" s="1766"/>
      <c r="P2181" s="1766"/>
      <c r="W2181" t="s">
        <v>2089</v>
      </c>
    </row>
    <row r="2182" spans="1:23" ht="13.15" customHeight="1" x14ac:dyDescent="0.2">
      <c r="A2182" s="2" t="s">
        <v>2242</v>
      </c>
      <c r="B2182" s="2">
        <f t="shared" si="68"/>
        <v>2019</v>
      </c>
      <c r="C2182" s="2" t="str">
        <f t="shared" si="69"/>
        <v>EC101</v>
      </c>
      <c r="D2182" s="2">
        <v>564</v>
      </c>
      <c r="F2182" s="1764"/>
      <c r="G2182" s="1764"/>
      <c r="H2182" s="1764"/>
      <c r="I2182" s="1764"/>
      <c r="J2182" s="1764"/>
      <c r="K2182" s="1764"/>
      <c r="L2182" s="1766"/>
      <c r="M2182" s="1766"/>
      <c r="N2182" s="1766"/>
      <c r="O2182" s="1766"/>
      <c r="P2182" s="1766"/>
      <c r="W2182" t="s">
        <v>2089</v>
      </c>
    </row>
    <row r="2183" spans="1:23" ht="13.15" customHeight="1" x14ac:dyDescent="0.2">
      <c r="A2183" s="2" t="s">
        <v>2242</v>
      </c>
      <c r="B2183" s="2">
        <f t="shared" si="68"/>
        <v>2019</v>
      </c>
      <c r="C2183" s="2" t="str">
        <f t="shared" si="69"/>
        <v>EC101</v>
      </c>
      <c r="D2183" s="2">
        <v>565</v>
      </c>
      <c r="F2183" s="1764"/>
      <c r="G2183" s="1764"/>
      <c r="H2183" s="1764"/>
      <c r="I2183" s="1764"/>
      <c r="J2183" s="1764"/>
      <c r="K2183" s="1764"/>
      <c r="L2183" s="1766"/>
      <c r="M2183" s="1766"/>
      <c r="N2183" s="1766"/>
      <c r="O2183" s="1766"/>
      <c r="P2183" s="1766"/>
      <c r="W2183" t="s">
        <v>2089</v>
      </c>
    </row>
    <row r="2184" spans="1:23" ht="13.15" customHeight="1" x14ac:dyDescent="0.2">
      <c r="A2184" s="2" t="s">
        <v>2242</v>
      </c>
      <c r="B2184" s="2">
        <f t="shared" si="68"/>
        <v>2019</v>
      </c>
      <c r="C2184" s="2" t="str">
        <f t="shared" si="69"/>
        <v>EC101</v>
      </c>
      <c r="D2184" s="2">
        <v>566</v>
      </c>
      <c r="F2184" s="1764"/>
      <c r="G2184" s="1764"/>
      <c r="H2184" s="1764"/>
      <c r="I2184" s="1764"/>
      <c r="J2184" s="1764"/>
      <c r="K2184" s="1764"/>
      <c r="L2184" s="1766"/>
      <c r="M2184" s="1766"/>
      <c r="N2184" s="1766"/>
      <c r="O2184" s="1766"/>
      <c r="P2184" s="1766"/>
      <c r="W2184" t="s">
        <v>2089</v>
      </c>
    </row>
    <row r="2185" spans="1:23" ht="13.15" customHeight="1" x14ac:dyDescent="0.2">
      <c r="A2185" s="2" t="s">
        <v>2242</v>
      </c>
      <c r="B2185" s="2">
        <f t="shared" si="68"/>
        <v>2019</v>
      </c>
      <c r="C2185" s="2" t="str">
        <f t="shared" si="69"/>
        <v>EC101</v>
      </c>
      <c r="D2185" s="2">
        <v>567</v>
      </c>
      <c r="F2185" s="1764"/>
      <c r="G2185" s="1764"/>
      <c r="H2185" s="1764"/>
      <c r="I2185" s="1764"/>
      <c r="J2185" s="1764"/>
      <c r="K2185" s="1764"/>
      <c r="L2185" s="1766"/>
      <c r="M2185" s="1766"/>
      <c r="N2185" s="1766"/>
      <c r="O2185" s="1766"/>
      <c r="P2185" s="1766"/>
      <c r="W2185" t="s">
        <v>2089</v>
      </c>
    </row>
    <row r="2186" spans="1:23" ht="13.15" customHeight="1" x14ac:dyDescent="0.2">
      <c r="A2186" s="2" t="s">
        <v>2242</v>
      </c>
      <c r="B2186" s="2">
        <f t="shared" si="68"/>
        <v>2019</v>
      </c>
      <c r="C2186" s="2" t="str">
        <f t="shared" si="69"/>
        <v>EC101</v>
      </c>
      <c r="D2186" s="2">
        <v>568</v>
      </c>
      <c r="F2186" s="1764"/>
      <c r="G2186" s="1764"/>
      <c r="H2186" s="1764"/>
      <c r="I2186" s="1764"/>
      <c r="J2186" s="1764"/>
      <c r="K2186" s="1764"/>
      <c r="L2186" s="1766"/>
      <c r="M2186" s="1766"/>
      <c r="N2186" s="1766"/>
      <c r="O2186" s="1766"/>
      <c r="P2186" s="1766"/>
      <c r="W2186" t="s">
        <v>2089</v>
      </c>
    </row>
    <row r="2187" spans="1:23" ht="13.15" customHeight="1" x14ac:dyDescent="0.2">
      <c r="A2187" s="2" t="s">
        <v>2242</v>
      </c>
      <c r="B2187" s="2">
        <f t="shared" si="68"/>
        <v>2019</v>
      </c>
      <c r="C2187" s="2" t="str">
        <f t="shared" si="69"/>
        <v>EC101</v>
      </c>
      <c r="D2187" s="2">
        <v>569</v>
      </c>
      <c r="F2187" s="1764"/>
      <c r="G2187" s="1764"/>
      <c r="H2187" s="1764"/>
      <c r="I2187" s="1764"/>
      <c r="J2187" s="1764"/>
      <c r="K2187" s="1764"/>
      <c r="L2187" s="1766"/>
      <c r="M2187" s="1766"/>
      <c r="N2187" s="1766"/>
      <c r="O2187" s="1766"/>
      <c r="P2187" s="1766"/>
      <c r="W2187" t="s">
        <v>2089</v>
      </c>
    </row>
    <row r="2188" spans="1:23" ht="13.15" customHeight="1" x14ac:dyDescent="0.2">
      <c r="A2188" s="2" t="s">
        <v>2242</v>
      </c>
      <c r="B2188" s="2">
        <f t="shared" si="68"/>
        <v>2019</v>
      </c>
      <c r="C2188" s="2" t="str">
        <f t="shared" si="69"/>
        <v>EC101</v>
      </c>
      <c r="D2188" s="2">
        <v>570</v>
      </c>
      <c r="F2188" s="1764"/>
      <c r="G2188" s="1764"/>
      <c r="H2188" s="1764"/>
      <c r="I2188" s="1764"/>
      <c r="J2188" s="1764"/>
      <c r="K2188" s="1764"/>
      <c r="L2188" s="1766"/>
      <c r="M2188" s="1766"/>
      <c r="N2188" s="1766"/>
      <c r="O2188" s="1766"/>
      <c r="P2188" s="1766"/>
      <c r="W2188" t="s">
        <v>2089</v>
      </c>
    </row>
    <row r="2189" spans="1:23" ht="13.15" customHeight="1" x14ac:dyDescent="0.2">
      <c r="A2189" s="2" t="s">
        <v>2242</v>
      </c>
      <c r="B2189" s="2">
        <f t="shared" si="68"/>
        <v>2019</v>
      </c>
      <c r="C2189" s="2" t="str">
        <f t="shared" si="69"/>
        <v>EC101</v>
      </c>
      <c r="D2189" s="2">
        <v>571</v>
      </c>
      <c r="F2189" s="1764"/>
      <c r="G2189" s="1764"/>
      <c r="H2189" s="1764"/>
      <c r="I2189" s="1764"/>
      <c r="J2189" s="1764"/>
      <c r="K2189" s="1764"/>
      <c r="L2189" s="1766"/>
      <c r="M2189" s="1766"/>
      <c r="N2189" s="1766"/>
      <c r="O2189" s="1766"/>
      <c r="P2189" s="1766"/>
      <c r="W2189" t="s">
        <v>2089</v>
      </c>
    </row>
    <row r="2190" spans="1:23" ht="13.15" customHeight="1" x14ac:dyDescent="0.2">
      <c r="A2190" s="2" t="s">
        <v>2242</v>
      </c>
      <c r="B2190" s="2">
        <f t="shared" si="68"/>
        <v>2019</v>
      </c>
      <c r="C2190" s="2" t="str">
        <f t="shared" si="69"/>
        <v>EC101</v>
      </c>
      <c r="D2190" s="2">
        <v>572</v>
      </c>
      <c r="F2190" s="1764"/>
      <c r="G2190" s="1764"/>
      <c r="H2190" s="1764"/>
      <c r="I2190" s="1764"/>
      <c r="J2190" s="1764"/>
      <c r="K2190" s="1764"/>
      <c r="L2190" s="1766"/>
      <c r="M2190" s="1766"/>
      <c r="N2190" s="1766"/>
      <c r="O2190" s="1766"/>
      <c r="P2190" s="1766"/>
      <c r="W2190" t="s">
        <v>2089</v>
      </c>
    </row>
    <row r="2191" spans="1:23" ht="13.15" customHeight="1" x14ac:dyDescent="0.2">
      <c r="A2191" s="2" t="s">
        <v>2242</v>
      </c>
      <c r="B2191" s="2">
        <f t="shared" si="68"/>
        <v>2019</v>
      </c>
      <c r="C2191" s="2" t="str">
        <f t="shared" si="69"/>
        <v>EC101</v>
      </c>
      <c r="D2191" s="2">
        <v>573</v>
      </c>
      <c r="F2191" s="1764"/>
      <c r="G2191" s="1764"/>
      <c r="H2191" s="1764"/>
      <c r="I2191" s="1764"/>
      <c r="J2191" s="1764"/>
      <c r="K2191" s="1764"/>
      <c r="L2191" s="1766"/>
      <c r="M2191" s="1766"/>
      <c r="N2191" s="1766"/>
      <c r="O2191" s="1766"/>
      <c r="P2191" s="1766"/>
      <c r="W2191" t="s">
        <v>2089</v>
      </c>
    </row>
    <row r="2192" spans="1:23" ht="13.15" customHeight="1" x14ac:dyDescent="0.2">
      <c r="A2192" s="2" t="s">
        <v>2242</v>
      </c>
      <c r="B2192" s="2">
        <f t="shared" si="68"/>
        <v>2019</v>
      </c>
      <c r="C2192" s="2" t="str">
        <f t="shared" si="69"/>
        <v>EC101</v>
      </c>
      <c r="D2192" s="2">
        <v>574</v>
      </c>
      <c r="F2192" s="1764"/>
      <c r="G2192" s="1764"/>
      <c r="H2192" s="1764"/>
      <c r="I2192" s="1764"/>
      <c r="J2192" s="1764"/>
      <c r="K2192" s="1764"/>
      <c r="L2192" s="1766"/>
      <c r="M2192" s="1766"/>
      <c r="N2192" s="1766"/>
      <c r="O2192" s="1766"/>
      <c r="P2192" s="1766"/>
      <c r="W2192" t="s">
        <v>2089</v>
      </c>
    </row>
    <row r="2193" spans="1:23" ht="13.15" customHeight="1" x14ac:dyDescent="0.2">
      <c r="A2193" s="2" t="s">
        <v>2242</v>
      </c>
      <c r="B2193" s="2">
        <f t="shared" si="68"/>
        <v>2019</v>
      </c>
      <c r="C2193" s="2" t="str">
        <f t="shared" si="69"/>
        <v>EC101</v>
      </c>
      <c r="D2193" s="2">
        <v>575</v>
      </c>
      <c r="F2193" s="1764"/>
      <c r="G2193" s="1764"/>
      <c r="H2193" s="1764"/>
      <c r="I2193" s="1764"/>
      <c r="J2193" s="1764"/>
      <c r="K2193" s="1764"/>
      <c r="L2193" s="1766"/>
      <c r="M2193" s="1766"/>
      <c r="N2193" s="1766"/>
      <c r="O2193" s="1766"/>
      <c r="P2193" s="1766"/>
      <c r="W2193" t="s">
        <v>2089</v>
      </c>
    </row>
    <row r="2194" spans="1:23" ht="13.15" customHeight="1" x14ac:dyDescent="0.2">
      <c r="A2194" s="2" t="s">
        <v>2242</v>
      </c>
      <c r="B2194" s="2">
        <f t="shared" si="68"/>
        <v>2019</v>
      </c>
      <c r="C2194" s="2" t="str">
        <f t="shared" si="69"/>
        <v>EC101</v>
      </c>
      <c r="D2194" s="2">
        <v>576</v>
      </c>
      <c r="F2194" s="1764"/>
      <c r="G2194" s="1764"/>
      <c r="H2194" s="1764"/>
      <c r="I2194" s="1764"/>
      <c r="J2194" s="1764"/>
      <c r="K2194" s="1764"/>
      <c r="L2194" s="1766"/>
      <c r="M2194" s="1766"/>
      <c r="N2194" s="1766"/>
      <c r="O2194" s="1766"/>
      <c r="P2194" s="1766"/>
      <c r="W2194" t="s">
        <v>2089</v>
      </c>
    </row>
    <row r="2195" spans="1:23" ht="13.15" customHeight="1" x14ac:dyDescent="0.2">
      <c r="A2195" s="2" t="s">
        <v>2242</v>
      </c>
      <c r="B2195" s="2">
        <f t="shared" si="68"/>
        <v>2019</v>
      </c>
      <c r="C2195" s="2" t="str">
        <f t="shared" si="69"/>
        <v>EC101</v>
      </c>
      <c r="D2195" s="2">
        <v>577</v>
      </c>
      <c r="F2195" s="1764"/>
      <c r="G2195" s="1764"/>
      <c r="H2195" s="1764"/>
      <c r="I2195" s="1764"/>
      <c r="J2195" s="1764"/>
      <c r="K2195" s="1764"/>
      <c r="L2195" s="1766"/>
      <c r="M2195" s="1766"/>
      <c r="N2195" s="1766"/>
      <c r="O2195" s="1766"/>
      <c r="P2195" s="1766"/>
      <c r="W2195" t="s">
        <v>2089</v>
      </c>
    </row>
    <row r="2196" spans="1:23" ht="13.15" customHeight="1" x14ac:dyDescent="0.2">
      <c r="A2196" s="2" t="s">
        <v>2242</v>
      </c>
      <c r="B2196" s="2">
        <f t="shared" si="68"/>
        <v>2019</v>
      </c>
      <c r="C2196" s="2" t="str">
        <f t="shared" si="69"/>
        <v>EC101</v>
      </c>
      <c r="D2196" s="2">
        <v>578</v>
      </c>
      <c r="F2196" s="1764"/>
      <c r="G2196" s="1764"/>
      <c r="H2196" s="1764"/>
      <c r="I2196" s="1764"/>
      <c r="J2196" s="1764"/>
      <c r="K2196" s="1764"/>
      <c r="L2196" s="1766"/>
      <c r="M2196" s="1766"/>
      <c r="N2196" s="1766"/>
      <c r="O2196" s="1766"/>
      <c r="P2196" s="1766"/>
      <c r="W2196" t="s">
        <v>2089</v>
      </c>
    </row>
    <row r="2197" spans="1:23" ht="13.15" customHeight="1" x14ac:dyDescent="0.2">
      <c r="A2197" s="2" t="s">
        <v>2242</v>
      </c>
      <c r="B2197" s="2">
        <f t="shared" si="68"/>
        <v>2019</v>
      </c>
      <c r="C2197" s="2" t="str">
        <f t="shared" si="69"/>
        <v>EC101</v>
      </c>
      <c r="D2197" s="2">
        <v>579</v>
      </c>
      <c r="F2197" s="1764"/>
      <c r="G2197" s="1764"/>
      <c r="H2197" s="1764"/>
      <c r="I2197" s="1764"/>
      <c r="J2197" s="1764"/>
      <c r="K2197" s="1764"/>
      <c r="L2197" s="1766"/>
      <c r="M2197" s="1766"/>
      <c r="N2197" s="1766"/>
      <c r="O2197" s="1766"/>
      <c r="P2197" s="1766"/>
      <c r="W2197" t="s">
        <v>2089</v>
      </c>
    </row>
    <row r="2198" spans="1:23" ht="13.15" customHeight="1" x14ac:dyDescent="0.2">
      <c r="A2198" s="2" t="s">
        <v>2242</v>
      </c>
      <c r="B2198" s="2">
        <f t="shared" si="68"/>
        <v>2019</v>
      </c>
      <c r="C2198" s="2" t="str">
        <f t="shared" si="69"/>
        <v>EC101</v>
      </c>
      <c r="D2198" s="2">
        <v>580</v>
      </c>
      <c r="F2198" s="1764"/>
      <c r="G2198" s="1764"/>
      <c r="H2198" s="1764"/>
      <c r="I2198" s="1764"/>
      <c r="J2198" s="1764"/>
      <c r="K2198" s="1764"/>
      <c r="L2198" s="1766"/>
      <c r="M2198" s="1766"/>
      <c r="N2198" s="1766"/>
      <c r="O2198" s="1766"/>
      <c r="P2198" s="1766"/>
      <c r="W2198" t="s">
        <v>2089</v>
      </c>
    </row>
    <row r="2199" spans="1:23" ht="13.15" customHeight="1" x14ac:dyDescent="0.2">
      <c r="A2199" s="2" t="s">
        <v>2242</v>
      </c>
      <c r="B2199" s="2">
        <f t="shared" si="68"/>
        <v>2019</v>
      </c>
      <c r="C2199" s="2" t="str">
        <f t="shared" si="69"/>
        <v>EC101</v>
      </c>
      <c r="D2199" s="2">
        <v>581</v>
      </c>
      <c r="F2199" s="1764"/>
      <c r="G2199" s="1764"/>
      <c r="H2199" s="1764"/>
      <c r="I2199" s="1764"/>
      <c r="J2199" s="1764"/>
      <c r="K2199" s="1764"/>
      <c r="L2199" s="1766"/>
      <c r="M2199" s="1766"/>
      <c r="N2199" s="1766"/>
      <c r="O2199" s="1766"/>
      <c r="P2199" s="1766"/>
      <c r="W2199" t="s">
        <v>2089</v>
      </c>
    </row>
    <row r="2200" spans="1:23" ht="13.15" customHeight="1" x14ac:dyDescent="0.2">
      <c r="A2200" s="2" t="s">
        <v>2242</v>
      </c>
      <c r="B2200" s="2">
        <f t="shared" si="68"/>
        <v>2019</v>
      </c>
      <c r="C2200" s="2" t="str">
        <f t="shared" si="69"/>
        <v>EC101</v>
      </c>
      <c r="D2200" s="2">
        <v>582</v>
      </c>
      <c r="F2200" s="1764"/>
      <c r="G2200" s="1764"/>
      <c r="H2200" s="1764"/>
      <c r="I2200" s="1764"/>
      <c r="J2200" s="1764"/>
      <c r="K2200" s="1764"/>
      <c r="L2200" s="1766"/>
      <c r="M2200" s="1766"/>
      <c r="N2200" s="1766"/>
      <c r="O2200" s="1766"/>
      <c r="P2200" s="1766"/>
      <c r="W2200" t="s">
        <v>2089</v>
      </c>
    </row>
    <row r="2201" spans="1:23" ht="13.15" customHeight="1" x14ac:dyDescent="0.2">
      <c r="A2201" s="2" t="s">
        <v>2242</v>
      </c>
      <c r="B2201" s="2">
        <f t="shared" si="68"/>
        <v>2019</v>
      </c>
      <c r="C2201" s="2" t="str">
        <f t="shared" si="69"/>
        <v>EC101</v>
      </c>
      <c r="D2201" s="2">
        <v>583</v>
      </c>
      <c r="F2201" s="1764"/>
      <c r="G2201" s="1764"/>
      <c r="H2201" s="1764"/>
      <c r="I2201" s="1764"/>
      <c r="J2201" s="1764"/>
      <c r="K2201" s="1764"/>
      <c r="L2201" s="1766"/>
      <c r="M2201" s="1766"/>
      <c r="N2201" s="1766"/>
      <c r="O2201" s="1766"/>
      <c r="P2201" s="1766"/>
      <c r="W2201" t="s">
        <v>2089</v>
      </c>
    </row>
    <row r="2202" spans="1:23" ht="13.15" customHeight="1" x14ac:dyDescent="0.2">
      <c r="A2202" s="2" t="s">
        <v>2242</v>
      </c>
      <c r="B2202" s="2">
        <f t="shared" si="68"/>
        <v>2019</v>
      </c>
      <c r="C2202" s="2" t="str">
        <f t="shared" si="69"/>
        <v>EC101</v>
      </c>
      <c r="D2202" s="2">
        <v>584</v>
      </c>
      <c r="F2202" s="1764"/>
      <c r="G2202" s="1764"/>
      <c r="H2202" s="1764"/>
      <c r="I2202" s="1764"/>
      <c r="J2202" s="1764"/>
      <c r="K2202" s="1764"/>
      <c r="L2202" s="1766"/>
      <c r="M2202" s="1766"/>
      <c r="N2202" s="1766"/>
      <c r="O2202" s="1766"/>
      <c r="P2202" s="1766"/>
      <c r="W2202" t="s">
        <v>2089</v>
      </c>
    </row>
    <row r="2203" spans="1:23" ht="13.15" customHeight="1" x14ac:dyDescent="0.2">
      <c r="A2203" s="2" t="s">
        <v>2242</v>
      </c>
      <c r="B2203" s="2">
        <f t="shared" si="68"/>
        <v>2019</v>
      </c>
      <c r="C2203" s="2" t="str">
        <f t="shared" si="69"/>
        <v>EC101</v>
      </c>
      <c r="D2203" s="2">
        <v>585</v>
      </c>
      <c r="F2203" s="1764"/>
      <c r="G2203" s="1764"/>
      <c r="H2203" s="1764"/>
      <c r="I2203" s="1764"/>
      <c r="J2203" s="1764"/>
      <c r="K2203" s="1764"/>
      <c r="L2203" s="1766"/>
      <c r="M2203" s="1766"/>
      <c r="N2203" s="1766"/>
      <c r="O2203" s="1766"/>
      <c r="P2203" s="1766"/>
      <c r="W2203" t="s">
        <v>2089</v>
      </c>
    </row>
    <row r="2204" spans="1:23" ht="13.15" customHeight="1" x14ac:dyDescent="0.2">
      <c r="A2204" s="2" t="s">
        <v>2242</v>
      </c>
      <c r="B2204" s="2">
        <f t="shared" si="68"/>
        <v>2019</v>
      </c>
      <c r="C2204" s="2" t="str">
        <f t="shared" si="69"/>
        <v>EC101</v>
      </c>
      <c r="D2204" s="2">
        <v>586</v>
      </c>
      <c r="F2204" s="1764"/>
      <c r="G2204" s="1764"/>
      <c r="H2204" s="1764"/>
      <c r="I2204" s="1764"/>
      <c r="J2204" s="1764"/>
      <c r="K2204" s="1764"/>
      <c r="L2204" s="1766"/>
      <c r="M2204" s="1766"/>
      <c r="N2204" s="1766"/>
      <c r="O2204" s="1766"/>
      <c r="P2204" s="1766"/>
      <c r="W2204" t="s">
        <v>2089</v>
      </c>
    </row>
    <row r="2205" spans="1:23" ht="13.15" customHeight="1" x14ac:dyDescent="0.2">
      <c r="A2205" s="2" t="s">
        <v>2242</v>
      </c>
      <c r="B2205" s="2">
        <f t="shared" si="68"/>
        <v>2019</v>
      </c>
      <c r="C2205" s="2" t="str">
        <f t="shared" si="69"/>
        <v>EC101</v>
      </c>
      <c r="D2205" s="2">
        <v>587</v>
      </c>
      <c r="F2205" s="1764"/>
      <c r="G2205" s="1764"/>
      <c r="H2205" s="1764"/>
      <c r="I2205" s="1764"/>
      <c r="J2205" s="1764"/>
      <c r="K2205" s="1764"/>
      <c r="L2205" s="1766"/>
      <c r="M2205" s="1766"/>
      <c r="N2205" s="1766"/>
      <c r="O2205" s="1766"/>
      <c r="P2205" s="1766"/>
      <c r="W2205" t="s">
        <v>2089</v>
      </c>
    </row>
    <row r="2206" spans="1:23" ht="13.15" customHeight="1" x14ac:dyDescent="0.2">
      <c r="A2206" s="2" t="s">
        <v>2242</v>
      </c>
      <c r="B2206" s="2">
        <f t="shared" si="68"/>
        <v>2019</v>
      </c>
      <c r="C2206" s="2" t="str">
        <f t="shared" si="69"/>
        <v>EC101</v>
      </c>
      <c r="D2206" s="2">
        <v>588</v>
      </c>
      <c r="F2206" s="1764"/>
      <c r="G2206" s="1764"/>
      <c r="H2206" s="1764"/>
      <c r="I2206" s="1764"/>
      <c r="J2206" s="1764"/>
      <c r="K2206" s="1764"/>
      <c r="L2206" s="1766"/>
      <c r="M2206" s="1766"/>
      <c r="N2206" s="1766"/>
      <c r="O2206" s="1766"/>
      <c r="P2206" s="1766"/>
      <c r="W2206" t="s">
        <v>2089</v>
      </c>
    </row>
    <row r="2207" spans="1:23" ht="13.15" customHeight="1" x14ac:dyDescent="0.2">
      <c r="A2207" s="2" t="s">
        <v>2242</v>
      </c>
      <c r="B2207" s="2">
        <f t="shared" si="68"/>
        <v>2019</v>
      </c>
      <c r="C2207" s="2" t="str">
        <f t="shared" si="69"/>
        <v>EC101</v>
      </c>
      <c r="D2207" s="2">
        <v>589</v>
      </c>
      <c r="F2207" s="1764"/>
      <c r="G2207" s="1764"/>
      <c r="H2207" s="1764"/>
      <c r="I2207" s="1764"/>
      <c r="J2207" s="1764"/>
      <c r="K2207" s="1764"/>
      <c r="L2207" s="1766"/>
      <c r="M2207" s="1766"/>
      <c r="N2207" s="1766"/>
      <c r="O2207" s="1766"/>
      <c r="P2207" s="1766"/>
      <c r="W2207" t="s">
        <v>2089</v>
      </c>
    </row>
    <row r="2208" spans="1:23" ht="13.15" customHeight="1" x14ac:dyDescent="0.2">
      <c r="A2208" s="2" t="s">
        <v>2242</v>
      </c>
      <c r="B2208" s="2">
        <f t="shared" si="68"/>
        <v>2019</v>
      </c>
      <c r="C2208" s="2" t="str">
        <f t="shared" si="69"/>
        <v>EC101</v>
      </c>
      <c r="D2208" s="2">
        <v>590</v>
      </c>
      <c r="F2208" s="1764"/>
      <c r="G2208" s="1764"/>
      <c r="H2208" s="1764"/>
      <c r="I2208" s="1764"/>
      <c r="J2208" s="1764"/>
      <c r="K2208" s="1764"/>
      <c r="L2208" s="1766"/>
      <c r="M2208" s="1766"/>
      <c r="N2208" s="1766"/>
      <c r="O2208" s="1766"/>
      <c r="P2208" s="1766"/>
      <c r="W2208" t="s">
        <v>2089</v>
      </c>
    </row>
    <row r="2209" spans="1:23" ht="13.15" customHeight="1" x14ac:dyDescent="0.2">
      <c r="A2209" s="2" t="s">
        <v>2242</v>
      </c>
      <c r="B2209" s="2">
        <f t="shared" si="68"/>
        <v>2019</v>
      </c>
      <c r="C2209" s="2" t="str">
        <f t="shared" si="69"/>
        <v>EC101</v>
      </c>
      <c r="D2209" s="2">
        <v>591</v>
      </c>
      <c r="F2209" s="1764"/>
      <c r="G2209" s="1764"/>
      <c r="H2209" s="1764"/>
      <c r="I2209" s="1764"/>
      <c r="J2209" s="1764"/>
      <c r="K2209" s="1764"/>
      <c r="L2209" s="1766"/>
      <c r="M2209" s="1766"/>
      <c r="N2209" s="1766"/>
      <c r="O2209" s="1766"/>
      <c r="P2209" s="1766"/>
      <c r="W2209" t="s">
        <v>2089</v>
      </c>
    </row>
    <row r="2210" spans="1:23" ht="13.15" customHeight="1" x14ac:dyDescent="0.2">
      <c r="A2210" s="2" t="s">
        <v>2242</v>
      </c>
      <c r="B2210" s="2">
        <f t="shared" si="68"/>
        <v>2019</v>
      </c>
      <c r="C2210" s="2" t="str">
        <f t="shared" si="69"/>
        <v>EC101</v>
      </c>
      <c r="D2210" s="2">
        <v>592</v>
      </c>
      <c r="F2210" s="1764"/>
      <c r="G2210" s="1764"/>
      <c r="H2210" s="1764"/>
      <c r="I2210" s="1764"/>
      <c r="J2210" s="1764"/>
      <c r="K2210" s="1764"/>
      <c r="L2210" s="1766"/>
      <c r="M2210" s="1766"/>
      <c r="N2210" s="1766"/>
      <c r="O2210" s="1766"/>
      <c r="P2210" s="1766"/>
      <c r="W2210" t="s">
        <v>2089</v>
      </c>
    </row>
    <row r="2211" spans="1:23" ht="13.15" customHeight="1" x14ac:dyDescent="0.2">
      <c r="A2211" s="2" t="s">
        <v>2242</v>
      </c>
      <c r="B2211" s="2">
        <f t="shared" si="68"/>
        <v>2019</v>
      </c>
      <c r="C2211" s="2" t="str">
        <f t="shared" si="69"/>
        <v>EC101</v>
      </c>
      <c r="D2211" s="2">
        <v>593</v>
      </c>
      <c r="F2211" s="1764"/>
      <c r="G2211" s="1764"/>
      <c r="H2211" s="1764"/>
      <c r="I2211" s="1764"/>
      <c r="J2211" s="1764"/>
      <c r="K2211" s="1764"/>
      <c r="L2211" s="1766"/>
      <c r="M2211" s="1766"/>
      <c r="N2211" s="1766"/>
      <c r="O2211" s="1766"/>
      <c r="P2211" s="1766"/>
      <c r="W2211" t="s">
        <v>2089</v>
      </c>
    </row>
    <row r="2212" spans="1:23" ht="13.15" customHeight="1" x14ac:dyDescent="0.2">
      <c r="A2212" s="2" t="s">
        <v>2242</v>
      </c>
      <c r="B2212" s="2">
        <f t="shared" si="68"/>
        <v>2019</v>
      </c>
      <c r="C2212" s="2" t="str">
        <f t="shared" si="69"/>
        <v>EC101</v>
      </c>
      <c r="D2212" s="2">
        <v>594</v>
      </c>
      <c r="F2212" s="1764"/>
      <c r="G2212" s="1764"/>
      <c r="H2212" s="1764"/>
      <c r="I2212" s="1764"/>
      <c r="J2212" s="1764"/>
      <c r="K2212" s="1764"/>
      <c r="L2212" s="1766"/>
      <c r="M2212" s="1766"/>
      <c r="N2212" s="1766"/>
      <c r="O2212" s="1766"/>
      <c r="P2212" s="1766"/>
      <c r="W2212" t="s">
        <v>2089</v>
      </c>
    </row>
    <row r="2213" spans="1:23" ht="13.15" customHeight="1" x14ac:dyDescent="0.2">
      <c r="A2213" s="2" t="s">
        <v>2242</v>
      </c>
      <c r="B2213" s="2">
        <f t="shared" si="68"/>
        <v>2019</v>
      </c>
      <c r="C2213" s="2" t="str">
        <f t="shared" si="69"/>
        <v>EC101</v>
      </c>
      <c r="D2213" s="2">
        <v>595</v>
      </c>
      <c r="F2213" s="1764"/>
      <c r="G2213" s="1764"/>
      <c r="H2213" s="1764"/>
      <c r="I2213" s="1764"/>
      <c r="J2213" s="1764"/>
      <c r="K2213" s="1764"/>
      <c r="L2213" s="1766"/>
      <c r="M2213" s="1766"/>
      <c r="N2213" s="1766"/>
      <c r="O2213" s="1766"/>
      <c r="P2213" s="1766"/>
      <c r="W2213" t="s">
        <v>2089</v>
      </c>
    </row>
    <row r="2214" spans="1:23" ht="13.15" customHeight="1" x14ac:dyDescent="0.2">
      <c r="A2214" s="2" t="s">
        <v>2242</v>
      </c>
      <c r="B2214" s="2">
        <f t="shared" si="68"/>
        <v>2019</v>
      </c>
      <c r="C2214" s="2" t="str">
        <f t="shared" si="69"/>
        <v>EC101</v>
      </c>
      <c r="D2214" s="2">
        <v>596</v>
      </c>
      <c r="F2214" s="1764"/>
      <c r="G2214" s="1764"/>
      <c r="H2214" s="1764"/>
      <c r="I2214" s="1764"/>
      <c r="J2214" s="1764"/>
      <c r="K2214" s="1764"/>
      <c r="L2214" s="1766"/>
      <c r="M2214" s="1766"/>
      <c r="N2214" s="1766"/>
      <c r="O2214" s="1766"/>
      <c r="P2214" s="1766"/>
      <c r="W2214" t="s">
        <v>2089</v>
      </c>
    </row>
    <row r="2215" spans="1:23" ht="13.15" customHeight="1" x14ac:dyDescent="0.2">
      <c r="A2215" s="2" t="s">
        <v>2242</v>
      </c>
      <c r="B2215" s="2">
        <f t="shared" si="68"/>
        <v>2019</v>
      </c>
      <c r="C2215" s="2" t="str">
        <f t="shared" si="69"/>
        <v>EC101</v>
      </c>
      <c r="D2215" s="2">
        <v>597</v>
      </c>
      <c r="F2215" s="1764"/>
      <c r="G2215" s="1764"/>
      <c r="H2215" s="1764"/>
      <c r="I2215" s="1764"/>
      <c r="J2215" s="1764"/>
      <c r="K2215" s="1764"/>
      <c r="L2215" s="1766"/>
      <c r="M2215" s="1766"/>
      <c r="N2215" s="1766"/>
      <c r="O2215" s="1766"/>
      <c r="P2215" s="1766"/>
      <c r="W2215" t="s">
        <v>2089</v>
      </c>
    </row>
    <row r="2216" spans="1:23" ht="13.15" customHeight="1" x14ac:dyDescent="0.2">
      <c r="A2216" s="2" t="s">
        <v>2242</v>
      </c>
      <c r="B2216" s="2">
        <f t="shared" si="68"/>
        <v>2019</v>
      </c>
      <c r="C2216" s="2" t="str">
        <f t="shared" si="69"/>
        <v>EC101</v>
      </c>
      <c r="D2216" s="2">
        <v>598</v>
      </c>
      <c r="F2216" s="1764"/>
      <c r="G2216" s="1764"/>
      <c r="H2216" s="1764"/>
      <c r="I2216" s="1764"/>
      <c r="J2216" s="1764"/>
      <c r="K2216" s="1764"/>
      <c r="L2216" s="1766"/>
      <c r="M2216" s="1766"/>
      <c r="N2216" s="1766"/>
      <c r="O2216" s="1766"/>
      <c r="P2216" s="1766"/>
      <c r="W2216" t="s">
        <v>2089</v>
      </c>
    </row>
    <row r="2217" spans="1:23" ht="13.15" customHeight="1" x14ac:dyDescent="0.2">
      <c r="A2217" s="2" t="s">
        <v>2242</v>
      </c>
      <c r="B2217" s="2">
        <f t="shared" si="68"/>
        <v>2019</v>
      </c>
      <c r="C2217" s="2" t="str">
        <f t="shared" si="69"/>
        <v>EC101</v>
      </c>
      <c r="D2217" s="2">
        <v>599</v>
      </c>
      <c r="F2217" s="1764"/>
      <c r="G2217" s="1764"/>
      <c r="H2217" s="1764"/>
      <c r="I2217" s="1764"/>
      <c r="J2217" s="1764"/>
      <c r="K2217" s="1764"/>
      <c r="L2217" s="1766"/>
      <c r="M2217" s="1766"/>
      <c r="N2217" s="1766"/>
      <c r="O2217" s="1766"/>
      <c r="P2217" s="1766"/>
      <c r="W2217" t="s">
        <v>2089</v>
      </c>
    </row>
    <row r="2218" spans="1:23" ht="13.15" customHeight="1" x14ac:dyDescent="0.2">
      <c r="A2218" s="2" t="s">
        <v>2242</v>
      </c>
      <c r="B2218" s="2">
        <f t="shared" si="68"/>
        <v>2019</v>
      </c>
      <c r="C2218" s="2" t="str">
        <f t="shared" si="69"/>
        <v>EC101</v>
      </c>
      <c r="D2218" s="2">
        <v>600</v>
      </c>
      <c r="F2218" s="1764"/>
      <c r="G2218" s="1764"/>
      <c r="H2218" s="1764"/>
      <c r="I2218" s="1764"/>
      <c r="J2218" s="1764"/>
      <c r="K2218" s="1764"/>
      <c r="L2218" s="1766"/>
      <c r="M2218" s="1766"/>
      <c r="N2218" s="1766"/>
      <c r="O2218" s="1766"/>
      <c r="P2218" s="1766"/>
      <c r="W2218" t="s">
        <v>2089</v>
      </c>
    </row>
    <row r="2219" spans="1:23" ht="13.15" customHeight="1" x14ac:dyDescent="0.2">
      <c r="A2219" s="2" t="s">
        <v>2242</v>
      </c>
      <c r="B2219" s="2">
        <f t="shared" si="68"/>
        <v>2019</v>
      </c>
      <c r="C2219" s="2" t="str">
        <f t="shared" si="69"/>
        <v>EC101</v>
      </c>
      <c r="D2219" s="2">
        <v>601</v>
      </c>
      <c r="F2219" s="1764"/>
      <c r="G2219" s="1764"/>
      <c r="H2219" s="1764"/>
      <c r="I2219" s="1764"/>
      <c r="J2219" s="1764"/>
      <c r="K2219" s="1764"/>
      <c r="L2219" s="1766"/>
      <c r="M2219" s="1766"/>
      <c r="N2219" s="1766"/>
      <c r="O2219" s="1766"/>
      <c r="P2219" s="1766"/>
      <c r="W2219" t="s">
        <v>2089</v>
      </c>
    </row>
    <row r="2220" spans="1:23" ht="13.15" customHeight="1" x14ac:dyDescent="0.2">
      <c r="A2220" s="2" t="s">
        <v>2242</v>
      </c>
      <c r="B2220" s="2">
        <f t="shared" si="68"/>
        <v>2019</v>
      </c>
      <c r="C2220" s="2" t="str">
        <f t="shared" si="69"/>
        <v>EC101</v>
      </c>
      <c r="D2220" s="2">
        <v>602</v>
      </c>
      <c r="F2220" s="1764"/>
      <c r="G2220" s="1764"/>
      <c r="H2220" s="1764"/>
      <c r="I2220" s="1764"/>
      <c r="J2220" s="1764"/>
      <c r="K2220" s="1764"/>
      <c r="L2220" s="1766"/>
      <c r="M2220" s="1766"/>
      <c r="N2220" s="1766"/>
      <c r="O2220" s="1766"/>
      <c r="P2220" s="1766"/>
      <c r="W2220" t="s">
        <v>2089</v>
      </c>
    </row>
    <row r="2221" spans="1:23" ht="13.15" customHeight="1" x14ac:dyDescent="0.2">
      <c r="A2221" s="2" t="s">
        <v>2242</v>
      </c>
      <c r="B2221" s="2">
        <f t="shared" si="68"/>
        <v>2019</v>
      </c>
      <c r="C2221" s="2" t="str">
        <f t="shared" si="69"/>
        <v>EC101</v>
      </c>
      <c r="D2221" s="2">
        <v>603</v>
      </c>
      <c r="F2221" s="1764"/>
      <c r="G2221" s="1764"/>
      <c r="H2221" s="1764"/>
      <c r="I2221" s="1764"/>
      <c r="J2221" s="1764"/>
      <c r="K2221" s="1764"/>
      <c r="L2221" s="1766"/>
      <c r="M2221" s="1766"/>
      <c r="N2221" s="1766"/>
      <c r="O2221" s="1766"/>
      <c r="P2221" s="1766"/>
      <c r="W2221" t="s">
        <v>2089</v>
      </c>
    </row>
    <row r="2222" spans="1:23" ht="13.15" customHeight="1" x14ac:dyDescent="0.2">
      <c r="A2222" s="2" t="s">
        <v>2242</v>
      </c>
      <c r="B2222" s="2">
        <f t="shared" si="68"/>
        <v>2019</v>
      </c>
      <c r="C2222" s="2" t="str">
        <f t="shared" si="69"/>
        <v>EC101</v>
      </c>
      <c r="D2222" s="2">
        <v>604</v>
      </c>
      <c r="F2222" s="1764"/>
      <c r="G2222" s="1764"/>
      <c r="H2222" s="1764"/>
      <c r="I2222" s="1764"/>
      <c r="J2222" s="1764"/>
      <c r="K2222" s="1764"/>
      <c r="L2222" s="1766"/>
      <c r="M2222" s="1766"/>
      <c r="N2222" s="1766"/>
      <c r="O2222" s="1766"/>
      <c r="P2222" s="1766"/>
      <c r="W2222" t="s">
        <v>2089</v>
      </c>
    </row>
    <row r="2223" spans="1:23" ht="13.15" customHeight="1" x14ac:dyDescent="0.2">
      <c r="A2223" s="2" t="s">
        <v>2242</v>
      </c>
      <c r="B2223" s="2">
        <f t="shared" si="68"/>
        <v>2019</v>
      </c>
      <c r="C2223" s="2" t="str">
        <f t="shared" si="69"/>
        <v>EC101</v>
      </c>
      <c r="D2223" s="2">
        <v>605</v>
      </c>
      <c r="F2223" s="1764"/>
      <c r="G2223" s="1764"/>
      <c r="H2223" s="1764"/>
      <c r="I2223" s="1764"/>
      <c r="J2223" s="1764"/>
      <c r="K2223" s="1764"/>
      <c r="L2223" s="1766"/>
      <c r="M2223" s="1766"/>
      <c r="N2223" s="1766"/>
      <c r="O2223" s="1766"/>
      <c r="P2223" s="1766"/>
      <c r="W2223" t="s">
        <v>2089</v>
      </c>
    </row>
    <row r="2224" spans="1:23" ht="13.15" customHeight="1" x14ac:dyDescent="0.2">
      <c r="A2224" s="2" t="s">
        <v>2242</v>
      </c>
      <c r="B2224" s="2">
        <f t="shared" si="68"/>
        <v>2019</v>
      </c>
      <c r="C2224" s="2" t="str">
        <f t="shared" si="69"/>
        <v>EC101</v>
      </c>
      <c r="D2224" s="2">
        <v>606</v>
      </c>
      <c r="F2224" s="1764"/>
      <c r="G2224" s="1764"/>
      <c r="H2224" s="1764"/>
      <c r="I2224" s="1764"/>
      <c r="J2224" s="1764"/>
      <c r="K2224" s="1764"/>
      <c r="L2224" s="1766"/>
      <c r="M2224" s="1766"/>
      <c r="N2224" s="1766"/>
      <c r="O2224" s="1766"/>
      <c r="P2224" s="1766"/>
      <c r="W2224" t="s">
        <v>2089</v>
      </c>
    </row>
    <row r="2225" spans="1:23" ht="13.15" customHeight="1" x14ac:dyDescent="0.2">
      <c r="A2225" s="2" t="s">
        <v>2242</v>
      </c>
      <c r="B2225" s="2">
        <f t="shared" si="68"/>
        <v>2019</v>
      </c>
      <c r="C2225" s="2" t="str">
        <f t="shared" si="69"/>
        <v>EC101</v>
      </c>
      <c r="D2225" s="2">
        <v>607</v>
      </c>
      <c r="F2225" s="1764"/>
      <c r="G2225" s="1764"/>
      <c r="H2225" s="1764"/>
      <c r="I2225" s="1764"/>
      <c r="J2225" s="1764"/>
      <c r="K2225" s="1764"/>
      <c r="L2225" s="1766"/>
      <c r="M2225" s="1766"/>
      <c r="N2225" s="1766"/>
      <c r="O2225" s="1766"/>
      <c r="P2225" s="1766"/>
      <c r="W2225" t="s">
        <v>2089</v>
      </c>
    </row>
    <row r="2226" spans="1:23" ht="13.15" customHeight="1" x14ac:dyDescent="0.2">
      <c r="A2226" s="2" t="s">
        <v>2242</v>
      </c>
      <c r="B2226" s="2">
        <f t="shared" si="68"/>
        <v>2019</v>
      </c>
      <c r="C2226" s="2" t="str">
        <f t="shared" si="69"/>
        <v>EC101</v>
      </c>
      <c r="D2226" s="2">
        <v>608</v>
      </c>
      <c r="F2226" s="1764"/>
      <c r="G2226" s="1764"/>
      <c r="H2226" s="1764"/>
      <c r="I2226" s="1764"/>
      <c r="J2226" s="1764"/>
      <c r="K2226" s="1764"/>
      <c r="L2226" s="1766"/>
      <c r="M2226" s="1766"/>
      <c r="N2226" s="1766"/>
      <c r="O2226" s="1766"/>
      <c r="P2226" s="1766"/>
      <c r="W2226" t="s">
        <v>2089</v>
      </c>
    </row>
    <row r="2227" spans="1:23" ht="13.15" customHeight="1" x14ac:dyDescent="0.2">
      <c r="A2227" s="2" t="s">
        <v>2242</v>
      </c>
      <c r="B2227" s="2">
        <f t="shared" si="68"/>
        <v>2019</v>
      </c>
      <c r="C2227" s="2" t="str">
        <f t="shared" si="69"/>
        <v>EC101</v>
      </c>
      <c r="D2227" s="2">
        <v>609</v>
      </c>
      <c r="F2227" s="1764"/>
      <c r="G2227" s="1764"/>
      <c r="H2227" s="1764"/>
      <c r="I2227" s="1764"/>
      <c r="J2227" s="1764"/>
      <c r="K2227" s="1764"/>
      <c r="L2227" s="1766"/>
      <c r="M2227" s="1766"/>
      <c r="N2227" s="1766"/>
      <c r="O2227" s="1766"/>
      <c r="P2227" s="1766"/>
      <c r="W2227" t="s">
        <v>2089</v>
      </c>
    </row>
    <row r="2228" spans="1:23" ht="13.15" customHeight="1" x14ac:dyDescent="0.2">
      <c r="A2228" s="2" t="s">
        <v>2242</v>
      </c>
      <c r="B2228" s="2">
        <f t="shared" si="68"/>
        <v>2019</v>
      </c>
      <c r="C2228" s="2" t="str">
        <f t="shared" si="69"/>
        <v>EC101</v>
      </c>
      <c r="D2228" s="2">
        <v>610</v>
      </c>
      <c r="F2228" s="1764"/>
      <c r="G2228" s="1764"/>
      <c r="H2228" s="1764"/>
      <c r="I2228" s="1764"/>
      <c r="J2228" s="1764"/>
      <c r="K2228" s="1764"/>
      <c r="L2228" s="1766"/>
      <c r="M2228" s="1766"/>
      <c r="N2228" s="1766"/>
      <c r="O2228" s="1766"/>
      <c r="P2228" s="1766"/>
      <c r="W2228" t="s">
        <v>2089</v>
      </c>
    </row>
    <row r="2229" spans="1:23" ht="13.15" customHeight="1" x14ac:dyDescent="0.2">
      <c r="A2229" s="2" t="s">
        <v>2242</v>
      </c>
      <c r="B2229" s="2">
        <f t="shared" si="68"/>
        <v>2019</v>
      </c>
      <c r="C2229" s="2" t="str">
        <f t="shared" si="69"/>
        <v>EC101</v>
      </c>
      <c r="D2229" s="2">
        <v>611</v>
      </c>
      <c r="F2229" s="1764"/>
      <c r="G2229" s="1764"/>
      <c r="H2229" s="1764"/>
      <c r="I2229" s="1764"/>
      <c r="J2229" s="1764"/>
      <c r="K2229" s="1764"/>
      <c r="L2229" s="1766"/>
      <c r="M2229" s="1766"/>
      <c r="N2229" s="1766"/>
      <c r="O2229" s="1766"/>
      <c r="P2229" s="1766"/>
      <c r="W2229" t="s">
        <v>2089</v>
      </c>
    </row>
    <row r="2230" spans="1:23" ht="13.15" customHeight="1" x14ac:dyDescent="0.2">
      <c r="A2230" s="2" t="s">
        <v>2242</v>
      </c>
      <c r="B2230" s="2">
        <f t="shared" si="68"/>
        <v>2019</v>
      </c>
      <c r="C2230" s="2" t="str">
        <f t="shared" si="69"/>
        <v>EC101</v>
      </c>
      <c r="D2230" s="2">
        <v>612</v>
      </c>
      <c r="F2230" s="1764"/>
      <c r="G2230" s="1764"/>
      <c r="H2230" s="1764"/>
      <c r="I2230" s="1764"/>
      <c r="J2230" s="1764"/>
      <c r="K2230" s="1764"/>
      <c r="L2230" s="1766"/>
      <c r="M2230" s="1766"/>
      <c r="N2230" s="1766"/>
      <c r="O2230" s="1766"/>
      <c r="P2230" s="1766"/>
      <c r="W2230" t="s">
        <v>2089</v>
      </c>
    </row>
    <row r="2231" spans="1:23" ht="13.15" customHeight="1" x14ac:dyDescent="0.2">
      <c r="A2231" s="2" t="s">
        <v>2242</v>
      </c>
      <c r="B2231" s="2">
        <f t="shared" si="68"/>
        <v>2019</v>
      </c>
      <c r="C2231" s="2" t="str">
        <f t="shared" si="69"/>
        <v>EC101</v>
      </c>
      <c r="D2231" s="2">
        <v>613</v>
      </c>
      <c r="F2231" s="1764"/>
      <c r="G2231" s="1764"/>
      <c r="H2231" s="1764"/>
      <c r="I2231" s="1764"/>
      <c r="J2231" s="1764"/>
      <c r="K2231" s="1764"/>
      <c r="L2231" s="1766"/>
      <c r="M2231" s="1766"/>
      <c r="N2231" s="1766"/>
      <c r="O2231" s="1766"/>
      <c r="P2231" s="1766"/>
      <c r="W2231" t="s">
        <v>2089</v>
      </c>
    </row>
    <row r="2232" spans="1:23" ht="13.15" customHeight="1" x14ac:dyDescent="0.2">
      <c r="A2232" s="2" t="s">
        <v>2242</v>
      </c>
      <c r="B2232" s="2">
        <f t="shared" si="68"/>
        <v>2019</v>
      </c>
      <c r="C2232" s="2" t="str">
        <f t="shared" si="69"/>
        <v>EC101</v>
      </c>
      <c r="D2232" s="2">
        <v>614</v>
      </c>
      <c r="F2232" s="1764"/>
      <c r="G2232" s="1764"/>
      <c r="H2232" s="1764"/>
      <c r="I2232" s="1764"/>
      <c r="J2232" s="1764"/>
      <c r="K2232" s="1764"/>
      <c r="L2232" s="1766"/>
      <c r="M2232" s="1766"/>
      <c r="N2232" s="1766"/>
      <c r="O2232" s="1766"/>
      <c r="P2232" s="1766"/>
      <c r="W2232" t="s">
        <v>2089</v>
      </c>
    </row>
    <row r="2233" spans="1:23" ht="13.15" customHeight="1" x14ac:dyDescent="0.2">
      <c r="A2233" s="2" t="s">
        <v>2242</v>
      </c>
      <c r="B2233" s="2">
        <f t="shared" si="68"/>
        <v>2019</v>
      </c>
      <c r="C2233" s="2" t="str">
        <f t="shared" si="69"/>
        <v>EC101</v>
      </c>
      <c r="D2233" s="2">
        <v>615</v>
      </c>
      <c r="F2233" s="1764"/>
      <c r="G2233" s="1764"/>
      <c r="H2233" s="1764"/>
      <c r="I2233" s="1764"/>
      <c r="J2233" s="1764"/>
      <c r="K2233" s="1764"/>
      <c r="L2233" s="1766"/>
      <c r="M2233" s="1766"/>
      <c r="N2233" s="1766"/>
      <c r="O2233" s="1766"/>
      <c r="P2233" s="1766"/>
      <c r="W2233" t="s">
        <v>2089</v>
      </c>
    </row>
    <row r="2234" spans="1:23" ht="13.15" customHeight="1" x14ac:dyDescent="0.2">
      <c r="A2234" s="2" t="s">
        <v>2242</v>
      </c>
      <c r="B2234" s="2">
        <f t="shared" si="68"/>
        <v>2019</v>
      </c>
      <c r="C2234" s="2" t="str">
        <f t="shared" si="69"/>
        <v>EC101</v>
      </c>
      <c r="D2234" s="2">
        <v>616</v>
      </c>
      <c r="F2234" s="1764"/>
      <c r="G2234" s="1764"/>
      <c r="H2234" s="1764"/>
      <c r="I2234" s="1764"/>
      <c r="J2234" s="1764"/>
      <c r="K2234" s="1764"/>
      <c r="L2234" s="1766"/>
      <c r="M2234" s="1766"/>
      <c r="N2234" s="1766"/>
      <c r="O2234" s="1766"/>
      <c r="P2234" s="1766"/>
      <c r="W2234" t="s">
        <v>2089</v>
      </c>
    </row>
    <row r="2235" spans="1:23" ht="13.15" customHeight="1" x14ac:dyDescent="0.2">
      <c r="A2235" s="2" t="s">
        <v>2242</v>
      </c>
      <c r="B2235" s="2">
        <f t="shared" si="68"/>
        <v>2019</v>
      </c>
      <c r="C2235" s="2" t="str">
        <f t="shared" si="69"/>
        <v>EC101</v>
      </c>
      <c r="D2235" s="2">
        <v>617</v>
      </c>
      <c r="F2235" s="1764"/>
      <c r="G2235" s="1764"/>
      <c r="H2235" s="1764"/>
      <c r="I2235" s="1764"/>
      <c r="J2235" s="1764"/>
      <c r="K2235" s="1764"/>
      <c r="L2235" s="1766"/>
      <c r="M2235" s="1766"/>
      <c r="N2235" s="1766"/>
      <c r="O2235" s="1766"/>
      <c r="P2235" s="1766"/>
      <c r="W2235" t="s">
        <v>2089</v>
      </c>
    </row>
    <row r="2236" spans="1:23" ht="13.15" customHeight="1" x14ac:dyDescent="0.2">
      <c r="A2236" s="2" t="s">
        <v>2242</v>
      </c>
      <c r="B2236" s="2">
        <f t="shared" si="68"/>
        <v>2019</v>
      </c>
      <c r="C2236" s="2" t="str">
        <f t="shared" si="69"/>
        <v>EC101</v>
      </c>
      <c r="D2236" s="2">
        <v>618</v>
      </c>
      <c r="F2236" s="1764"/>
      <c r="G2236" s="1764"/>
      <c r="H2236" s="1764"/>
      <c r="I2236" s="1764"/>
      <c r="J2236" s="1764"/>
      <c r="K2236" s="1764"/>
      <c r="L2236" s="1766"/>
      <c r="M2236" s="1766"/>
      <c r="N2236" s="1766"/>
      <c r="O2236" s="1766"/>
      <c r="P2236" s="1766"/>
      <c r="W2236" t="s">
        <v>2089</v>
      </c>
    </row>
    <row r="2237" spans="1:23" ht="13.15" customHeight="1" x14ac:dyDescent="0.2">
      <c r="A2237" s="2" t="s">
        <v>2242</v>
      </c>
      <c r="B2237" s="2">
        <f t="shared" si="68"/>
        <v>2019</v>
      </c>
      <c r="C2237" s="2" t="str">
        <f t="shared" si="69"/>
        <v>EC101</v>
      </c>
      <c r="D2237" s="2">
        <v>619</v>
      </c>
      <c r="F2237" s="1764"/>
      <c r="G2237" s="1764"/>
      <c r="H2237" s="1764"/>
      <c r="I2237" s="1764"/>
      <c r="J2237" s="1764"/>
      <c r="K2237" s="1764"/>
      <c r="L2237" s="1766"/>
      <c r="M2237" s="1766"/>
      <c r="N2237" s="1766"/>
      <c r="O2237" s="1766"/>
      <c r="P2237" s="1766"/>
      <c r="W2237" t="s">
        <v>2089</v>
      </c>
    </row>
    <row r="2238" spans="1:23" ht="13.15" customHeight="1" x14ac:dyDescent="0.2">
      <c r="A2238" s="2" t="s">
        <v>2242</v>
      </c>
      <c r="B2238" s="2">
        <f t="shared" si="68"/>
        <v>2019</v>
      </c>
      <c r="C2238" s="2" t="str">
        <f t="shared" si="69"/>
        <v>EC101</v>
      </c>
      <c r="D2238" s="2">
        <v>620</v>
      </c>
      <c r="F2238" s="1764"/>
      <c r="G2238" s="1764"/>
      <c r="H2238" s="1764"/>
      <c r="I2238" s="1764"/>
      <c r="J2238" s="1764"/>
      <c r="K2238" s="1764"/>
      <c r="L2238" s="1766"/>
      <c r="M2238" s="1766"/>
      <c r="N2238" s="1766"/>
      <c r="O2238" s="1766"/>
      <c r="P2238" s="1766"/>
      <c r="W2238" t="s">
        <v>2089</v>
      </c>
    </row>
    <row r="2239" spans="1:23" ht="13.15" customHeight="1" x14ac:dyDescent="0.2">
      <c r="A2239" s="2" t="s">
        <v>2242</v>
      </c>
      <c r="B2239" s="2">
        <f t="shared" si="68"/>
        <v>2019</v>
      </c>
      <c r="C2239" s="2" t="str">
        <f t="shared" si="69"/>
        <v>EC101</v>
      </c>
      <c r="D2239" s="2">
        <v>621</v>
      </c>
      <c r="F2239" s="1764"/>
      <c r="G2239" s="1764"/>
      <c r="H2239" s="1764"/>
      <c r="I2239" s="1764"/>
      <c r="J2239" s="1764"/>
      <c r="K2239" s="1764"/>
      <c r="L2239" s="1766"/>
      <c r="M2239" s="1766"/>
      <c r="N2239" s="1766"/>
      <c r="O2239" s="1766"/>
      <c r="P2239" s="1766"/>
      <c r="W2239" t="s">
        <v>2089</v>
      </c>
    </row>
    <row r="2240" spans="1:23" ht="13.15" customHeight="1" x14ac:dyDescent="0.2">
      <c r="A2240" s="2" t="s">
        <v>2242</v>
      </c>
      <c r="B2240" s="2">
        <f t="shared" si="68"/>
        <v>2019</v>
      </c>
      <c r="C2240" s="2" t="str">
        <f t="shared" si="69"/>
        <v>EC101</v>
      </c>
      <c r="D2240" s="2">
        <v>622</v>
      </c>
      <c r="F2240" s="1764"/>
      <c r="G2240" s="1764"/>
      <c r="H2240" s="1764"/>
      <c r="I2240" s="1764"/>
      <c r="J2240" s="1764"/>
      <c r="K2240" s="1764"/>
      <c r="L2240" s="1766"/>
      <c r="M2240" s="1766"/>
      <c r="N2240" s="1766"/>
      <c r="O2240" s="1766"/>
      <c r="P2240" s="1766"/>
      <c r="W2240" t="s">
        <v>2089</v>
      </c>
    </row>
    <row r="2241" spans="1:23" ht="13.15" customHeight="1" x14ac:dyDescent="0.2">
      <c r="A2241" s="2" t="s">
        <v>2242</v>
      </c>
      <c r="B2241" s="2">
        <f t="shared" si="68"/>
        <v>2019</v>
      </c>
      <c r="C2241" s="2" t="str">
        <f t="shared" si="69"/>
        <v>EC101</v>
      </c>
      <c r="D2241" s="2">
        <v>623</v>
      </c>
      <c r="F2241" s="1764"/>
      <c r="G2241" s="1764"/>
      <c r="H2241" s="1764"/>
      <c r="I2241" s="1764"/>
      <c r="J2241" s="1764"/>
      <c r="K2241" s="1764"/>
      <c r="L2241" s="1766"/>
      <c r="M2241" s="1766"/>
      <c r="N2241" s="1766"/>
      <c r="O2241" s="1766"/>
      <c r="P2241" s="1766"/>
      <c r="W2241" t="s">
        <v>2089</v>
      </c>
    </row>
    <row r="2242" spans="1:23" ht="13.15" customHeight="1" x14ac:dyDescent="0.2">
      <c r="A2242" s="2" t="s">
        <v>2242</v>
      </c>
      <c r="B2242" s="2">
        <f t="shared" ref="B2242:B2305" si="70">+MTREF</f>
        <v>2019</v>
      </c>
      <c r="C2242" s="2" t="str">
        <f t="shared" ref="C2242:C2305" si="71">LEFT(muni,(FIND(" ",muni,1)-1))</f>
        <v>EC101</v>
      </c>
      <c r="D2242" s="2">
        <v>624</v>
      </c>
      <c r="F2242" s="1764"/>
      <c r="G2242" s="1764"/>
      <c r="H2242" s="1764"/>
      <c r="I2242" s="1764"/>
      <c r="J2242" s="1764"/>
      <c r="K2242" s="1764"/>
      <c r="L2242" s="1766"/>
      <c r="M2242" s="1766"/>
      <c r="N2242" s="1766"/>
      <c r="O2242" s="1766"/>
      <c r="P2242" s="1766"/>
      <c r="W2242" t="s">
        <v>2089</v>
      </c>
    </row>
    <row r="2243" spans="1:23" ht="13.15" customHeight="1" x14ac:dyDescent="0.2">
      <c r="A2243" s="2" t="s">
        <v>2242</v>
      </c>
      <c r="B2243" s="2">
        <f t="shared" si="70"/>
        <v>2019</v>
      </c>
      <c r="C2243" s="2" t="str">
        <f t="shared" si="71"/>
        <v>EC101</v>
      </c>
      <c r="D2243" s="2">
        <v>625</v>
      </c>
      <c r="F2243" s="1764"/>
      <c r="G2243" s="1764"/>
      <c r="H2243" s="1764"/>
      <c r="I2243" s="1764"/>
      <c r="J2243" s="1764"/>
      <c r="K2243" s="1764"/>
      <c r="L2243" s="1766"/>
      <c r="M2243" s="1766"/>
      <c r="N2243" s="1766"/>
      <c r="O2243" s="1766"/>
      <c r="P2243" s="1766"/>
      <c r="W2243" t="s">
        <v>2089</v>
      </c>
    </row>
    <row r="2244" spans="1:23" ht="13.15" customHeight="1" x14ac:dyDescent="0.2">
      <c r="A2244" s="2" t="s">
        <v>2242</v>
      </c>
      <c r="B2244" s="2">
        <f t="shared" si="70"/>
        <v>2019</v>
      </c>
      <c r="C2244" s="2" t="str">
        <f t="shared" si="71"/>
        <v>EC101</v>
      </c>
      <c r="D2244" s="2">
        <v>626</v>
      </c>
      <c r="F2244" s="1764"/>
      <c r="G2244" s="1764"/>
      <c r="H2244" s="1764"/>
      <c r="I2244" s="1764"/>
      <c r="J2244" s="1764"/>
      <c r="K2244" s="1764"/>
      <c r="L2244" s="1766"/>
      <c r="M2244" s="1766"/>
      <c r="N2244" s="1766"/>
      <c r="O2244" s="1766"/>
      <c r="P2244" s="1766"/>
      <c r="W2244" t="s">
        <v>2089</v>
      </c>
    </row>
    <row r="2245" spans="1:23" ht="13.15" customHeight="1" x14ac:dyDescent="0.2">
      <c r="A2245" s="2" t="s">
        <v>2242</v>
      </c>
      <c r="B2245" s="2">
        <f t="shared" si="70"/>
        <v>2019</v>
      </c>
      <c r="C2245" s="2" t="str">
        <f t="shared" si="71"/>
        <v>EC101</v>
      </c>
      <c r="D2245" s="2">
        <v>627</v>
      </c>
      <c r="F2245" s="1764"/>
      <c r="G2245" s="1764"/>
      <c r="H2245" s="1764"/>
      <c r="I2245" s="1764"/>
      <c r="J2245" s="1764"/>
      <c r="K2245" s="1764"/>
      <c r="L2245" s="1766"/>
      <c r="M2245" s="1766"/>
      <c r="N2245" s="1766"/>
      <c r="O2245" s="1766"/>
      <c r="P2245" s="1766"/>
      <c r="W2245" t="s">
        <v>2089</v>
      </c>
    </row>
    <row r="2246" spans="1:23" ht="13.15" customHeight="1" x14ac:dyDescent="0.2">
      <c r="A2246" s="2" t="s">
        <v>2242</v>
      </c>
      <c r="B2246" s="2">
        <f t="shared" si="70"/>
        <v>2019</v>
      </c>
      <c r="C2246" s="2" t="str">
        <f t="shared" si="71"/>
        <v>EC101</v>
      </c>
      <c r="D2246" s="2">
        <v>628</v>
      </c>
      <c r="F2246" s="1764"/>
      <c r="G2246" s="1764"/>
      <c r="H2246" s="1764"/>
      <c r="I2246" s="1764"/>
      <c r="J2246" s="1764"/>
      <c r="K2246" s="1764"/>
      <c r="L2246" s="1766"/>
      <c r="M2246" s="1766"/>
      <c r="N2246" s="1766"/>
      <c r="O2246" s="1766"/>
      <c r="P2246" s="1766"/>
      <c r="W2246" t="s">
        <v>2089</v>
      </c>
    </row>
    <row r="2247" spans="1:23" ht="13.15" customHeight="1" x14ac:dyDescent="0.2">
      <c r="A2247" s="2" t="s">
        <v>2242</v>
      </c>
      <c r="B2247" s="2">
        <f t="shared" si="70"/>
        <v>2019</v>
      </c>
      <c r="C2247" s="2" t="str">
        <f t="shared" si="71"/>
        <v>EC101</v>
      </c>
      <c r="D2247" s="2">
        <v>629</v>
      </c>
      <c r="F2247" s="1764"/>
      <c r="G2247" s="1764"/>
      <c r="H2247" s="1764"/>
      <c r="I2247" s="1764"/>
      <c r="J2247" s="1764"/>
      <c r="K2247" s="1764"/>
      <c r="L2247" s="1766"/>
      <c r="M2247" s="1766"/>
      <c r="N2247" s="1766"/>
      <c r="O2247" s="1766"/>
      <c r="P2247" s="1766"/>
      <c r="W2247" t="s">
        <v>2089</v>
      </c>
    </row>
    <row r="2248" spans="1:23" ht="13.15" customHeight="1" x14ac:dyDescent="0.2">
      <c r="A2248" s="2" t="s">
        <v>2242</v>
      </c>
      <c r="B2248" s="2">
        <f t="shared" si="70"/>
        <v>2019</v>
      </c>
      <c r="C2248" s="2" t="str">
        <f t="shared" si="71"/>
        <v>EC101</v>
      </c>
      <c r="D2248" s="2">
        <v>630</v>
      </c>
      <c r="F2248" s="1764"/>
      <c r="G2248" s="1764"/>
      <c r="H2248" s="1764"/>
      <c r="I2248" s="1764"/>
      <c r="J2248" s="1764"/>
      <c r="K2248" s="1764"/>
      <c r="L2248" s="1766"/>
      <c r="M2248" s="1766"/>
      <c r="N2248" s="1766"/>
      <c r="O2248" s="1766"/>
      <c r="P2248" s="1766"/>
      <c r="W2248" t="s">
        <v>2089</v>
      </c>
    </row>
    <row r="2249" spans="1:23" ht="13.15" customHeight="1" x14ac:dyDescent="0.2">
      <c r="A2249" s="2" t="s">
        <v>2242</v>
      </c>
      <c r="B2249" s="2">
        <f t="shared" si="70"/>
        <v>2019</v>
      </c>
      <c r="C2249" s="2" t="str">
        <f t="shared" si="71"/>
        <v>EC101</v>
      </c>
      <c r="D2249" s="2">
        <v>631</v>
      </c>
      <c r="F2249" s="1764"/>
      <c r="G2249" s="1764"/>
      <c r="H2249" s="1764"/>
      <c r="I2249" s="1764"/>
      <c r="J2249" s="1764"/>
      <c r="K2249" s="1764"/>
      <c r="L2249" s="1766"/>
      <c r="M2249" s="1766"/>
      <c r="N2249" s="1766"/>
      <c r="O2249" s="1766"/>
      <c r="P2249" s="1766"/>
      <c r="W2249" t="s">
        <v>2089</v>
      </c>
    </row>
    <row r="2250" spans="1:23" ht="13.15" customHeight="1" x14ac:dyDescent="0.2">
      <c r="A2250" s="2" t="s">
        <v>2242</v>
      </c>
      <c r="B2250" s="2">
        <f t="shared" si="70"/>
        <v>2019</v>
      </c>
      <c r="C2250" s="2" t="str">
        <f t="shared" si="71"/>
        <v>EC101</v>
      </c>
      <c r="D2250" s="2">
        <v>632</v>
      </c>
      <c r="F2250" s="1764"/>
      <c r="G2250" s="1764"/>
      <c r="H2250" s="1764"/>
      <c r="I2250" s="1764"/>
      <c r="J2250" s="1764"/>
      <c r="K2250" s="1764"/>
      <c r="L2250" s="1766"/>
      <c r="M2250" s="1766"/>
      <c r="N2250" s="1766"/>
      <c r="O2250" s="1766"/>
      <c r="P2250" s="1766"/>
      <c r="W2250" t="s">
        <v>2089</v>
      </c>
    </row>
    <row r="2251" spans="1:23" ht="13.15" customHeight="1" x14ac:dyDescent="0.2">
      <c r="A2251" s="2" t="s">
        <v>2242</v>
      </c>
      <c r="B2251" s="2">
        <f t="shared" si="70"/>
        <v>2019</v>
      </c>
      <c r="C2251" s="2" t="str">
        <f t="shared" si="71"/>
        <v>EC101</v>
      </c>
      <c r="D2251" s="2">
        <v>633</v>
      </c>
      <c r="F2251" s="1764"/>
      <c r="G2251" s="1764"/>
      <c r="H2251" s="1764"/>
      <c r="I2251" s="1764"/>
      <c r="J2251" s="1764"/>
      <c r="K2251" s="1764"/>
      <c r="L2251" s="1766"/>
      <c r="M2251" s="1766"/>
      <c r="N2251" s="1766"/>
      <c r="O2251" s="1766"/>
      <c r="P2251" s="1766"/>
      <c r="W2251" t="s">
        <v>2089</v>
      </c>
    </row>
    <row r="2252" spans="1:23" ht="13.15" customHeight="1" x14ac:dyDescent="0.2">
      <c r="A2252" s="2" t="s">
        <v>2242</v>
      </c>
      <c r="B2252" s="2">
        <f t="shared" si="70"/>
        <v>2019</v>
      </c>
      <c r="C2252" s="2" t="str">
        <f t="shared" si="71"/>
        <v>EC101</v>
      </c>
      <c r="D2252" s="2">
        <v>634</v>
      </c>
      <c r="F2252" s="1764"/>
      <c r="G2252" s="1764"/>
      <c r="H2252" s="1764"/>
      <c r="I2252" s="1764"/>
      <c r="J2252" s="1764"/>
      <c r="K2252" s="1764"/>
      <c r="L2252" s="1766"/>
      <c r="M2252" s="1766"/>
      <c r="N2252" s="1766"/>
      <c r="O2252" s="1766"/>
      <c r="P2252" s="1766"/>
      <c r="W2252" t="s">
        <v>2089</v>
      </c>
    </row>
    <row r="2253" spans="1:23" ht="13.15" customHeight="1" x14ac:dyDescent="0.2">
      <c r="A2253" s="2" t="s">
        <v>2242</v>
      </c>
      <c r="B2253" s="2">
        <f t="shared" si="70"/>
        <v>2019</v>
      </c>
      <c r="C2253" s="2" t="str">
        <f t="shared" si="71"/>
        <v>EC101</v>
      </c>
      <c r="D2253" s="2">
        <v>635</v>
      </c>
      <c r="F2253" s="1764"/>
      <c r="G2253" s="1764"/>
      <c r="H2253" s="1764"/>
      <c r="I2253" s="1764"/>
      <c r="J2253" s="1764"/>
      <c r="K2253" s="1764"/>
      <c r="L2253" s="1766"/>
      <c r="M2253" s="1766"/>
      <c r="N2253" s="1766"/>
      <c r="O2253" s="1766"/>
      <c r="P2253" s="1766"/>
      <c r="W2253" t="s">
        <v>2089</v>
      </c>
    </row>
    <row r="2254" spans="1:23" ht="13.15" customHeight="1" x14ac:dyDescent="0.2">
      <c r="A2254" s="2" t="s">
        <v>2242</v>
      </c>
      <c r="B2254" s="2">
        <f t="shared" si="70"/>
        <v>2019</v>
      </c>
      <c r="C2254" s="2" t="str">
        <f t="shared" si="71"/>
        <v>EC101</v>
      </c>
      <c r="D2254" s="2">
        <v>636</v>
      </c>
      <c r="F2254" s="1764"/>
      <c r="G2254" s="1764"/>
      <c r="H2254" s="1764"/>
      <c r="I2254" s="1764"/>
      <c r="J2254" s="1764"/>
      <c r="K2254" s="1764"/>
      <c r="L2254" s="1766"/>
      <c r="M2254" s="1766"/>
      <c r="N2254" s="1766"/>
      <c r="O2254" s="1766"/>
      <c r="P2254" s="1766"/>
      <c r="W2254" t="s">
        <v>2089</v>
      </c>
    </row>
    <row r="2255" spans="1:23" ht="13.15" customHeight="1" x14ac:dyDescent="0.2">
      <c r="A2255" s="2" t="s">
        <v>2242</v>
      </c>
      <c r="B2255" s="2">
        <f t="shared" si="70"/>
        <v>2019</v>
      </c>
      <c r="C2255" s="2" t="str">
        <f t="shared" si="71"/>
        <v>EC101</v>
      </c>
      <c r="D2255" s="2">
        <v>637</v>
      </c>
      <c r="F2255" s="1764"/>
      <c r="G2255" s="1764"/>
      <c r="H2255" s="1764"/>
      <c r="I2255" s="1764"/>
      <c r="J2255" s="1764"/>
      <c r="K2255" s="1764"/>
      <c r="L2255" s="1766"/>
      <c r="M2255" s="1766"/>
      <c r="N2255" s="1766"/>
      <c r="O2255" s="1766"/>
      <c r="P2255" s="1766"/>
      <c r="W2255" t="s">
        <v>2089</v>
      </c>
    </row>
    <row r="2256" spans="1:23" ht="13.15" customHeight="1" x14ac:dyDescent="0.2">
      <c r="A2256" s="2" t="s">
        <v>2242</v>
      </c>
      <c r="B2256" s="2">
        <f t="shared" si="70"/>
        <v>2019</v>
      </c>
      <c r="C2256" s="2" t="str">
        <f t="shared" si="71"/>
        <v>EC101</v>
      </c>
      <c r="D2256" s="2">
        <v>638</v>
      </c>
      <c r="F2256" s="1764"/>
      <c r="G2256" s="1764"/>
      <c r="H2256" s="1764"/>
      <c r="I2256" s="1764"/>
      <c r="J2256" s="1764"/>
      <c r="K2256" s="1764"/>
      <c r="L2256" s="1766"/>
      <c r="M2256" s="1766"/>
      <c r="N2256" s="1766"/>
      <c r="O2256" s="1766"/>
      <c r="P2256" s="1766"/>
      <c r="W2256" t="s">
        <v>2089</v>
      </c>
    </row>
    <row r="2257" spans="1:23" ht="13.15" customHeight="1" x14ac:dyDescent="0.2">
      <c r="A2257" s="2" t="s">
        <v>2242</v>
      </c>
      <c r="B2257" s="2">
        <f t="shared" si="70"/>
        <v>2019</v>
      </c>
      <c r="C2257" s="2" t="str">
        <f t="shared" si="71"/>
        <v>EC101</v>
      </c>
      <c r="D2257" s="2">
        <v>639</v>
      </c>
      <c r="F2257" s="1764"/>
      <c r="G2257" s="1764"/>
      <c r="H2257" s="1764"/>
      <c r="I2257" s="1764"/>
      <c r="J2257" s="1764"/>
      <c r="K2257" s="1764"/>
      <c r="L2257" s="1766"/>
      <c r="M2257" s="1766"/>
      <c r="N2257" s="1766"/>
      <c r="O2257" s="1766"/>
      <c r="P2257" s="1766"/>
      <c r="W2257" t="s">
        <v>2089</v>
      </c>
    </row>
    <row r="2258" spans="1:23" ht="13.15" customHeight="1" x14ac:dyDescent="0.2">
      <c r="A2258" s="2" t="s">
        <v>2242</v>
      </c>
      <c r="B2258" s="2">
        <f t="shared" si="70"/>
        <v>2019</v>
      </c>
      <c r="C2258" s="2" t="str">
        <f t="shared" si="71"/>
        <v>EC101</v>
      </c>
      <c r="D2258" s="2">
        <v>640</v>
      </c>
      <c r="F2258" s="1764"/>
      <c r="G2258" s="1764"/>
      <c r="H2258" s="1764"/>
      <c r="I2258" s="1764"/>
      <c r="J2258" s="1764"/>
      <c r="K2258" s="1764"/>
      <c r="L2258" s="1766"/>
      <c r="M2258" s="1766"/>
      <c r="N2258" s="1766"/>
      <c r="O2258" s="1766"/>
      <c r="P2258" s="1766"/>
      <c r="W2258" t="s">
        <v>2089</v>
      </c>
    </row>
    <row r="2259" spans="1:23" ht="13.15" customHeight="1" x14ac:dyDescent="0.2">
      <c r="A2259" s="2" t="s">
        <v>2242</v>
      </c>
      <c r="B2259" s="2">
        <f t="shared" si="70"/>
        <v>2019</v>
      </c>
      <c r="C2259" s="2" t="str">
        <f t="shared" si="71"/>
        <v>EC101</v>
      </c>
      <c r="D2259" s="2">
        <v>641</v>
      </c>
      <c r="F2259" s="1764"/>
      <c r="G2259" s="1764"/>
      <c r="H2259" s="1764"/>
      <c r="I2259" s="1764"/>
      <c r="J2259" s="1764"/>
      <c r="K2259" s="1764"/>
      <c r="L2259" s="1766"/>
      <c r="M2259" s="1766"/>
      <c r="N2259" s="1766"/>
      <c r="O2259" s="1766"/>
      <c r="P2259" s="1766"/>
      <c r="W2259" t="s">
        <v>2089</v>
      </c>
    </row>
    <row r="2260" spans="1:23" ht="13.15" customHeight="1" x14ac:dyDescent="0.2">
      <c r="A2260" s="2" t="s">
        <v>2242</v>
      </c>
      <c r="B2260" s="2">
        <f t="shared" si="70"/>
        <v>2019</v>
      </c>
      <c r="C2260" s="2" t="str">
        <f t="shared" si="71"/>
        <v>EC101</v>
      </c>
      <c r="D2260" s="2">
        <v>642</v>
      </c>
      <c r="F2260" s="1764"/>
      <c r="G2260" s="1764"/>
      <c r="H2260" s="1764"/>
      <c r="I2260" s="1764"/>
      <c r="J2260" s="1764"/>
      <c r="K2260" s="1764"/>
      <c r="L2260" s="1766"/>
      <c r="M2260" s="1766"/>
      <c r="N2260" s="1766"/>
      <c r="O2260" s="1766"/>
      <c r="P2260" s="1766"/>
      <c r="W2260" t="s">
        <v>2089</v>
      </c>
    </row>
    <row r="2261" spans="1:23" ht="13.15" customHeight="1" x14ac:dyDescent="0.2">
      <c r="A2261" s="2" t="s">
        <v>2242</v>
      </c>
      <c r="B2261" s="2">
        <f t="shared" si="70"/>
        <v>2019</v>
      </c>
      <c r="C2261" s="2" t="str">
        <f t="shared" si="71"/>
        <v>EC101</v>
      </c>
      <c r="D2261" s="2">
        <v>643</v>
      </c>
      <c r="F2261" s="1764"/>
      <c r="G2261" s="1764"/>
      <c r="H2261" s="1764"/>
      <c r="I2261" s="1764"/>
      <c r="J2261" s="1764"/>
      <c r="K2261" s="1764"/>
      <c r="L2261" s="1766"/>
      <c r="M2261" s="1766"/>
      <c r="N2261" s="1766"/>
      <c r="O2261" s="1766"/>
      <c r="P2261" s="1766"/>
      <c r="W2261" t="s">
        <v>2089</v>
      </c>
    </row>
    <row r="2262" spans="1:23" ht="13.15" customHeight="1" x14ac:dyDescent="0.2">
      <c r="A2262" s="2" t="s">
        <v>2242</v>
      </c>
      <c r="B2262" s="2">
        <f t="shared" si="70"/>
        <v>2019</v>
      </c>
      <c r="C2262" s="2" t="str">
        <f t="shared" si="71"/>
        <v>EC101</v>
      </c>
      <c r="D2262" s="2">
        <v>644</v>
      </c>
      <c r="F2262" s="1764"/>
      <c r="G2262" s="1764"/>
      <c r="H2262" s="1764"/>
      <c r="I2262" s="1764"/>
      <c r="J2262" s="1764"/>
      <c r="K2262" s="1764"/>
      <c r="L2262" s="1766"/>
      <c r="M2262" s="1766"/>
      <c r="N2262" s="1766"/>
      <c r="O2262" s="1766"/>
      <c r="P2262" s="1766"/>
      <c r="W2262" t="s">
        <v>2089</v>
      </c>
    </row>
    <row r="2263" spans="1:23" ht="13.15" customHeight="1" x14ac:dyDescent="0.2">
      <c r="A2263" s="2" t="s">
        <v>2242</v>
      </c>
      <c r="B2263" s="2">
        <f t="shared" si="70"/>
        <v>2019</v>
      </c>
      <c r="C2263" s="2" t="str">
        <f t="shared" si="71"/>
        <v>EC101</v>
      </c>
      <c r="D2263" s="2">
        <v>645</v>
      </c>
      <c r="F2263" s="1764"/>
      <c r="G2263" s="1764"/>
      <c r="H2263" s="1764"/>
      <c r="I2263" s="1764"/>
      <c r="J2263" s="1764"/>
      <c r="K2263" s="1764"/>
      <c r="L2263" s="1766"/>
      <c r="M2263" s="1766"/>
      <c r="N2263" s="1766"/>
      <c r="O2263" s="1766"/>
      <c r="P2263" s="1766"/>
      <c r="W2263" t="s">
        <v>2089</v>
      </c>
    </row>
    <row r="2264" spans="1:23" ht="13.15" customHeight="1" x14ac:dyDescent="0.2">
      <c r="A2264" s="2" t="s">
        <v>2242</v>
      </c>
      <c r="B2264" s="2">
        <f t="shared" si="70"/>
        <v>2019</v>
      </c>
      <c r="C2264" s="2" t="str">
        <f t="shared" si="71"/>
        <v>EC101</v>
      </c>
      <c r="D2264" s="2">
        <v>646</v>
      </c>
      <c r="F2264" s="1764"/>
      <c r="G2264" s="1764"/>
      <c r="H2264" s="1764"/>
      <c r="I2264" s="1764"/>
      <c r="J2264" s="1764"/>
      <c r="K2264" s="1764"/>
      <c r="L2264" s="1766"/>
      <c r="M2264" s="1766"/>
      <c r="N2264" s="1766"/>
      <c r="O2264" s="1766"/>
      <c r="P2264" s="1766"/>
      <c r="W2264" t="s">
        <v>2089</v>
      </c>
    </row>
    <row r="2265" spans="1:23" ht="13.15" customHeight="1" x14ac:dyDescent="0.2">
      <c r="A2265" s="2" t="s">
        <v>2242</v>
      </c>
      <c r="B2265" s="2">
        <f t="shared" si="70"/>
        <v>2019</v>
      </c>
      <c r="C2265" s="2" t="str">
        <f t="shared" si="71"/>
        <v>EC101</v>
      </c>
      <c r="D2265" s="2">
        <v>647</v>
      </c>
      <c r="F2265" s="1764"/>
      <c r="G2265" s="1764"/>
      <c r="H2265" s="1764"/>
      <c r="I2265" s="1764"/>
      <c r="J2265" s="1764"/>
      <c r="K2265" s="1764"/>
      <c r="L2265" s="1766"/>
      <c r="M2265" s="1766"/>
      <c r="N2265" s="1766"/>
      <c r="O2265" s="1766"/>
      <c r="P2265" s="1766"/>
      <c r="W2265" t="s">
        <v>2089</v>
      </c>
    </row>
    <row r="2266" spans="1:23" ht="13.15" customHeight="1" x14ac:dyDescent="0.2">
      <c r="A2266" s="2" t="s">
        <v>2242</v>
      </c>
      <c r="B2266" s="2">
        <f t="shared" si="70"/>
        <v>2019</v>
      </c>
      <c r="C2266" s="2" t="str">
        <f t="shared" si="71"/>
        <v>EC101</v>
      </c>
      <c r="D2266" s="2">
        <v>648</v>
      </c>
      <c r="F2266" s="1764"/>
      <c r="G2266" s="1764"/>
      <c r="H2266" s="1764"/>
      <c r="I2266" s="1764"/>
      <c r="J2266" s="1764"/>
      <c r="K2266" s="1764"/>
      <c r="L2266" s="1766"/>
      <c r="M2266" s="1766"/>
      <c r="N2266" s="1766"/>
      <c r="O2266" s="1766"/>
      <c r="P2266" s="1766"/>
      <c r="W2266" t="s">
        <v>2089</v>
      </c>
    </row>
    <row r="2267" spans="1:23" ht="13.15" customHeight="1" x14ac:dyDescent="0.2">
      <c r="A2267" s="2" t="s">
        <v>2242</v>
      </c>
      <c r="B2267" s="2">
        <f t="shared" si="70"/>
        <v>2019</v>
      </c>
      <c r="C2267" s="2" t="str">
        <f t="shared" si="71"/>
        <v>EC101</v>
      </c>
      <c r="D2267" s="2">
        <v>649</v>
      </c>
      <c r="F2267" s="1764"/>
      <c r="G2267" s="1764"/>
      <c r="H2267" s="1764"/>
      <c r="I2267" s="1764"/>
      <c r="J2267" s="1764"/>
      <c r="K2267" s="1764"/>
      <c r="L2267" s="1766"/>
      <c r="M2267" s="1766"/>
      <c r="N2267" s="1766"/>
      <c r="O2267" s="1766"/>
      <c r="P2267" s="1766"/>
      <c r="W2267" t="s">
        <v>2089</v>
      </c>
    </row>
    <row r="2268" spans="1:23" ht="13.15" customHeight="1" x14ac:dyDescent="0.2">
      <c r="A2268" s="2" t="s">
        <v>2242</v>
      </c>
      <c r="B2268" s="2">
        <f t="shared" si="70"/>
        <v>2019</v>
      </c>
      <c r="C2268" s="2" t="str">
        <f t="shared" si="71"/>
        <v>EC101</v>
      </c>
      <c r="D2268" s="2">
        <v>650</v>
      </c>
      <c r="F2268" s="1764"/>
      <c r="G2268" s="1764"/>
      <c r="H2268" s="1764"/>
      <c r="I2268" s="1764"/>
      <c r="J2268" s="1764"/>
      <c r="K2268" s="1764"/>
      <c r="L2268" s="1766"/>
      <c r="M2268" s="1766"/>
      <c r="N2268" s="1766"/>
      <c r="O2268" s="1766"/>
      <c r="P2268" s="1766"/>
      <c r="W2268" t="s">
        <v>2089</v>
      </c>
    </row>
    <row r="2269" spans="1:23" ht="13.15" customHeight="1" x14ac:dyDescent="0.2">
      <c r="A2269" s="2" t="s">
        <v>2242</v>
      </c>
      <c r="B2269" s="2">
        <f t="shared" si="70"/>
        <v>2019</v>
      </c>
      <c r="C2269" s="2" t="str">
        <f t="shared" si="71"/>
        <v>EC101</v>
      </c>
      <c r="D2269" s="2">
        <v>651</v>
      </c>
      <c r="F2269" s="1764"/>
      <c r="G2269" s="1764"/>
      <c r="H2269" s="1764"/>
      <c r="I2269" s="1764"/>
      <c r="J2269" s="1764"/>
      <c r="K2269" s="1764"/>
      <c r="L2269" s="1766"/>
      <c r="M2269" s="1766"/>
      <c r="N2269" s="1766"/>
      <c r="O2269" s="1766"/>
      <c r="P2269" s="1766"/>
      <c r="W2269" t="s">
        <v>2089</v>
      </c>
    </row>
    <row r="2270" spans="1:23" ht="13.15" customHeight="1" x14ac:dyDescent="0.2">
      <c r="A2270" s="2" t="s">
        <v>2242</v>
      </c>
      <c r="B2270" s="2">
        <f t="shared" si="70"/>
        <v>2019</v>
      </c>
      <c r="C2270" s="2" t="str">
        <f t="shared" si="71"/>
        <v>EC101</v>
      </c>
      <c r="D2270" s="2">
        <v>652</v>
      </c>
      <c r="F2270" s="1764"/>
      <c r="G2270" s="1764"/>
      <c r="H2270" s="1764"/>
      <c r="I2270" s="1764"/>
      <c r="J2270" s="1764"/>
      <c r="K2270" s="1764"/>
      <c r="L2270" s="1766"/>
      <c r="M2270" s="1766"/>
      <c r="N2270" s="1766"/>
      <c r="O2270" s="1766"/>
      <c r="P2270" s="1766"/>
      <c r="W2270" t="s">
        <v>2089</v>
      </c>
    </row>
    <row r="2271" spans="1:23" ht="13.15" customHeight="1" x14ac:dyDescent="0.2">
      <c r="A2271" s="2" t="s">
        <v>2242</v>
      </c>
      <c r="B2271" s="2">
        <f t="shared" si="70"/>
        <v>2019</v>
      </c>
      <c r="C2271" s="2" t="str">
        <f t="shared" si="71"/>
        <v>EC101</v>
      </c>
      <c r="D2271" s="2">
        <v>653</v>
      </c>
      <c r="F2271" s="1764"/>
      <c r="G2271" s="1764"/>
      <c r="H2271" s="1764"/>
      <c r="I2271" s="1764"/>
      <c r="J2271" s="1764"/>
      <c r="K2271" s="1764"/>
      <c r="L2271" s="1766"/>
      <c r="M2271" s="1766"/>
      <c r="N2271" s="1766"/>
      <c r="O2271" s="1766"/>
      <c r="P2271" s="1766"/>
      <c r="W2271" t="s">
        <v>2089</v>
      </c>
    </row>
    <row r="2272" spans="1:23" ht="13.15" customHeight="1" x14ac:dyDescent="0.2">
      <c r="A2272" s="2" t="s">
        <v>2242</v>
      </c>
      <c r="B2272" s="2">
        <f t="shared" si="70"/>
        <v>2019</v>
      </c>
      <c r="C2272" s="2" t="str">
        <f t="shared" si="71"/>
        <v>EC101</v>
      </c>
      <c r="D2272" s="2">
        <v>654</v>
      </c>
      <c r="F2272" s="1764"/>
      <c r="G2272" s="1764"/>
      <c r="H2272" s="1764"/>
      <c r="I2272" s="1764"/>
      <c r="J2272" s="1764"/>
      <c r="K2272" s="1764"/>
      <c r="L2272" s="1766"/>
      <c r="M2272" s="1766"/>
      <c r="N2272" s="1766"/>
      <c r="O2272" s="1766"/>
      <c r="P2272" s="1766"/>
      <c r="W2272" t="s">
        <v>2089</v>
      </c>
    </row>
    <row r="2273" spans="1:23" ht="13.15" customHeight="1" x14ac:dyDescent="0.2">
      <c r="A2273" s="2" t="s">
        <v>2242</v>
      </c>
      <c r="B2273" s="2">
        <f t="shared" si="70"/>
        <v>2019</v>
      </c>
      <c r="C2273" s="2" t="str">
        <f t="shared" si="71"/>
        <v>EC101</v>
      </c>
      <c r="D2273" s="2">
        <v>655</v>
      </c>
      <c r="F2273" s="1764"/>
      <c r="G2273" s="1764"/>
      <c r="H2273" s="1764"/>
      <c r="I2273" s="1764"/>
      <c r="J2273" s="1764"/>
      <c r="K2273" s="1764"/>
      <c r="L2273" s="1766"/>
      <c r="M2273" s="1766"/>
      <c r="N2273" s="1766"/>
      <c r="O2273" s="1766"/>
      <c r="P2273" s="1766"/>
      <c r="W2273" t="s">
        <v>2089</v>
      </c>
    </row>
    <row r="2274" spans="1:23" ht="13.15" customHeight="1" x14ac:dyDescent="0.2">
      <c r="A2274" s="2" t="s">
        <v>2242</v>
      </c>
      <c r="B2274" s="2">
        <f t="shared" si="70"/>
        <v>2019</v>
      </c>
      <c r="C2274" s="2" t="str">
        <f t="shared" si="71"/>
        <v>EC101</v>
      </c>
      <c r="D2274" s="2">
        <v>656</v>
      </c>
      <c r="F2274" s="1764"/>
      <c r="G2274" s="1764"/>
      <c r="H2274" s="1764"/>
      <c r="I2274" s="1764"/>
      <c r="J2274" s="1764"/>
      <c r="K2274" s="1764"/>
      <c r="L2274" s="1766"/>
      <c r="M2274" s="1766"/>
      <c r="N2274" s="1766"/>
      <c r="O2274" s="1766"/>
      <c r="P2274" s="1766"/>
      <c r="W2274" t="s">
        <v>2089</v>
      </c>
    </row>
    <row r="2275" spans="1:23" ht="13.15" customHeight="1" x14ac:dyDescent="0.2">
      <c r="A2275" s="2" t="s">
        <v>2242</v>
      </c>
      <c r="B2275" s="2">
        <f t="shared" si="70"/>
        <v>2019</v>
      </c>
      <c r="C2275" s="2" t="str">
        <f t="shared" si="71"/>
        <v>EC101</v>
      </c>
      <c r="D2275" s="2">
        <v>657</v>
      </c>
      <c r="F2275" s="1764"/>
      <c r="G2275" s="1764"/>
      <c r="H2275" s="1764"/>
      <c r="I2275" s="1764"/>
      <c r="J2275" s="1764"/>
      <c r="K2275" s="1764"/>
      <c r="L2275" s="1766"/>
      <c r="M2275" s="1766"/>
      <c r="N2275" s="1766"/>
      <c r="O2275" s="1766"/>
      <c r="P2275" s="1766"/>
      <c r="W2275" t="s">
        <v>2089</v>
      </c>
    </row>
    <row r="2276" spans="1:23" ht="13.15" customHeight="1" x14ac:dyDescent="0.2">
      <c r="A2276" s="2" t="s">
        <v>2242</v>
      </c>
      <c r="B2276" s="2">
        <f t="shared" si="70"/>
        <v>2019</v>
      </c>
      <c r="C2276" s="2" t="str">
        <f t="shared" si="71"/>
        <v>EC101</v>
      </c>
      <c r="D2276" s="2">
        <v>658</v>
      </c>
      <c r="F2276" s="1764"/>
      <c r="G2276" s="1764"/>
      <c r="H2276" s="1764"/>
      <c r="I2276" s="1764"/>
      <c r="J2276" s="1764"/>
      <c r="K2276" s="1764"/>
      <c r="L2276" s="1766"/>
      <c r="M2276" s="1766"/>
      <c r="N2276" s="1766"/>
      <c r="O2276" s="1766"/>
      <c r="P2276" s="1766"/>
      <c r="W2276" t="s">
        <v>2089</v>
      </c>
    </row>
    <row r="2277" spans="1:23" ht="13.15" customHeight="1" x14ac:dyDescent="0.2">
      <c r="A2277" s="2" t="s">
        <v>2242</v>
      </c>
      <c r="B2277" s="2">
        <f t="shared" si="70"/>
        <v>2019</v>
      </c>
      <c r="C2277" s="2" t="str">
        <f t="shared" si="71"/>
        <v>EC101</v>
      </c>
      <c r="D2277" s="2">
        <v>659</v>
      </c>
      <c r="F2277" s="1764"/>
      <c r="G2277" s="1764"/>
      <c r="H2277" s="1764"/>
      <c r="I2277" s="1764"/>
      <c r="J2277" s="1764"/>
      <c r="K2277" s="1764"/>
      <c r="L2277" s="1766"/>
      <c r="M2277" s="1766"/>
      <c r="N2277" s="1766"/>
      <c r="O2277" s="1766"/>
      <c r="P2277" s="1766"/>
      <c r="W2277" t="s">
        <v>2089</v>
      </c>
    </row>
    <row r="2278" spans="1:23" ht="13.15" customHeight="1" x14ac:dyDescent="0.2">
      <c r="A2278" s="2" t="s">
        <v>2242</v>
      </c>
      <c r="B2278" s="2">
        <f t="shared" si="70"/>
        <v>2019</v>
      </c>
      <c r="C2278" s="2" t="str">
        <f t="shared" si="71"/>
        <v>EC101</v>
      </c>
      <c r="D2278" s="2">
        <v>660</v>
      </c>
      <c r="F2278" s="1764"/>
      <c r="G2278" s="1764"/>
      <c r="H2278" s="1764"/>
      <c r="I2278" s="1764"/>
      <c r="J2278" s="1764"/>
      <c r="K2278" s="1764"/>
      <c r="L2278" s="1766"/>
      <c r="M2278" s="1766"/>
      <c r="N2278" s="1766"/>
      <c r="O2278" s="1766"/>
      <c r="P2278" s="1766"/>
      <c r="W2278" t="s">
        <v>2089</v>
      </c>
    </row>
    <row r="2279" spans="1:23" ht="13.15" customHeight="1" x14ac:dyDescent="0.2">
      <c r="A2279" s="2" t="s">
        <v>2242</v>
      </c>
      <c r="B2279" s="2">
        <f t="shared" si="70"/>
        <v>2019</v>
      </c>
      <c r="C2279" s="2" t="str">
        <f t="shared" si="71"/>
        <v>EC101</v>
      </c>
      <c r="D2279" s="2">
        <v>661</v>
      </c>
      <c r="F2279" s="1764"/>
      <c r="G2279" s="1764"/>
      <c r="H2279" s="1764"/>
      <c r="I2279" s="1764"/>
      <c r="J2279" s="1764"/>
      <c r="K2279" s="1764"/>
      <c r="L2279" s="1766"/>
      <c r="M2279" s="1766"/>
      <c r="N2279" s="1766"/>
      <c r="O2279" s="1766"/>
      <c r="P2279" s="1766"/>
      <c r="W2279" t="s">
        <v>2089</v>
      </c>
    </row>
    <row r="2280" spans="1:23" ht="13.15" customHeight="1" x14ac:dyDescent="0.2">
      <c r="A2280" s="2" t="s">
        <v>2242</v>
      </c>
      <c r="B2280" s="2">
        <f t="shared" si="70"/>
        <v>2019</v>
      </c>
      <c r="C2280" s="2" t="str">
        <f t="shared" si="71"/>
        <v>EC101</v>
      </c>
      <c r="D2280" s="2">
        <v>662</v>
      </c>
      <c r="F2280" s="1764"/>
      <c r="G2280" s="1764"/>
      <c r="H2280" s="1764"/>
      <c r="I2280" s="1764"/>
      <c r="J2280" s="1764"/>
      <c r="K2280" s="1764"/>
      <c r="L2280" s="1766"/>
      <c r="M2280" s="1766"/>
      <c r="N2280" s="1766"/>
      <c r="O2280" s="1766"/>
      <c r="P2280" s="1766"/>
      <c r="W2280" t="s">
        <v>2089</v>
      </c>
    </row>
    <row r="2281" spans="1:23" ht="13.15" customHeight="1" x14ac:dyDescent="0.2">
      <c r="A2281" s="2" t="s">
        <v>2242</v>
      </c>
      <c r="B2281" s="2">
        <f t="shared" si="70"/>
        <v>2019</v>
      </c>
      <c r="C2281" s="2" t="str">
        <f t="shared" si="71"/>
        <v>EC101</v>
      </c>
      <c r="D2281" s="2">
        <v>663</v>
      </c>
      <c r="F2281" s="1764"/>
      <c r="G2281" s="1764"/>
      <c r="H2281" s="1764"/>
      <c r="I2281" s="1764"/>
      <c r="J2281" s="1764"/>
      <c r="K2281" s="1764"/>
      <c r="L2281" s="1766"/>
      <c r="M2281" s="1766"/>
      <c r="N2281" s="1766"/>
      <c r="O2281" s="1766"/>
      <c r="P2281" s="1766"/>
      <c r="W2281" t="s">
        <v>2089</v>
      </c>
    </row>
    <row r="2282" spans="1:23" ht="13.15" customHeight="1" x14ac:dyDescent="0.2">
      <c r="A2282" s="2" t="s">
        <v>2242</v>
      </c>
      <c r="B2282" s="2">
        <f t="shared" si="70"/>
        <v>2019</v>
      </c>
      <c r="C2282" s="2" t="str">
        <f t="shared" si="71"/>
        <v>EC101</v>
      </c>
      <c r="D2282" s="2">
        <v>664</v>
      </c>
      <c r="F2282" s="1764"/>
      <c r="G2282" s="1764"/>
      <c r="H2282" s="1764"/>
      <c r="I2282" s="1764"/>
      <c r="J2282" s="1764"/>
      <c r="K2282" s="1764"/>
      <c r="L2282" s="1766"/>
      <c r="M2282" s="1766"/>
      <c r="N2282" s="1766"/>
      <c r="O2282" s="1766"/>
      <c r="P2282" s="1766"/>
      <c r="W2282" t="s">
        <v>2089</v>
      </c>
    </row>
    <row r="2283" spans="1:23" ht="13.15" customHeight="1" x14ac:dyDescent="0.2">
      <c r="A2283" s="2" t="s">
        <v>2242</v>
      </c>
      <c r="B2283" s="2">
        <f t="shared" si="70"/>
        <v>2019</v>
      </c>
      <c r="C2283" s="2" t="str">
        <f t="shared" si="71"/>
        <v>EC101</v>
      </c>
      <c r="D2283" s="2">
        <v>665</v>
      </c>
      <c r="F2283" s="1764"/>
      <c r="G2283" s="1764"/>
      <c r="H2283" s="1764"/>
      <c r="I2283" s="1764"/>
      <c r="J2283" s="1764"/>
      <c r="K2283" s="1764"/>
      <c r="L2283" s="1766"/>
      <c r="M2283" s="1766"/>
      <c r="N2283" s="1766"/>
      <c r="O2283" s="1766"/>
      <c r="P2283" s="1766"/>
      <c r="W2283" t="s">
        <v>2089</v>
      </c>
    </row>
    <row r="2284" spans="1:23" ht="13.15" customHeight="1" x14ac:dyDescent="0.2">
      <c r="A2284" s="2" t="s">
        <v>2242</v>
      </c>
      <c r="B2284" s="2">
        <f t="shared" si="70"/>
        <v>2019</v>
      </c>
      <c r="C2284" s="2" t="str">
        <f t="shared" si="71"/>
        <v>EC101</v>
      </c>
      <c r="D2284" s="2">
        <v>666</v>
      </c>
      <c r="F2284" s="1764"/>
      <c r="G2284" s="1764"/>
      <c r="H2284" s="1764"/>
      <c r="I2284" s="1764"/>
      <c r="J2284" s="1764"/>
      <c r="K2284" s="1764"/>
      <c r="L2284" s="1766"/>
      <c r="M2284" s="1766"/>
      <c r="N2284" s="1766"/>
      <c r="O2284" s="1766"/>
      <c r="P2284" s="1766"/>
      <c r="W2284" t="s">
        <v>2089</v>
      </c>
    </row>
    <row r="2285" spans="1:23" ht="13.15" customHeight="1" x14ac:dyDescent="0.2">
      <c r="A2285" s="2" t="s">
        <v>2242</v>
      </c>
      <c r="B2285" s="2">
        <f t="shared" si="70"/>
        <v>2019</v>
      </c>
      <c r="C2285" s="2" t="str">
        <f t="shared" si="71"/>
        <v>EC101</v>
      </c>
      <c r="D2285" s="2">
        <v>667</v>
      </c>
      <c r="F2285" s="1764"/>
      <c r="G2285" s="1764"/>
      <c r="H2285" s="1764"/>
      <c r="I2285" s="1764"/>
      <c r="J2285" s="1764"/>
      <c r="K2285" s="1764"/>
      <c r="L2285" s="1766"/>
      <c r="M2285" s="1766"/>
      <c r="N2285" s="1766"/>
      <c r="O2285" s="1766"/>
      <c r="P2285" s="1766"/>
      <c r="W2285" t="s">
        <v>2089</v>
      </c>
    </row>
    <row r="2286" spans="1:23" ht="13.15" customHeight="1" x14ac:dyDescent="0.2">
      <c r="A2286" s="2" t="s">
        <v>2242</v>
      </c>
      <c r="B2286" s="2">
        <f t="shared" si="70"/>
        <v>2019</v>
      </c>
      <c r="C2286" s="2" t="str">
        <f t="shared" si="71"/>
        <v>EC101</v>
      </c>
      <c r="D2286" s="2">
        <v>668</v>
      </c>
      <c r="F2286" s="1764"/>
      <c r="G2286" s="1764"/>
      <c r="H2286" s="1764"/>
      <c r="I2286" s="1764"/>
      <c r="J2286" s="1764"/>
      <c r="K2286" s="1764"/>
      <c r="L2286" s="1766"/>
      <c r="M2286" s="1766"/>
      <c r="N2286" s="1766"/>
      <c r="O2286" s="1766"/>
      <c r="P2286" s="1766"/>
      <c r="W2286" t="s">
        <v>2089</v>
      </c>
    </row>
    <row r="2287" spans="1:23" ht="13.15" customHeight="1" x14ac:dyDescent="0.2">
      <c r="A2287" s="2" t="s">
        <v>2242</v>
      </c>
      <c r="B2287" s="2">
        <f t="shared" si="70"/>
        <v>2019</v>
      </c>
      <c r="C2287" s="2" t="str">
        <f t="shared" si="71"/>
        <v>EC101</v>
      </c>
      <c r="D2287" s="2">
        <v>669</v>
      </c>
      <c r="F2287" s="1764"/>
      <c r="G2287" s="1764"/>
      <c r="H2287" s="1764"/>
      <c r="I2287" s="1764"/>
      <c r="J2287" s="1764"/>
      <c r="K2287" s="1764"/>
      <c r="L2287" s="1766"/>
      <c r="M2287" s="1766"/>
      <c r="N2287" s="1766"/>
      <c r="O2287" s="1766"/>
      <c r="P2287" s="1766"/>
      <c r="W2287" t="s">
        <v>2089</v>
      </c>
    </row>
    <row r="2288" spans="1:23" ht="13.15" customHeight="1" x14ac:dyDescent="0.2">
      <c r="A2288" s="2" t="s">
        <v>2242</v>
      </c>
      <c r="B2288" s="2">
        <f t="shared" si="70"/>
        <v>2019</v>
      </c>
      <c r="C2288" s="2" t="str">
        <f t="shared" si="71"/>
        <v>EC101</v>
      </c>
      <c r="D2288" s="2">
        <v>670</v>
      </c>
      <c r="F2288" s="1764"/>
      <c r="G2288" s="1764"/>
      <c r="H2288" s="1764"/>
      <c r="I2288" s="1764"/>
      <c r="J2288" s="1764"/>
      <c r="K2288" s="1764"/>
      <c r="L2288" s="1766"/>
      <c r="M2288" s="1766"/>
      <c r="N2288" s="1766"/>
      <c r="O2288" s="1766"/>
      <c r="P2288" s="1766"/>
      <c r="W2288" t="s">
        <v>2089</v>
      </c>
    </row>
    <row r="2289" spans="1:23" ht="13.15" customHeight="1" x14ac:dyDescent="0.2">
      <c r="A2289" s="2" t="s">
        <v>2242</v>
      </c>
      <c r="B2289" s="2">
        <f t="shared" si="70"/>
        <v>2019</v>
      </c>
      <c r="C2289" s="2" t="str">
        <f t="shared" si="71"/>
        <v>EC101</v>
      </c>
      <c r="D2289" s="2">
        <v>671</v>
      </c>
      <c r="F2289" s="1764"/>
      <c r="G2289" s="1764"/>
      <c r="H2289" s="1764"/>
      <c r="I2289" s="1764"/>
      <c r="J2289" s="1764"/>
      <c r="K2289" s="1764"/>
      <c r="L2289" s="1766"/>
      <c r="M2289" s="1766"/>
      <c r="N2289" s="1766"/>
      <c r="O2289" s="1766"/>
      <c r="P2289" s="1766"/>
      <c r="W2289" t="s">
        <v>2089</v>
      </c>
    </row>
    <row r="2290" spans="1:23" ht="13.15" customHeight="1" x14ac:dyDescent="0.2">
      <c r="A2290" s="2" t="s">
        <v>2242</v>
      </c>
      <c r="B2290" s="2">
        <f t="shared" si="70"/>
        <v>2019</v>
      </c>
      <c r="C2290" s="2" t="str">
        <f t="shared" si="71"/>
        <v>EC101</v>
      </c>
      <c r="D2290" s="2">
        <v>672</v>
      </c>
      <c r="F2290" s="1764"/>
      <c r="G2290" s="1764"/>
      <c r="H2290" s="1764"/>
      <c r="I2290" s="1764"/>
      <c r="J2290" s="1764"/>
      <c r="K2290" s="1764"/>
      <c r="L2290" s="1766"/>
      <c r="M2290" s="1766"/>
      <c r="N2290" s="1766"/>
      <c r="O2290" s="1766"/>
      <c r="P2290" s="1766"/>
      <c r="W2290" t="s">
        <v>2089</v>
      </c>
    </row>
    <row r="2291" spans="1:23" ht="13.15" customHeight="1" x14ac:dyDescent="0.2">
      <c r="A2291" s="2" t="s">
        <v>2242</v>
      </c>
      <c r="B2291" s="2">
        <f t="shared" si="70"/>
        <v>2019</v>
      </c>
      <c r="C2291" s="2" t="str">
        <f t="shared" si="71"/>
        <v>EC101</v>
      </c>
      <c r="D2291" s="2">
        <v>673</v>
      </c>
      <c r="F2291" s="1764"/>
      <c r="G2291" s="1764"/>
      <c r="H2291" s="1764"/>
      <c r="I2291" s="1764"/>
      <c r="J2291" s="1764"/>
      <c r="K2291" s="1764"/>
      <c r="L2291" s="1766"/>
      <c r="M2291" s="1766"/>
      <c r="N2291" s="1766"/>
      <c r="O2291" s="1766"/>
      <c r="P2291" s="1766"/>
      <c r="W2291" t="s">
        <v>2089</v>
      </c>
    </row>
    <row r="2292" spans="1:23" ht="13.15" customHeight="1" x14ac:dyDescent="0.2">
      <c r="A2292" s="2" t="s">
        <v>2242</v>
      </c>
      <c r="B2292" s="2">
        <f t="shared" si="70"/>
        <v>2019</v>
      </c>
      <c r="C2292" s="2" t="str">
        <f t="shared" si="71"/>
        <v>EC101</v>
      </c>
      <c r="D2292" s="2">
        <v>674</v>
      </c>
      <c r="F2292" s="1764"/>
      <c r="G2292" s="1764"/>
      <c r="H2292" s="1764"/>
      <c r="I2292" s="1764"/>
      <c r="J2292" s="1764"/>
      <c r="K2292" s="1764"/>
      <c r="L2292" s="1766"/>
      <c r="M2292" s="1766"/>
      <c r="N2292" s="1766"/>
      <c r="O2292" s="1766"/>
      <c r="P2292" s="1766"/>
      <c r="W2292" t="s">
        <v>2089</v>
      </c>
    </row>
    <row r="2293" spans="1:23" ht="13.15" customHeight="1" x14ac:dyDescent="0.2">
      <c r="A2293" s="2" t="s">
        <v>2242</v>
      </c>
      <c r="B2293" s="2">
        <f t="shared" si="70"/>
        <v>2019</v>
      </c>
      <c r="C2293" s="2" t="str">
        <f t="shared" si="71"/>
        <v>EC101</v>
      </c>
      <c r="D2293" s="2">
        <v>675</v>
      </c>
      <c r="F2293" s="1764"/>
      <c r="G2293" s="1764"/>
      <c r="H2293" s="1764"/>
      <c r="I2293" s="1764"/>
      <c r="J2293" s="1764"/>
      <c r="K2293" s="1764"/>
      <c r="L2293" s="1766"/>
      <c r="M2293" s="1766"/>
      <c r="N2293" s="1766"/>
      <c r="O2293" s="1766"/>
      <c r="P2293" s="1766"/>
      <c r="W2293" t="s">
        <v>2089</v>
      </c>
    </row>
    <row r="2294" spans="1:23" ht="13.15" customHeight="1" x14ac:dyDescent="0.2">
      <c r="A2294" s="2" t="s">
        <v>2242</v>
      </c>
      <c r="B2294" s="2">
        <f t="shared" si="70"/>
        <v>2019</v>
      </c>
      <c r="C2294" s="2" t="str">
        <f t="shared" si="71"/>
        <v>EC101</v>
      </c>
      <c r="D2294" s="2">
        <v>676</v>
      </c>
      <c r="F2294" s="1764"/>
      <c r="G2294" s="1764"/>
      <c r="H2294" s="1764"/>
      <c r="I2294" s="1764"/>
      <c r="J2294" s="1764"/>
      <c r="K2294" s="1764"/>
      <c r="L2294" s="1766"/>
      <c r="M2294" s="1766"/>
      <c r="N2294" s="1766"/>
      <c r="O2294" s="1766"/>
      <c r="P2294" s="1766"/>
      <c r="W2294" t="s">
        <v>2089</v>
      </c>
    </row>
    <row r="2295" spans="1:23" ht="13.15" customHeight="1" x14ac:dyDescent="0.2">
      <c r="A2295" s="2" t="s">
        <v>2242</v>
      </c>
      <c r="B2295" s="2">
        <f t="shared" si="70"/>
        <v>2019</v>
      </c>
      <c r="C2295" s="2" t="str">
        <f t="shared" si="71"/>
        <v>EC101</v>
      </c>
      <c r="D2295" s="2">
        <v>677</v>
      </c>
      <c r="F2295" s="1764"/>
      <c r="G2295" s="1764"/>
      <c r="H2295" s="1764"/>
      <c r="I2295" s="1764"/>
      <c r="J2295" s="1764"/>
      <c r="K2295" s="1764"/>
      <c r="L2295" s="1766"/>
      <c r="M2295" s="1766"/>
      <c r="N2295" s="1766"/>
      <c r="O2295" s="1766"/>
      <c r="P2295" s="1766"/>
      <c r="W2295" t="s">
        <v>2089</v>
      </c>
    </row>
    <row r="2296" spans="1:23" ht="13.15" customHeight="1" x14ac:dyDescent="0.2">
      <c r="A2296" s="2" t="s">
        <v>2242</v>
      </c>
      <c r="B2296" s="2">
        <f t="shared" si="70"/>
        <v>2019</v>
      </c>
      <c r="C2296" s="2" t="str">
        <f t="shared" si="71"/>
        <v>EC101</v>
      </c>
      <c r="D2296" s="2">
        <v>678</v>
      </c>
      <c r="F2296" s="1764"/>
      <c r="G2296" s="1764"/>
      <c r="H2296" s="1764"/>
      <c r="I2296" s="1764"/>
      <c r="J2296" s="1764"/>
      <c r="K2296" s="1764"/>
      <c r="L2296" s="1766"/>
      <c r="M2296" s="1766"/>
      <c r="N2296" s="1766"/>
      <c r="O2296" s="1766"/>
      <c r="P2296" s="1766"/>
      <c r="W2296" t="s">
        <v>2089</v>
      </c>
    </row>
    <row r="2297" spans="1:23" ht="13.15" customHeight="1" x14ac:dyDescent="0.2">
      <c r="A2297" s="2" t="s">
        <v>2242</v>
      </c>
      <c r="B2297" s="2">
        <f t="shared" si="70"/>
        <v>2019</v>
      </c>
      <c r="C2297" s="2" t="str">
        <f t="shared" si="71"/>
        <v>EC101</v>
      </c>
      <c r="D2297" s="2">
        <v>679</v>
      </c>
      <c r="F2297" s="1764"/>
      <c r="G2297" s="1764"/>
      <c r="H2297" s="1764"/>
      <c r="I2297" s="1764"/>
      <c r="J2297" s="1764"/>
      <c r="K2297" s="1764"/>
      <c r="L2297" s="1766"/>
      <c r="M2297" s="1766"/>
      <c r="N2297" s="1766"/>
      <c r="O2297" s="1766"/>
      <c r="P2297" s="1766"/>
      <c r="W2297" t="s">
        <v>2089</v>
      </c>
    </row>
    <row r="2298" spans="1:23" ht="13.15" customHeight="1" x14ac:dyDescent="0.2">
      <c r="A2298" s="2" t="s">
        <v>2242</v>
      </c>
      <c r="B2298" s="2">
        <f t="shared" si="70"/>
        <v>2019</v>
      </c>
      <c r="C2298" s="2" t="str">
        <f t="shared" si="71"/>
        <v>EC101</v>
      </c>
      <c r="D2298" s="2">
        <v>680</v>
      </c>
      <c r="F2298" s="1764"/>
      <c r="G2298" s="1764"/>
      <c r="H2298" s="1764"/>
      <c r="I2298" s="1764"/>
      <c r="J2298" s="1764"/>
      <c r="K2298" s="1764"/>
      <c r="L2298" s="1766"/>
      <c r="M2298" s="1766"/>
      <c r="N2298" s="1766"/>
      <c r="O2298" s="1766"/>
      <c r="P2298" s="1766"/>
      <c r="W2298" t="s">
        <v>2089</v>
      </c>
    </row>
    <row r="2299" spans="1:23" ht="13.15" customHeight="1" x14ac:dyDescent="0.2">
      <c r="A2299" s="2" t="s">
        <v>2242</v>
      </c>
      <c r="B2299" s="2">
        <f t="shared" si="70"/>
        <v>2019</v>
      </c>
      <c r="C2299" s="2" t="str">
        <f t="shared" si="71"/>
        <v>EC101</v>
      </c>
      <c r="D2299" s="2">
        <v>681</v>
      </c>
      <c r="F2299" s="1764"/>
      <c r="G2299" s="1764"/>
      <c r="H2299" s="1764"/>
      <c r="I2299" s="1764"/>
      <c r="J2299" s="1764"/>
      <c r="K2299" s="1764"/>
      <c r="L2299" s="1766"/>
      <c r="M2299" s="1766"/>
      <c r="N2299" s="1766"/>
      <c r="O2299" s="1766"/>
      <c r="P2299" s="1766"/>
      <c r="W2299" t="s">
        <v>2089</v>
      </c>
    </row>
    <row r="2300" spans="1:23" ht="13.15" customHeight="1" x14ac:dyDescent="0.2">
      <c r="A2300" s="2" t="s">
        <v>2242</v>
      </c>
      <c r="B2300" s="2">
        <f t="shared" si="70"/>
        <v>2019</v>
      </c>
      <c r="C2300" s="2" t="str">
        <f t="shared" si="71"/>
        <v>EC101</v>
      </c>
      <c r="D2300" s="2">
        <v>682</v>
      </c>
      <c r="F2300" s="1764"/>
      <c r="G2300" s="1764"/>
      <c r="H2300" s="1764"/>
      <c r="I2300" s="1764"/>
      <c r="J2300" s="1764"/>
      <c r="K2300" s="1764"/>
      <c r="L2300" s="1766"/>
      <c r="M2300" s="1766"/>
      <c r="N2300" s="1766"/>
      <c r="O2300" s="1766"/>
      <c r="P2300" s="1766"/>
      <c r="W2300" t="s">
        <v>2089</v>
      </c>
    </row>
    <row r="2301" spans="1:23" ht="13.15" customHeight="1" x14ac:dyDescent="0.2">
      <c r="A2301" s="2" t="s">
        <v>2242</v>
      </c>
      <c r="B2301" s="2">
        <f t="shared" si="70"/>
        <v>2019</v>
      </c>
      <c r="C2301" s="2" t="str">
        <f t="shared" si="71"/>
        <v>EC101</v>
      </c>
      <c r="D2301" s="2">
        <v>683</v>
      </c>
      <c r="F2301" s="1764"/>
      <c r="G2301" s="1764"/>
      <c r="H2301" s="1764"/>
      <c r="I2301" s="1764"/>
      <c r="J2301" s="1764"/>
      <c r="K2301" s="1764"/>
      <c r="L2301" s="1766"/>
      <c r="M2301" s="1766"/>
      <c r="N2301" s="1766"/>
      <c r="O2301" s="1766"/>
      <c r="P2301" s="1766"/>
      <c r="W2301" t="s">
        <v>2089</v>
      </c>
    </row>
    <row r="2302" spans="1:23" ht="13.15" customHeight="1" x14ac:dyDescent="0.2">
      <c r="A2302" s="2" t="s">
        <v>2242</v>
      </c>
      <c r="B2302" s="2">
        <f t="shared" si="70"/>
        <v>2019</v>
      </c>
      <c r="C2302" s="2" t="str">
        <f t="shared" si="71"/>
        <v>EC101</v>
      </c>
      <c r="D2302" s="2">
        <v>684</v>
      </c>
      <c r="F2302" s="1764"/>
      <c r="G2302" s="1764"/>
      <c r="H2302" s="1764"/>
      <c r="I2302" s="1764"/>
      <c r="J2302" s="1764"/>
      <c r="K2302" s="1764"/>
      <c r="L2302" s="1766"/>
      <c r="M2302" s="1766"/>
      <c r="N2302" s="1766"/>
      <c r="O2302" s="1766"/>
      <c r="P2302" s="1766"/>
      <c r="W2302" t="s">
        <v>2089</v>
      </c>
    </row>
    <row r="2303" spans="1:23" ht="13.15" customHeight="1" x14ac:dyDescent="0.2">
      <c r="A2303" s="2" t="s">
        <v>2242</v>
      </c>
      <c r="B2303" s="2">
        <f t="shared" si="70"/>
        <v>2019</v>
      </c>
      <c r="C2303" s="2" t="str">
        <f t="shared" si="71"/>
        <v>EC101</v>
      </c>
      <c r="D2303" s="2">
        <v>685</v>
      </c>
      <c r="F2303" s="1764"/>
      <c r="G2303" s="1764"/>
      <c r="H2303" s="1764"/>
      <c r="I2303" s="1764"/>
      <c r="J2303" s="1764"/>
      <c r="K2303" s="1764"/>
      <c r="L2303" s="1766"/>
      <c r="M2303" s="1766"/>
      <c r="N2303" s="1766"/>
      <c r="O2303" s="1766"/>
      <c r="P2303" s="1766"/>
      <c r="W2303" t="s">
        <v>2089</v>
      </c>
    </row>
    <row r="2304" spans="1:23" ht="13.15" customHeight="1" x14ac:dyDescent="0.2">
      <c r="A2304" s="2" t="s">
        <v>2242</v>
      </c>
      <c r="B2304" s="2">
        <f t="shared" si="70"/>
        <v>2019</v>
      </c>
      <c r="C2304" s="2" t="str">
        <f t="shared" si="71"/>
        <v>EC101</v>
      </c>
      <c r="D2304" s="2">
        <v>686</v>
      </c>
      <c r="F2304" s="1764"/>
      <c r="G2304" s="1764"/>
      <c r="H2304" s="1764"/>
      <c r="I2304" s="1764"/>
      <c r="J2304" s="1764"/>
      <c r="K2304" s="1764"/>
      <c r="L2304" s="1766"/>
      <c r="M2304" s="1766"/>
      <c r="N2304" s="1766"/>
      <c r="O2304" s="1766"/>
      <c r="P2304" s="1766"/>
      <c r="W2304" t="s">
        <v>2089</v>
      </c>
    </row>
    <row r="2305" spans="1:23" ht="13.15" customHeight="1" x14ac:dyDescent="0.2">
      <c r="A2305" s="2" t="s">
        <v>2242</v>
      </c>
      <c r="B2305" s="2">
        <f t="shared" si="70"/>
        <v>2019</v>
      </c>
      <c r="C2305" s="2" t="str">
        <f t="shared" si="71"/>
        <v>EC101</v>
      </c>
      <c r="D2305" s="2">
        <v>687</v>
      </c>
      <c r="F2305" s="1764"/>
      <c r="G2305" s="1764"/>
      <c r="H2305" s="1764"/>
      <c r="I2305" s="1764"/>
      <c r="J2305" s="1764"/>
      <c r="K2305" s="1764"/>
      <c r="L2305" s="1766"/>
      <c r="M2305" s="1766"/>
      <c r="N2305" s="1766"/>
      <c r="O2305" s="1766"/>
      <c r="P2305" s="1766"/>
      <c r="W2305" t="s">
        <v>2089</v>
      </c>
    </row>
    <row r="2306" spans="1:23" ht="13.15" customHeight="1" x14ac:dyDescent="0.2">
      <c r="A2306" s="2" t="s">
        <v>2242</v>
      </c>
      <c r="B2306" s="2">
        <f t="shared" ref="B2306:B2369" si="72">+MTREF</f>
        <v>2019</v>
      </c>
      <c r="C2306" s="2" t="str">
        <f t="shared" ref="C2306:C2369" si="73">LEFT(muni,(FIND(" ",muni,1)-1))</f>
        <v>EC101</v>
      </c>
      <c r="D2306" s="2">
        <v>688</v>
      </c>
      <c r="F2306" s="1764"/>
      <c r="G2306" s="1764"/>
      <c r="H2306" s="1764"/>
      <c r="I2306" s="1764"/>
      <c r="J2306" s="1764"/>
      <c r="K2306" s="1764"/>
      <c r="L2306" s="1766"/>
      <c r="M2306" s="1766"/>
      <c r="N2306" s="1766"/>
      <c r="O2306" s="1766"/>
      <c r="P2306" s="1766"/>
      <c r="W2306" t="s">
        <v>2089</v>
      </c>
    </row>
    <row r="2307" spans="1:23" ht="13.15" customHeight="1" x14ac:dyDescent="0.2">
      <c r="A2307" s="2" t="s">
        <v>2242</v>
      </c>
      <c r="B2307" s="2">
        <f t="shared" si="72"/>
        <v>2019</v>
      </c>
      <c r="C2307" s="2" t="str">
        <f t="shared" si="73"/>
        <v>EC101</v>
      </c>
      <c r="D2307" s="2">
        <v>689</v>
      </c>
      <c r="F2307" s="1764"/>
      <c r="G2307" s="1764"/>
      <c r="H2307" s="1764"/>
      <c r="I2307" s="1764"/>
      <c r="J2307" s="1764"/>
      <c r="K2307" s="1764"/>
      <c r="L2307" s="1766"/>
      <c r="M2307" s="1766"/>
      <c r="N2307" s="1766"/>
      <c r="O2307" s="1766"/>
      <c r="P2307" s="1766"/>
      <c r="W2307" t="s">
        <v>2089</v>
      </c>
    </row>
    <row r="2308" spans="1:23" ht="13.15" customHeight="1" x14ac:dyDescent="0.2">
      <c r="A2308" s="2" t="s">
        <v>2242</v>
      </c>
      <c r="B2308" s="2">
        <f t="shared" si="72"/>
        <v>2019</v>
      </c>
      <c r="C2308" s="2" t="str">
        <f t="shared" si="73"/>
        <v>EC101</v>
      </c>
      <c r="D2308" s="2">
        <v>690</v>
      </c>
      <c r="F2308" s="1764"/>
      <c r="G2308" s="1764"/>
      <c r="H2308" s="1764"/>
      <c r="I2308" s="1764"/>
      <c r="J2308" s="1764"/>
      <c r="K2308" s="1764"/>
      <c r="L2308" s="1766"/>
      <c r="M2308" s="1766"/>
      <c r="N2308" s="1766"/>
      <c r="O2308" s="1766"/>
      <c r="P2308" s="1766"/>
      <c r="W2308" t="s">
        <v>2089</v>
      </c>
    </row>
    <row r="2309" spans="1:23" ht="13.15" customHeight="1" x14ac:dyDescent="0.2">
      <c r="A2309" s="2" t="s">
        <v>2242</v>
      </c>
      <c r="B2309" s="2">
        <f t="shared" si="72"/>
        <v>2019</v>
      </c>
      <c r="C2309" s="2" t="str">
        <f t="shared" si="73"/>
        <v>EC101</v>
      </c>
      <c r="D2309" s="2">
        <v>691</v>
      </c>
      <c r="F2309" s="1764"/>
      <c r="G2309" s="1764"/>
      <c r="H2309" s="1764"/>
      <c r="I2309" s="1764"/>
      <c r="J2309" s="1764"/>
      <c r="K2309" s="1764"/>
      <c r="L2309" s="1766"/>
      <c r="M2309" s="1766"/>
      <c r="N2309" s="1766"/>
      <c r="O2309" s="1766"/>
      <c r="P2309" s="1766"/>
      <c r="W2309" t="s">
        <v>2089</v>
      </c>
    </row>
    <row r="2310" spans="1:23" ht="13.15" customHeight="1" x14ac:dyDescent="0.2">
      <c r="A2310" s="2" t="s">
        <v>2242</v>
      </c>
      <c r="B2310" s="2">
        <f t="shared" si="72"/>
        <v>2019</v>
      </c>
      <c r="C2310" s="2" t="str">
        <f t="shared" si="73"/>
        <v>EC101</v>
      </c>
      <c r="D2310" s="2">
        <v>692</v>
      </c>
      <c r="F2310" s="1764"/>
      <c r="G2310" s="1764"/>
      <c r="H2310" s="1764"/>
      <c r="I2310" s="1764"/>
      <c r="J2310" s="1764"/>
      <c r="K2310" s="1764"/>
      <c r="L2310" s="1766"/>
      <c r="M2310" s="1766"/>
      <c r="N2310" s="1766"/>
      <c r="O2310" s="1766"/>
      <c r="P2310" s="1766"/>
      <c r="W2310" t="s">
        <v>2089</v>
      </c>
    </row>
    <row r="2311" spans="1:23" ht="13.15" customHeight="1" x14ac:dyDescent="0.2">
      <c r="A2311" s="2" t="s">
        <v>2242</v>
      </c>
      <c r="B2311" s="2">
        <f t="shared" si="72"/>
        <v>2019</v>
      </c>
      <c r="C2311" s="2" t="str">
        <f t="shared" si="73"/>
        <v>EC101</v>
      </c>
      <c r="D2311" s="2">
        <v>693</v>
      </c>
      <c r="F2311" s="1764"/>
      <c r="G2311" s="1764"/>
      <c r="H2311" s="1764"/>
      <c r="I2311" s="1764"/>
      <c r="J2311" s="1764"/>
      <c r="K2311" s="1764"/>
      <c r="L2311" s="1766"/>
      <c r="M2311" s="1766"/>
      <c r="N2311" s="1766"/>
      <c r="O2311" s="1766"/>
      <c r="P2311" s="1766"/>
      <c r="W2311" t="s">
        <v>2089</v>
      </c>
    </row>
    <row r="2312" spans="1:23" ht="13.15" customHeight="1" x14ac:dyDescent="0.2">
      <c r="A2312" s="2" t="s">
        <v>2242</v>
      </c>
      <c r="B2312" s="2">
        <f t="shared" si="72"/>
        <v>2019</v>
      </c>
      <c r="C2312" s="2" t="str">
        <f t="shared" si="73"/>
        <v>EC101</v>
      </c>
      <c r="D2312" s="2">
        <v>694</v>
      </c>
      <c r="F2312" s="1764"/>
      <c r="G2312" s="1764"/>
      <c r="H2312" s="1764"/>
      <c r="I2312" s="1764"/>
      <c r="J2312" s="1764"/>
      <c r="K2312" s="1764"/>
      <c r="L2312" s="1766"/>
      <c r="M2312" s="1766"/>
      <c r="N2312" s="1766"/>
      <c r="O2312" s="1766"/>
      <c r="P2312" s="1766"/>
      <c r="W2312" t="s">
        <v>2089</v>
      </c>
    </row>
    <row r="2313" spans="1:23" ht="13.15" customHeight="1" x14ac:dyDescent="0.2">
      <c r="A2313" s="2" t="s">
        <v>2242</v>
      </c>
      <c r="B2313" s="2">
        <f t="shared" si="72"/>
        <v>2019</v>
      </c>
      <c r="C2313" s="2" t="str">
        <f t="shared" si="73"/>
        <v>EC101</v>
      </c>
      <c r="D2313" s="2">
        <v>695</v>
      </c>
      <c r="F2313" s="1764"/>
      <c r="G2313" s="1764"/>
      <c r="H2313" s="1764"/>
      <c r="I2313" s="1764"/>
      <c r="J2313" s="1764"/>
      <c r="K2313" s="1764"/>
      <c r="L2313" s="1766"/>
      <c r="M2313" s="1766"/>
      <c r="N2313" s="1766"/>
      <c r="O2313" s="1766"/>
      <c r="P2313" s="1766"/>
      <c r="W2313" t="s">
        <v>2089</v>
      </c>
    </row>
    <row r="2314" spans="1:23" ht="13.15" customHeight="1" x14ac:dyDescent="0.2">
      <c r="A2314" s="2" t="s">
        <v>2242</v>
      </c>
      <c r="B2314" s="2">
        <f t="shared" si="72"/>
        <v>2019</v>
      </c>
      <c r="C2314" s="2" t="str">
        <f t="shared" si="73"/>
        <v>EC101</v>
      </c>
      <c r="D2314" s="2">
        <v>696</v>
      </c>
      <c r="F2314" s="1764"/>
      <c r="G2314" s="1764"/>
      <c r="H2314" s="1764"/>
      <c r="I2314" s="1764"/>
      <c r="J2314" s="1764"/>
      <c r="K2314" s="1764"/>
      <c r="L2314" s="1766"/>
      <c r="M2314" s="1766"/>
      <c r="N2314" s="1766"/>
      <c r="O2314" s="1766"/>
      <c r="P2314" s="1766"/>
      <c r="W2314" t="s">
        <v>2089</v>
      </c>
    </row>
    <row r="2315" spans="1:23" ht="13.15" customHeight="1" x14ac:dyDescent="0.2">
      <c r="A2315" s="2" t="s">
        <v>2242</v>
      </c>
      <c r="B2315" s="2">
        <f t="shared" si="72"/>
        <v>2019</v>
      </c>
      <c r="C2315" s="2" t="str">
        <f t="shared" si="73"/>
        <v>EC101</v>
      </c>
      <c r="D2315" s="2">
        <v>697</v>
      </c>
      <c r="F2315" s="1764"/>
      <c r="G2315" s="1764"/>
      <c r="H2315" s="1764"/>
      <c r="I2315" s="1764"/>
      <c r="J2315" s="1764"/>
      <c r="K2315" s="1764"/>
      <c r="L2315" s="1766"/>
      <c r="M2315" s="1766"/>
      <c r="N2315" s="1766"/>
      <c r="O2315" s="1766"/>
      <c r="P2315" s="1766"/>
      <c r="W2315" t="s">
        <v>2089</v>
      </c>
    </row>
    <row r="2316" spans="1:23" ht="13.15" customHeight="1" x14ac:dyDescent="0.2">
      <c r="A2316" s="2" t="s">
        <v>2242</v>
      </c>
      <c r="B2316" s="2">
        <f t="shared" si="72"/>
        <v>2019</v>
      </c>
      <c r="C2316" s="2" t="str">
        <f t="shared" si="73"/>
        <v>EC101</v>
      </c>
      <c r="D2316" s="2">
        <v>698</v>
      </c>
      <c r="F2316" s="1764"/>
      <c r="G2316" s="1764"/>
      <c r="H2316" s="1764"/>
      <c r="I2316" s="1764"/>
      <c r="J2316" s="1764"/>
      <c r="K2316" s="1764"/>
      <c r="L2316" s="1766"/>
      <c r="M2316" s="1766"/>
      <c r="N2316" s="1766"/>
      <c r="O2316" s="1766"/>
      <c r="P2316" s="1766"/>
      <c r="W2316" t="s">
        <v>2089</v>
      </c>
    </row>
    <row r="2317" spans="1:23" ht="13.15" customHeight="1" x14ac:dyDescent="0.2">
      <c r="A2317" s="2" t="s">
        <v>2242</v>
      </c>
      <c r="B2317" s="2">
        <f t="shared" si="72"/>
        <v>2019</v>
      </c>
      <c r="C2317" s="2" t="str">
        <f t="shared" si="73"/>
        <v>EC101</v>
      </c>
      <c r="D2317" s="2">
        <v>699</v>
      </c>
      <c r="F2317" s="1764"/>
      <c r="G2317" s="1764"/>
      <c r="H2317" s="1764"/>
      <c r="I2317" s="1764"/>
      <c r="J2317" s="1764"/>
      <c r="K2317" s="1764"/>
      <c r="L2317" s="1766"/>
      <c r="M2317" s="1766"/>
      <c r="N2317" s="1766"/>
      <c r="O2317" s="1766"/>
      <c r="P2317" s="1766"/>
      <c r="W2317" t="s">
        <v>2089</v>
      </c>
    </row>
    <row r="2318" spans="1:23" ht="13.15" customHeight="1" x14ac:dyDescent="0.2">
      <c r="A2318" s="2" t="s">
        <v>2242</v>
      </c>
      <c r="B2318" s="2">
        <f t="shared" si="72"/>
        <v>2019</v>
      </c>
      <c r="C2318" s="2" t="str">
        <f t="shared" si="73"/>
        <v>EC101</v>
      </c>
      <c r="D2318" s="2">
        <v>700</v>
      </c>
      <c r="F2318" s="1764"/>
      <c r="G2318" s="1764"/>
      <c r="H2318" s="1764"/>
      <c r="I2318" s="1764"/>
      <c r="J2318" s="1764"/>
      <c r="K2318" s="1764"/>
      <c r="L2318" s="1766"/>
      <c r="M2318" s="1766"/>
      <c r="N2318" s="1766"/>
      <c r="O2318" s="1766"/>
      <c r="P2318" s="1766"/>
      <c r="W2318" t="s">
        <v>2089</v>
      </c>
    </row>
    <row r="2319" spans="1:23" ht="13.15" customHeight="1" x14ac:dyDescent="0.2">
      <c r="A2319" s="2" t="s">
        <v>2242</v>
      </c>
      <c r="B2319" s="2">
        <f t="shared" si="72"/>
        <v>2019</v>
      </c>
      <c r="C2319" s="2" t="str">
        <f t="shared" si="73"/>
        <v>EC101</v>
      </c>
      <c r="D2319" s="2">
        <v>701</v>
      </c>
      <c r="F2319" s="1764"/>
      <c r="G2319" s="1764"/>
      <c r="H2319" s="1764"/>
      <c r="I2319" s="1764"/>
      <c r="J2319" s="1764"/>
      <c r="K2319" s="1764"/>
      <c r="L2319" s="1766"/>
      <c r="M2319" s="1766"/>
      <c r="N2319" s="1766"/>
      <c r="O2319" s="1766"/>
      <c r="P2319" s="1766"/>
      <c r="W2319" t="s">
        <v>2089</v>
      </c>
    </row>
    <row r="2320" spans="1:23" ht="13.15" customHeight="1" x14ac:dyDescent="0.2">
      <c r="A2320" s="2" t="s">
        <v>2242</v>
      </c>
      <c r="B2320" s="2">
        <f t="shared" si="72"/>
        <v>2019</v>
      </c>
      <c r="C2320" s="2" t="str">
        <f t="shared" si="73"/>
        <v>EC101</v>
      </c>
      <c r="D2320" s="2">
        <v>702</v>
      </c>
      <c r="F2320" s="1764"/>
      <c r="G2320" s="1764"/>
      <c r="H2320" s="1764"/>
      <c r="I2320" s="1764"/>
      <c r="J2320" s="1764"/>
      <c r="K2320" s="1764"/>
      <c r="L2320" s="1766"/>
      <c r="M2320" s="1766"/>
      <c r="N2320" s="1766"/>
      <c r="O2320" s="1766"/>
      <c r="P2320" s="1766"/>
      <c r="W2320" t="s">
        <v>2089</v>
      </c>
    </row>
    <row r="2321" spans="1:23" ht="13.15" customHeight="1" x14ac:dyDescent="0.2">
      <c r="A2321" s="2" t="s">
        <v>2242</v>
      </c>
      <c r="B2321" s="2">
        <f t="shared" si="72"/>
        <v>2019</v>
      </c>
      <c r="C2321" s="2" t="str">
        <f t="shared" si="73"/>
        <v>EC101</v>
      </c>
      <c r="D2321" s="2">
        <v>703</v>
      </c>
      <c r="F2321" s="1764"/>
      <c r="G2321" s="1764"/>
      <c r="H2321" s="1764"/>
      <c r="I2321" s="1764"/>
      <c r="J2321" s="1764"/>
      <c r="K2321" s="1764"/>
      <c r="L2321" s="1766"/>
      <c r="M2321" s="1766"/>
      <c r="N2321" s="1766"/>
      <c r="O2321" s="1766"/>
      <c r="P2321" s="1766"/>
      <c r="W2321" t="s">
        <v>2089</v>
      </c>
    </row>
    <row r="2322" spans="1:23" ht="13.15" customHeight="1" x14ac:dyDescent="0.2">
      <c r="A2322" s="2" t="s">
        <v>2242</v>
      </c>
      <c r="B2322" s="2">
        <f t="shared" si="72"/>
        <v>2019</v>
      </c>
      <c r="C2322" s="2" t="str">
        <f t="shared" si="73"/>
        <v>EC101</v>
      </c>
      <c r="D2322" s="2">
        <v>704</v>
      </c>
      <c r="F2322" s="1764"/>
      <c r="G2322" s="1764"/>
      <c r="H2322" s="1764"/>
      <c r="I2322" s="1764"/>
      <c r="J2322" s="1764"/>
      <c r="K2322" s="1764"/>
      <c r="L2322" s="1766"/>
      <c r="M2322" s="1766"/>
      <c r="N2322" s="1766"/>
      <c r="O2322" s="1766"/>
      <c r="P2322" s="1766"/>
      <c r="W2322" t="s">
        <v>2089</v>
      </c>
    </row>
    <row r="2323" spans="1:23" ht="13.15" customHeight="1" x14ac:dyDescent="0.2">
      <c r="A2323" s="2" t="s">
        <v>2242</v>
      </c>
      <c r="B2323" s="2">
        <f t="shared" si="72"/>
        <v>2019</v>
      </c>
      <c r="C2323" s="2" t="str">
        <f t="shared" si="73"/>
        <v>EC101</v>
      </c>
      <c r="D2323" s="2">
        <v>705</v>
      </c>
      <c r="F2323" s="1764"/>
      <c r="G2323" s="1764"/>
      <c r="H2323" s="1764"/>
      <c r="I2323" s="1764"/>
      <c r="J2323" s="1764"/>
      <c r="K2323" s="1764"/>
      <c r="L2323" s="1766"/>
      <c r="M2323" s="1766"/>
      <c r="N2323" s="1766"/>
      <c r="O2323" s="1766"/>
      <c r="P2323" s="1766"/>
      <c r="W2323" t="s">
        <v>2089</v>
      </c>
    </row>
    <row r="2324" spans="1:23" ht="13.15" customHeight="1" x14ac:dyDescent="0.2">
      <c r="A2324" s="2" t="s">
        <v>2242</v>
      </c>
      <c r="B2324" s="2">
        <f t="shared" si="72"/>
        <v>2019</v>
      </c>
      <c r="C2324" s="2" t="str">
        <f t="shared" si="73"/>
        <v>EC101</v>
      </c>
      <c r="D2324" s="2">
        <v>706</v>
      </c>
      <c r="F2324" s="1764"/>
      <c r="G2324" s="1764"/>
      <c r="H2324" s="1764"/>
      <c r="I2324" s="1764"/>
      <c r="J2324" s="1764"/>
      <c r="K2324" s="1764"/>
      <c r="L2324" s="1766"/>
      <c r="M2324" s="1766"/>
      <c r="N2324" s="1766"/>
      <c r="O2324" s="1766"/>
      <c r="P2324" s="1766"/>
      <c r="W2324" t="s">
        <v>2089</v>
      </c>
    </row>
    <row r="2325" spans="1:23" ht="13.15" customHeight="1" x14ac:dyDescent="0.2">
      <c r="A2325" s="2" t="s">
        <v>2242</v>
      </c>
      <c r="B2325" s="2">
        <f t="shared" si="72"/>
        <v>2019</v>
      </c>
      <c r="C2325" s="2" t="str">
        <f t="shared" si="73"/>
        <v>EC101</v>
      </c>
      <c r="D2325" s="2">
        <v>707</v>
      </c>
      <c r="F2325" s="1764"/>
      <c r="G2325" s="1764"/>
      <c r="H2325" s="1764"/>
      <c r="I2325" s="1764"/>
      <c r="J2325" s="1764"/>
      <c r="K2325" s="1764"/>
      <c r="L2325" s="1766"/>
      <c r="M2325" s="1766"/>
      <c r="N2325" s="1766"/>
      <c r="O2325" s="1766"/>
      <c r="P2325" s="1766"/>
      <c r="W2325" t="s">
        <v>2089</v>
      </c>
    </row>
    <row r="2326" spans="1:23" ht="13.15" customHeight="1" x14ac:dyDescent="0.2">
      <c r="A2326" s="2" t="s">
        <v>2242</v>
      </c>
      <c r="B2326" s="2">
        <f t="shared" si="72"/>
        <v>2019</v>
      </c>
      <c r="C2326" s="2" t="str">
        <f t="shared" si="73"/>
        <v>EC101</v>
      </c>
      <c r="D2326" s="2">
        <v>708</v>
      </c>
      <c r="F2326" s="1764"/>
      <c r="G2326" s="1764"/>
      <c r="H2326" s="1764"/>
      <c r="I2326" s="1764"/>
      <c r="J2326" s="1764"/>
      <c r="K2326" s="1764"/>
      <c r="L2326" s="1766"/>
      <c r="M2326" s="1766"/>
      <c r="N2326" s="1766"/>
      <c r="O2326" s="1766"/>
      <c r="P2326" s="1766"/>
      <c r="W2326" t="s">
        <v>2089</v>
      </c>
    </row>
    <row r="2327" spans="1:23" ht="13.15" customHeight="1" x14ac:dyDescent="0.2">
      <c r="A2327" s="2" t="s">
        <v>2242</v>
      </c>
      <c r="B2327" s="2">
        <f t="shared" si="72"/>
        <v>2019</v>
      </c>
      <c r="C2327" s="2" t="str">
        <f t="shared" si="73"/>
        <v>EC101</v>
      </c>
      <c r="D2327" s="2">
        <v>709</v>
      </c>
      <c r="F2327" s="1764"/>
      <c r="G2327" s="1764"/>
      <c r="H2327" s="1764"/>
      <c r="I2327" s="1764"/>
      <c r="J2327" s="1764"/>
      <c r="K2327" s="1764"/>
      <c r="L2327" s="1766"/>
      <c r="M2327" s="1766"/>
      <c r="N2327" s="1766"/>
      <c r="O2327" s="1766"/>
      <c r="P2327" s="1766"/>
      <c r="W2327" t="s">
        <v>2089</v>
      </c>
    </row>
    <row r="2328" spans="1:23" ht="13.15" customHeight="1" x14ac:dyDescent="0.2">
      <c r="A2328" s="2" t="s">
        <v>2242</v>
      </c>
      <c r="B2328" s="2">
        <f t="shared" si="72"/>
        <v>2019</v>
      </c>
      <c r="C2328" s="2" t="str">
        <f t="shared" si="73"/>
        <v>EC101</v>
      </c>
      <c r="D2328" s="2">
        <v>710</v>
      </c>
      <c r="F2328" s="1764"/>
      <c r="G2328" s="1764"/>
      <c r="H2328" s="1764"/>
      <c r="I2328" s="1764"/>
      <c r="J2328" s="1764"/>
      <c r="K2328" s="1764"/>
      <c r="L2328" s="1766"/>
      <c r="M2328" s="1766"/>
      <c r="N2328" s="1766"/>
      <c r="O2328" s="1766"/>
      <c r="P2328" s="1766"/>
      <c r="W2328" t="s">
        <v>2089</v>
      </c>
    </row>
    <row r="2329" spans="1:23" ht="13.15" customHeight="1" x14ac:dyDescent="0.2">
      <c r="A2329" s="2" t="s">
        <v>2242</v>
      </c>
      <c r="B2329" s="2">
        <f t="shared" si="72"/>
        <v>2019</v>
      </c>
      <c r="C2329" s="2" t="str">
        <f t="shared" si="73"/>
        <v>EC101</v>
      </c>
      <c r="D2329" s="2">
        <v>711</v>
      </c>
      <c r="F2329" s="1764"/>
      <c r="G2329" s="1764"/>
      <c r="H2329" s="1764"/>
      <c r="I2329" s="1764"/>
      <c r="J2329" s="1764"/>
      <c r="K2329" s="1764"/>
      <c r="L2329" s="1766"/>
      <c r="M2329" s="1766"/>
      <c r="N2329" s="1766"/>
      <c r="O2329" s="1766"/>
      <c r="P2329" s="1766"/>
      <c r="W2329" t="s">
        <v>2089</v>
      </c>
    </row>
    <row r="2330" spans="1:23" ht="13.15" customHeight="1" x14ac:dyDescent="0.2">
      <c r="A2330" s="2" t="s">
        <v>2242</v>
      </c>
      <c r="B2330" s="2">
        <f t="shared" si="72"/>
        <v>2019</v>
      </c>
      <c r="C2330" s="2" t="str">
        <f t="shared" si="73"/>
        <v>EC101</v>
      </c>
      <c r="D2330" s="2">
        <v>712</v>
      </c>
      <c r="F2330" s="1764"/>
      <c r="G2330" s="1764"/>
      <c r="H2330" s="1764"/>
      <c r="I2330" s="1764"/>
      <c r="J2330" s="1764"/>
      <c r="K2330" s="1764"/>
      <c r="L2330" s="1766"/>
      <c r="M2330" s="1766"/>
      <c r="N2330" s="1766"/>
      <c r="O2330" s="1766"/>
      <c r="P2330" s="1766"/>
      <c r="W2330" t="s">
        <v>2089</v>
      </c>
    </row>
    <row r="2331" spans="1:23" ht="13.15" customHeight="1" x14ac:dyDescent="0.2">
      <c r="A2331" s="2" t="s">
        <v>2242</v>
      </c>
      <c r="B2331" s="2">
        <f t="shared" si="72"/>
        <v>2019</v>
      </c>
      <c r="C2331" s="2" t="str">
        <f t="shared" si="73"/>
        <v>EC101</v>
      </c>
      <c r="D2331" s="2">
        <v>713</v>
      </c>
      <c r="F2331" s="1764"/>
      <c r="G2331" s="1764"/>
      <c r="H2331" s="1764"/>
      <c r="I2331" s="1764"/>
      <c r="J2331" s="1764"/>
      <c r="K2331" s="1764"/>
      <c r="L2331" s="1766"/>
      <c r="M2331" s="1766"/>
      <c r="N2331" s="1766"/>
      <c r="O2331" s="1766"/>
      <c r="P2331" s="1766"/>
      <c r="W2331" t="s">
        <v>2089</v>
      </c>
    </row>
    <row r="2332" spans="1:23" ht="13.15" customHeight="1" x14ac:dyDescent="0.2">
      <c r="A2332" s="2" t="s">
        <v>2242</v>
      </c>
      <c r="B2332" s="2">
        <f t="shared" si="72"/>
        <v>2019</v>
      </c>
      <c r="C2332" s="2" t="str">
        <f t="shared" si="73"/>
        <v>EC101</v>
      </c>
      <c r="D2332" s="2">
        <v>714</v>
      </c>
      <c r="F2332" s="1764"/>
      <c r="G2332" s="1764"/>
      <c r="H2332" s="1764"/>
      <c r="I2332" s="1764"/>
      <c r="J2332" s="1764"/>
      <c r="K2332" s="1764"/>
      <c r="L2332" s="1766"/>
      <c r="M2332" s="1766"/>
      <c r="N2332" s="1766"/>
      <c r="O2332" s="1766"/>
      <c r="P2332" s="1766"/>
      <c r="W2332" t="s">
        <v>2089</v>
      </c>
    </row>
    <row r="2333" spans="1:23" ht="13.15" customHeight="1" x14ac:dyDescent="0.2">
      <c r="A2333" s="2" t="s">
        <v>2242</v>
      </c>
      <c r="B2333" s="2">
        <f t="shared" si="72"/>
        <v>2019</v>
      </c>
      <c r="C2333" s="2" t="str">
        <f t="shared" si="73"/>
        <v>EC101</v>
      </c>
      <c r="D2333" s="2">
        <v>715</v>
      </c>
      <c r="F2333" s="1764"/>
      <c r="G2333" s="1764"/>
      <c r="H2333" s="1764"/>
      <c r="I2333" s="1764"/>
      <c r="J2333" s="1764"/>
      <c r="K2333" s="1764"/>
      <c r="L2333" s="1766"/>
      <c r="M2333" s="1766"/>
      <c r="N2333" s="1766"/>
      <c r="O2333" s="1766"/>
      <c r="P2333" s="1766"/>
      <c r="W2333" t="s">
        <v>2089</v>
      </c>
    </row>
    <row r="2334" spans="1:23" ht="13.15" customHeight="1" x14ac:dyDescent="0.2">
      <c r="A2334" s="2" t="s">
        <v>2242</v>
      </c>
      <c r="B2334" s="2">
        <f t="shared" si="72"/>
        <v>2019</v>
      </c>
      <c r="C2334" s="2" t="str">
        <f t="shared" si="73"/>
        <v>EC101</v>
      </c>
      <c r="D2334" s="2">
        <v>716</v>
      </c>
      <c r="F2334" s="1764"/>
      <c r="G2334" s="1764"/>
      <c r="H2334" s="1764"/>
      <c r="I2334" s="1764"/>
      <c r="J2334" s="1764"/>
      <c r="K2334" s="1764"/>
      <c r="L2334" s="1766"/>
      <c r="M2334" s="1766"/>
      <c r="N2334" s="1766"/>
      <c r="O2334" s="1766"/>
      <c r="P2334" s="1766"/>
      <c r="W2334" t="s">
        <v>2089</v>
      </c>
    </row>
    <row r="2335" spans="1:23" ht="13.15" customHeight="1" x14ac:dyDescent="0.2">
      <c r="A2335" s="2" t="s">
        <v>2242</v>
      </c>
      <c r="B2335" s="2">
        <f t="shared" si="72"/>
        <v>2019</v>
      </c>
      <c r="C2335" s="2" t="str">
        <f t="shared" si="73"/>
        <v>EC101</v>
      </c>
      <c r="D2335" s="2">
        <v>717</v>
      </c>
      <c r="F2335" s="1764"/>
      <c r="G2335" s="1764"/>
      <c r="H2335" s="1764"/>
      <c r="I2335" s="1764"/>
      <c r="J2335" s="1764"/>
      <c r="K2335" s="1764"/>
      <c r="L2335" s="1766"/>
      <c r="M2335" s="1766"/>
      <c r="N2335" s="1766"/>
      <c r="O2335" s="1766"/>
      <c r="P2335" s="1766"/>
      <c r="W2335" t="s">
        <v>2089</v>
      </c>
    </row>
    <row r="2336" spans="1:23" ht="13.15" customHeight="1" x14ac:dyDescent="0.2">
      <c r="A2336" s="2" t="s">
        <v>2242</v>
      </c>
      <c r="B2336" s="2">
        <f t="shared" si="72"/>
        <v>2019</v>
      </c>
      <c r="C2336" s="2" t="str">
        <f t="shared" si="73"/>
        <v>EC101</v>
      </c>
      <c r="D2336" s="2">
        <v>718</v>
      </c>
      <c r="F2336" s="1764"/>
      <c r="G2336" s="1764"/>
      <c r="H2336" s="1764"/>
      <c r="I2336" s="1764"/>
      <c r="J2336" s="1764"/>
      <c r="K2336" s="1764"/>
      <c r="L2336" s="1766"/>
      <c r="M2336" s="1766"/>
      <c r="N2336" s="1766"/>
      <c r="O2336" s="1766"/>
      <c r="P2336" s="1766"/>
      <c r="W2336" t="s">
        <v>2089</v>
      </c>
    </row>
    <row r="2337" spans="1:23" ht="13.15" customHeight="1" x14ac:dyDescent="0.2">
      <c r="A2337" s="2" t="s">
        <v>2242</v>
      </c>
      <c r="B2337" s="2">
        <f t="shared" si="72"/>
        <v>2019</v>
      </c>
      <c r="C2337" s="2" t="str">
        <f t="shared" si="73"/>
        <v>EC101</v>
      </c>
      <c r="D2337" s="2">
        <v>719</v>
      </c>
      <c r="F2337" s="1764"/>
      <c r="G2337" s="1764"/>
      <c r="H2337" s="1764"/>
      <c r="I2337" s="1764"/>
      <c r="J2337" s="1764"/>
      <c r="K2337" s="1764"/>
      <c r="L2337" s="1766"/>
      <c r="M2337" s="1766"/>
      <c r="N2337" s="1766"/>
      <c r="O2337" s="1766"/>
      <c r="P2337" s="1766"/>
      <c r="W2337" t="s">
        <v>2089</v>
      </c>
    </row>
    <row r="2338" spans="1:23" ht="13.15" customHeight="1" x14ac:dyDescent="0.2">
      <c r="A2338" s="2" t="s">
        <v>2242</v>
      </c>
      <c r="B2338" s="2">
        <f t="shared" si="72"/>
        <v>2019</v>
      </c>
      <c r="C2338" s="2" t="str">
        <f t="shared" si="73"/>
        <v>EC101</v>
      </c>
      <c r="D2338" s="2">
        <v>720</v>
      </c>
      <c r="F2338" s="1764"/>
      <c r="G2338" s="1764"/>
      <c r="H2338" s="1764"/>
      <c r="I2338" s="1764"/>
      <c r="J2338" s="1764"/>
      <c r="K2338" s="1764"/>
      <c r="L2338" s="1766"/>
      <c r="M2338" s="1766"/>
      <c r="N2338" s="1766"/>
      <c r="O2338" s="1766"/>
      <c r="P2338" s="1766"/>
      <c r="W2338" t="s">
        <v>2089</v>
      </c>
    </row>
    <row r="2339" spans="1:23" ht="13.15" customHeight="1" x14ac:dyDescent="0.2">
      <c r="A2339" s="2" t="s">
        <v>2242</v>
      </c>
      <c r="B2339" s="2">
        <f t="shared" si="72"/>
        <v>2019</v>
      </c>
      <c r="C2339" s="2" t="str">
        <f t="shared" si="73"/>
        <v>EC101</v>
      </c>
      <c r="D2339" s="2">
        <v>721</v>
      </c>
      <c r="F2339" s="1764"/>
      <c r="G2339" s="1764"/>
      <c r="H2339" s="1764"/>
      <c r="I2339" s="1764"/>
      <c r="J2339" s="1764"/>
      <c r="K2339" s="1764"/>
      <c r="L2339" s="1766"/>
      <c r="M2339" s="1766"/>
      <c r="N2339" s="1766"/>
      <c r="O2339" s="1766"/>
      <c r="P2339" s="1766"/>
      <c r="W2339" t="s">
        <v>2089</v>
      </c>
    </row>
    <row r="2340" spans="1:23" ht="13.15" customHeight="1" x14ac:dyDescent="0.2">
      <c r="A2340" s="2" t="s">
        <v>2242</v>
      </c>
      <c r="B2340" s="2">
        <f t="shared" si="72"/>
        <v>2019</v>
      </c>
      <c r="C2340" s="2" t="str">
        <f t="shared" si="73"/>
        <v>EC101</v>
      </c>
      <c r="D2340" s="2">
        <v>722</v>
      </c>
      <c r="F2340" s="1764"/>
      <c r="G2340" s="1764"/>
      <c r="H2340" s="1764"/>
      <c r="I2340" s="1764"/>
      <c r="J2340" s="1764"/>
      <c r="K2340" s="1764"/>
      <c r="L2340" s="1766"/>
      <c r="M2340" s="1766"/>
      <c r="N2340" s="1766"/>
      <c r="O2340" s="1766"/>
      <c r="P2340" s="1766"/>
      <c r="W2340" t="s">
        <v>2089</v>
      </c>
    </row>
    <row r="2341" spans="1:23" ht="13.15" customHeight="1" x14ac:dyDescent="0.2">
      <c r="A2341" s="2" t="s">
        <v>2242</v>
      </c>
      <c r="B2341" s="2">
        <f t="shared" si="72"/>
        <v>2019</v>
      </c>
      <c r="C2341" s="2" t="str">
        <f t="shared" si="73"/>
        <v>EC101</v>
      </c>
      <c r="D2341" s="2">
        <v>723</v>
      </c>
      <c r="F2341" s="1764"/>
      <c r="G2341" s="1764"/>
      <c r="H2341" s="1764"/>
      <c r="I2341" s="1764"/>
      <c r="J2341" s="1764"/>
      <c r="K2341" s="1764"/>
      <c r="L2341" s="1766"/>
      <c r="M2341" s="1766"/>
      <c r="N2341" s="1766"/>
      <c r="O2341" s="1766"/>
      <c r="P2341" s="1766"/>
      <c r="W2341" t="s">
        <v>2089</v>
      </c>
    </row>
    <row r="2342" spans="1:23" ht="13.15" customHeight="1" x14ac:dyDescent="0.2">
      <c r="A2342" s="2" t="s">
        <v>2242</v>
      </c>
      <c r="B2342" s="2">
        <f t="shared" si="72"/>
        <v>2019</v>
      </c>
      <c r="C2342" s="2" t="str">
        <f t="shared" si="73"/>
        <v>EC101</v>
      </c>
      <c r="D2342" s="2">
        <v>724</v>
      </c>
      <c r="F2342" s="1764"/>
      <c r="G2342" s="1764"/>
      <c r="H2342" s="1764"/>
      <c r="I2342" s="1764"/>
      <c r="J2342" s="1764"/>
      <c r="K2342" s="1764"/>
      <c r="L2342" s="1766"/>
      <c r="M2342" s="1766"/>
      <c r="N2342" s="1766"/>
      <c r="O2342" s="1766"/>
      <c r="P2342" s="1766"/>
      <c r="W2342" t="s">
        <v>2089</v>
      </c>
    </row>
    <row r="2343" spans="1:23" ht="13.15" customHeight="1" x14ac:dyDescent="0.2">
      <c r="A2343" s="2" t="s">
        <v>2242</v>
      </c>
      <c r="B2343" s="2">
        <f t="shared" si="72"/>
        <v>2019</v>
      </c>
      <c r="C2343" s="2" t="str">
        <f t="shared" si="73"/>
        <v>EC101</v>
      </c>
      <c r="D2343" s="2">
        <v>725</v>
      </c>
      <c r="F2343" s="1764"/>
      <c r="G2343" s="1764"/>
      <c r="H2343" s="1764"/>
      <c r="I2343" s="1764"/>
      <c r="J2343" s="1764"/>
      <c r="K2343" s="1764"/>
      <c r="L2343" s="1766"/>
      <c r="M2343" s="1766"/>
      <c r="N2343" s="1766"/>
      <c r="O2343" s="1766"/>
      <c r="P2343" s="1766"/>
      <c r="W2343" t="s">
        <v>2089</v>
      </c>
    </row>
    <row r="2344" spans="1:23" ht="13.15" customHeight="1" x14ac:dyDescent="0.2">
      <c r="A2344" s="2" t="s">
        <v>2242</v>
      </c>
      <c r="B2344" s="2">
        <f t="shared" si="72"/>
        <v>2019</v>
      </c>
      <c r="C2344" s="2" t="str">
        <f t="shared" si="73"/>
        <v>EC101</v>
      </c>
      <c r="D2344" s="2">
        <v>726</v>
      </c>
      <c r="F2344" s="1764"/>
      <c r="G2344" s="1764"/>
      <c r="H2344" s="1764"/>
      <c r="I2344" s="1764"/>
      <c r="J2344" s="1764"/>
      <c r="K2344" s="1764"/>
      <c r="L2344" s="1766"/>
      <c r="M2344" s="1766"/>
      <c r="N2344" s="1766"/>
      <c r="O2344" s="1766"/>
      <c r="P2344" s="1766"/>
      <c r="W2344" t="s">
        <v>2089</v>
      </c>
    </row>
    <row r="2345" spans="1:23" ht="13.15" customHeight="1" x14ac:dyDescent="0.2">
      <c r="A2345" s="2" t="s">
        <v>2242</v>
      </c>
      <c r="B2345" s="2">
        <f t="shared" si="72"/>
        <v>2019</v>
      </c>
      <c r="C2345" s="2" t="str">
        <f t="shared" si="73"/>
        <v>EC101</v>
      </c>
      <c r="D2345" s="2">
        <v>727</v>
      </c>
      <c r="F2345" s="1764"/>
      <c r="G2345" s="1764"/>
      <c r="H2345" s="1764"/>
      <c r="I2345" s="1764"/>
      <c r="J2345" s="1764"/>
      <c r="K2345" s="1764"/>
      <c r="L2345" s="1766"/>
      <c r="M2345" s="1766"/>
      <c r="N2345" s="1766"/>
      <c r="O2345" s="1766"/>
      <c r="P2345" s="1766"/>
      <c r="W2345" t="s">
        <v>2089</v>
      </c>
    </row>
    <row r="2346" spans="1:23" ht="13.15" customHeight="1" x14ac:dyDescent="0.2">
      <c r="A2346" s="2" t="s">
        <v>2242</v>
      </c>
      <c r="B2346" s="2">
        <f t="shared" si="72"/>
        <v>2019</v>
      </c>
      <c r="C2346" s="2" t="str">
        <f t="shared" si="73"/>
        <v>EC101</v>
      </c>
      <c r="D2346" s="2">
        <v>728</v>
      </c>
      <c r="F2346" s="1764"/>
      <c r="G2346" s="1764"/>
      <c r="H2346" s="1764"/>
      <c r="I2346" s="1764"/>
      <c r="J2346" s="1764"/>
      <c r="K2346" s="1764"/>
      <c r="L2346" s="1766"/>
      <c r="M2346" s="1766"/>
      <c r="N2346" s="1766"/>
      <c r="O2346" s="1766"/>
      <c r="P2346" s="1766"/>
      <c r="W2346" t="s">
        <v>2089</v>
      </c>
    </row>
    <row r="2347" spans="1:23" ht="13.15" customHeight="1" x14ac:dyDescent="0.2">
      <c r="A2347" s="2" t="s">
        <v>2242</v>
      </c>
      <c r="B2347" s="2">
        <f t="shared" si="72"/>
        <v>2019</v>
      </c>
      <c r="C2347" s="2" t="str">
        <f t="shared" si="73"/>
        <v>EC101</v>
      </c>
      <c r="D2347" s="2">
        <v>729</v>
      </c>
      <c r="F2347" s="1764"/>
      <c r="G2347" s="1764"/>
      <c r="H2347" s="1764"/>
      <c r="I2347" s="1764"/>
      <c r="J2347" s="1764"/>
      <c r="K2347" s="1764"/>
      <c r="L2347" s="1766"/>
      <c r="M2347" s="1766"/>
      <c r="N2347" s="1766"/>
      <c r="O2347" s="1766"/>
      <c r="P2347" s="1766"/>
      <c r="W2347" t="s">
        <v>2089</v>
      </c>
    </row>
    <row r="2348" spans="1:23" ht="13.15" customHeight="1" x14ac:dyDescent="0.2">
      <c r="A2348" s="2" t="s">
        <v>2242</v>
      </c>
      <c r="B2348" s="2">
        <f t="shared" si="72"/>
        <v>2019</v>
      </c>
      <c r="C2348" s="2" t="str">
        <f t="shared" si="73"/>
        <v>EC101</v>
      </c>
      <c r="D2348" s="2">
        <v>730</v>
      </c>
      <c r="F2348" s="1764"/>
      <c r="G2348" s="1764"/>
      <c r="H2348" s="1764"/>
      <c r="I2348" s="1764"/>
      <c r="J2348" s="1764"/>
      <c r="K2348" s="1764"/>
      <c r="L2348" s="1766"/>
      <c r="M2348" s="1766"/>
      <c r="N2348" s="1766"/>
      <c r="O2348" s="1766"/>
      <c r="P2348" s="1766"/>
      <c r="W2348" t="s">
        <v>2089</v>
      </c>
    </row>
    <row r="2349" spans="1:23" ht="13.15" customHeight="1" x14ac:dyDescent="0.2">
      <c r="A2349" s="2" t="s">
        <v>2242</v>
      </c>
      <c r="B2349" s="2">
        <f t="shared" si="72"/>
        <v>2019</v>
      </c>
      <c r="C2349" s="2" t="str">
        <f t="shared" si="73"/>
        <v>EC101</v>
      </c>
      <c r="D2349" s="2">
        <v>731</v>
      </c>
      <c r="F2349" s="1764"/>
      <c r="G2349" s="1764"/>
      <c r="H2349" s="1764"/>
      <c r="I2349" s="1764"/>
      <c r="J2349" s="1764"/>
      <c r="K2349" s="1764"/>
      <c r="L2349" s="1766"/>
      <c r="M2349" s="1766"/>
      <c r="N2349" s="1766"/>
      <c r="O2349" s="1766"/>
      <c r="P2349" s="1766"/>
      <c r="W2349" t="s">
        <v>2089</v>
      </c>
    </row>
    <row r="2350" spans="1:23" ht="13.15" customHeight="1" x14ac:dyDescent="0.2">
      <c r="A2350" s="2" t="s">
        <v>2242</v>
      </c>
      <c r="B2350" s="2">
        <f t="shared" si="72"/>
        <v>2019</v>
      </c>
      <c r="C2350" s="2" t="str">
        <f t="shared" si="73"/>
        <v>EC101</v>
      </c>
      <c r="D2350" s="2">
        <v>732</v>
      </c>
      <c r="F2350" s="1764"/>
      <c r="G2350" s="1764"/>
      <c r="H2350" s="1764"/>
      <c r="I2350" s="1764"/>
      <c r="J2350" s="1764"/>
      <c r="K2350" s="1764"/>
      <c r="L2350" s="1766"/>
      <c r="M2350" s="1766"/>
      <c r="N2350" s="1766"/>
      <c r="O2350" s="1766"/>
      <c r="P2350" s="1766"/>
      <c r="W2350" t="s">
        <v>2089</v>
      </c>
    </row>
    <row r="2351" spans="1:23" ht="13.15" customHeight="1" x14ac:dyDescent="0.2">
      <c r="A2351" s="2" t="s">
        <v>2242</v>
      </c>
      <c r="B2351" s="2">
        <f t="shared" si="72"/>
        <v>2019</v>
      </c>
      <c r="C2351" s="2" t="str">
        <f t="shared" si="73"/>
        <v>EC101</v>
      </c>
      <c r="D2351" s="2">
        <v>733</v>
      </c>
      <c r="F2351" s="1764"/>
      <c r="G2351" s="1764"/>
      <c r="H2351" s="1764"/>
      <c r="I2351" s="1764"/>
      <c r="J2351" s="1764"/>
      <c r="K2351" s="1764"/>
      <c r="L2351" s="1766"/>
      <c r="M2351" s="1766"/>
      <c r="N2351" s="1766"/>
      <c r="O2351" s="1766"/>
      <c r="P2351" s="1766"/>
      <c r="W2351" t="s">
        <v>2089</v>
      </c>
    </row>
    <row r="2352" spans="1:23" ht="13.15" customHeight="1" x14ac:dyDescent="0.2">
      <c r="A2352" s="2" t="s">
        <v>2242</v>
      </c>
      <c r="B2352" s="2">
        <f t="shared" si="72"/>
        <v>2019</v>
      </c>
      <c r="C2352" s="2" t="str">
        <f t="shared" si="73"/>
        <v>EC101</v>
      </c>
      <c r="D2352" s="2">
        <v>734</v>
      </c>
      <c r="F2352" s="1764"/>
      <c r="G2352" s="1764"/>
      <c r="H2352" s="1764"/>
      <c r="I2352" s="1764"/>
      <c r="J2352" s="1764"/>
      <c r="K2352" s="1764"/>
      <c r="L2352" s="1766"/>
      <c r="M2352" s="1766"/>
      <c r="N2352" s="1766"/>
      <c r="O2352" s="1766"/>
      <c r="P2352" s="1766"/>
      <c r="W2352" t="s">
        <v>2089</v>
      </c>
    </row>
    <row r="2353" spans="1:23" ht="13.15" customHeight="1" x14ac:dyDescent="0.2">
      <c r="A2353" s="2" t="s">
        <v>2242</v>
      </c>
      <c r="B2353" s="2">
        <f t="shared" si="72"/>
        <v>2019</v>
      </c>
      <c r="C2353" s="2" t="str">
        <f t="shared" si="73"/>
        <v>EC101</v>
      </c>
      <c r="D2353" s="2">
        <v>735</v>
      </c>
      <c r="F2353" s="1764"/>
      <c r="G2353" s="1764"/>
      <c r="H2353" s="1764"/>
      <c r="I2353" s="1764"/>
      <c r="J2353" s="1764"/>
      <c r="K2353" s="1764"/>
      <c r="L2353" s="1766"/>
      <c r="M2353" s="1766"/>
      <c r="N2353" s="1766"/>
      <c r="O2353" s="1766"/>
      <c r="P2353" s="1766"/>
      <c r="W2353" t="s">
        <v>2089</v>
      </c>
    </row>
    <row r="2354" spans="1:23" ht="13.15" customHeight="1" x14ac:dyDescent="0.2">
      <c r="A2354" s="2" t="s">
        <v>2242</v>
      </c>
      <c r="B2354" s="2">
        <f t="shared" si="72"/>
        <v>2019</v>
      </c>
      <c r="C2354" s="2" t="str">
        <f t="shared" si="73"/>
        <v>EC101</v>
      </c>
      <c r="D2354" s="2">
        <v>736</v>
      </c>
      <c r="F2354" s="1764"/>
      <c r="G2354" s="1764"/>
      <c r="H2354" s="1764"/>
      <c r="I2354" s="1764"/>
      <c r="J2354" s="1764"/>
      <c r="K2354" s="1764"/>
      <c r="L2354" s="1766"/>
      <c r="M2354" s="1766"/>
      <c r="N2354" s="1766"/>
      <c r="O2354" s="1766"/>
      <c r="P2354" s="1766"/>
      <c r="W2354" t="s">
        <v>2089</v>
      </c>
    </row>
    <row r="2355" spans="1:23" ht="13.15" customHeight="1" x14ac:dyDescent="0.2">
      <c r="A2355" s="2" t="s">
        <v>2242</v>
      </c>
      <c r="B2355" s="2">
        <f t="shared" si="72"/>
        <v>2019</v>
      </c>
      <c r="C2355" s="2" t="str">
        <f t="shared" si="73"/>
        <v>EC101</v>
      </c>
      <c r="D2355" s="2">
        <v>737</v>
      </c>
      <c r="F2355" s="1764"/>
      <c r="G2355" s="1764"/>
      <c r="H2355" s="1764"/>
      <c r="I2355" s="1764"/>
      <c r="J2355" s="1764"/>
      <c r="K2355" s="1764"/>
      <c r="L2355" s="1766"/>
      <c r="M2355" s="1766"/>
      <c r="N2355" s="1766"/>
      <c r="O2355" s="1766"/>
      <c r="P2355" s="1766"/>
      <c r="W2355" t="s">
        <v>2089</v>
      </c>
    </row>
    <row r="2356" spans="1:23" ht="13.15" customHeight="1" x14ac:dyDescent="0.2">
      <c r="A2356" s="2" t="s">
        <v>2242</v>
      </c>
      <c r="B2356" s="2">
        <f t="shared" si="72"/>
        <v>2019</v>
      </c>
      <c r="C2356" s="2" t="str">
        <f t="shared" si="73"/>
        <v>EC101</v>
      </c>
      <c r="D2356" s="2">
        <v>738</v>
      </c>
      <c r="F2356" s="1764"/>
      <c r="G2356" s="1764"/>
      <c r="H2356" s="1764"/>
      <c r="I2356" s="1764"/>
      <c r="J2356" s="1764"/>
      <c r="K2356" s="1764"/>
      <c r="L2356" s="1766"/>
      <c r="M2356" s="1766"/>
      <c r="N2356" s="1766"/>
      <c r="O2356" s="1766"/>
      <c r="P2356" s="1766"/>
      <c r="W2356" t="s">
        <v>2089</v>
      </c>
    </row>
    <row r="2357" spans="1:23" ht="13.15" customHeight="1" x14ac:dyDescent="0.2">
      <c r="A2357" s="2" t="s">
        <v>2242</v>
      </c>
      <c r="B2357" s="2">
        <f t="shared" si="72"/>
        <v>2019</v>
      </c>
      <c r="C2357" s="2" t="str">
        <f t="shared" si="73"/>
        <v>EC101</v>
      </c>
      <c r="D2357" s="2">
        <v>739</v>
      </c>
      <c r="F2357" s="1764"/>
      <c r="G2357" s="1764"/>
      <c r="H2357" s="1764"/>
      <c r="I2357" s="1764"/>
      <c r="J2357" s="1764"/>
      <c r="K2357" s="1764"/>
      <c r="L2357" s="1766"/>
      <c r="M2357" s="1766"/>
      <c r="N2357" s="1766"/>
      <c r="O2357" s="1766"/>
      <c r="P2357" s="1766"/>
      <c r="W2357" t="s">
        <v>2089</v>
      </c>
    </row>
    <row r="2358" spans="1:23" ht="13.15" customHeight="1" x14ac:dyDescent="0.2">
      <c r="A2358" s="2" t="s">
        <v>2242</v>
      </c>
      <c r="B2358" s="2">
        <f t="shared" si="72"/>
        <v>2019</v>
      </c>
      <c r="C2358" s="2" t="str">
        <f t="shared" si="73"/>
        <v>EC101</v>
      </c>
      <c r="D2358" s="2">
        <v>740</v>
      </c>
      <c r="F2358" s="1764"/>
      <c r="G2358" s="1764"/>
      <c r="H2358" s="1764"/>
      <c r="I2358" s="1764"/>
      <c r="J2358" s="1764"/>
      <c r="K2358" s="1764"/>
      <c r="L2358" s="1766"/>
      <c r="M2358" s="1766"/>
      <c r="N2358" s="1766"/>
      <c r="O2358" s="1766"/>
      <c r="P2358" s="1766"/>
      <c r="W2358" t="s">
        <v>2089</v>
      </c>
    </row>
    <row r="2359" spans="1:23" ht="13.15" customHeight="1" x14ac:dyDescent="0.2">
      <c r="A2359" s="2" t="s">
        <v>2242</v>
      </c>
      <c r="B2359" s="2">
        <f t="shared" si="72"/>
        <v>2019</v>
      </c>
      <c r="C2359" s="2" t="str">
        <f t="shared" si="73"/>
        <v>EC101</v>
      </c>
      <c r="D2359" s="2">
        <v>741</v>
      </c>
      <c r="F2359" s="1764"/>
      <c r="G2359" s="1764"/>
      <c r="H2359" s="1764"/>
      <c r="I2359" s="1764"/>
      <c r="J2359" s="1764"/>
      <c r="K2359" s="1764"/>
      <c r="L2359" s="1766"/>
      <c r="M2359" s="1766"/>
      <c r="N2359" s="1766"/>
      <c r="O2359" s="1766"/>
      <c r="P2359" s="1766"/>
      <c r="W2359" t="s">
        <v>2089</v>
      </c>
    </row>
    <row r="2360" spans="1:23" ht="13.15" customHeight="1" x14ac:dyDescent="0.2">
      <c r="A2360" s="2" t="s">
        <v>2242</v>
      </c>
      <c r="B2360" s="2">
        <f t="shared" si="72"/>
        <v>2019</v>
      </c>
      <c r="C2360" s="2" t="str">
        <f t="shared" si="73"/>
        <v>EC101</v>
      </c>
      <c r="D2360" s="2">
        <v>742</v>
      </c>
      <c r="F2360" s="1764"/>
      <c r="G2360" s="1764"/>
      <c r="H2360" s="1764"/>
      <c r="I2360" s="1764"/>
      <c r="J2360" s="1764"/>
      <c r="K2360" s="1764"/>
      <c r="L2360" s="1766"/>
      <c r="M2360" s="1766"/>
      <c r="N2360" s="1766"/>
      <c r="O2360" s="1766"/>
      <c r="P2360" s="1766"/>
      <c r="W2360" t="s">
        <v>2089</v>
      </c>
    </row>
    <row r="2361" spans="1:23" ht="13.15" customHeight="1" x14ac:dyDescent="0.2">
      <c r="A2361" s="2" t="s">
        <v>2242</v>
      </c>
      <c r="B2361" s="2">
        <f t="shared" si="72"/>
        <v>2019</v>
      </c>
      <c r="C2361" s="2" t="str">
        <f t="shared" si="73"/>
        <v>EC101</v>
      </c>
      <c r="D2361" s="2">
        <v>743</v>
      </c>
      <c r="F2361" s="1764"/>
      <c r="G2361" s="1764"/>
      <c r="H2361" s="1764"/>
      <c r="I2361" s="1764"/>
      <c r="J2361" s="1764"/>
      <c r="K2361" s="1764"/>
      <c r="L2361" s="1766"/>
      <c r="M2361" s="1766"/>
      <c r="N2361" s="1766"/>
      <c r="O2361" s="1766"/>
      <c r="P2361" s="1766"/>
      <c r="W2361" t="s">
        <v>2089</v>
      </c>
    </row>
    <row r="2362" spans="1:23" ht="13.15" customHeight="1" x14ac:dyDescent="0.2">
      <c r="A2362" s="2" t="s">
        <v>2242</v>
      </c>
      <c r="B2362" s="2">
        <f t="shared" si="72"/>
        <v>2019</v>
      </c>
      <c r="C2362" s="2" t="str">
        <f t="shared" si="73"/>
        <v>EC101</v>
      </c>
      <c r="D2362" s="2">
        <v>744</v>
      </c>
      <c r="F2362" s="1764"/>
      <c r="G2362" s="1764"/>
      <c r="H2362" s="1764"/>
      <c r="I2362" s="1764"/>
      <c r="J2362" s="1764"/>
      <c r="K2362" s="1764"/>
      <c r="L2362" s="1766"/>
      <c r="M2362" s="1766"/>
      <c r="N2362" s="1766"/>
      <c r="O2362" s="1766"/>
      <c r="P2362" s="1766"/>
      <c r="W2362" t="s">
        <v>2089</v>
      </c>
    </row>
    <row r="2363" spans="1:23" ht="13.15" customHeight="1" x14ac:dyDescent="0.2">
      <c r="A2363" s="2" t="s">
        <v>2242</v>
      </c>
      <c r="B2363" s="2">
        <f t="shared" si="72"/>
        <v>2019</v>
      </c>
      <c r="C2363" s="2" t="str">
        <f t="shared" si="73"/>
        <v>EC101</v>
      </c>
      <c r="D2363" s="2">
        <v>745</v>
      </c>
      <c r="F2363" s="1764"/>
      <c r="G2363" s="1764"/>
      <c r="H2363" s="1764"/>
      <c r="I2363" s="1764"/>
      <c r="J2363" s="1764"/>
      <c r="K2363" s="1764"/>
      <c r="L2363" s="1766"/>
      <c r="M2363" s="1766"/>
      <c r="N2363" s="1766"/>
      <c r="O2363" s="1766"/>
      <c r="P2363" s="1766"/>
      <c r="W2363" t="s">
        <v>2089</v>
      </c>
    </row>
    <row r="2364" spans="1:23" ht="13.15" customHeight="1" x14ac:dyDescent="0.2">
      <c r="A2364" s="2" t="s">
        <v>2242</v>
      </c>
      <c r="B2364" s="2">
        <f t="shared" si="72"/>
        <v>2019</v>
      </c>
      <c r="C2364" s="2" t="str">
        <f t="shared" si="73"/>
        <v>EC101</v>
      </c>
      <c r="D2364" s="2">
        <v>746</v>
      </c>
      <c r="F2364" s="1764"/>
      <c r="G2364" s="1764"/>
      <c r="H2364" s="1764"/>
      <c r="I2364" s="1764"/>
      <c r="J2364" s="1764"/>
      <c r="K2364" s="1764"/>
      <c r="L2364" s="1766"/>
      <c r="M2364" s="1766"/>
      <c r="N2364" s="1766"/>
      <c r="O2364" s="1766"/>
      <c r="P2364" s="1766"/>
      <c r="W2364" t="s">
        <v>2089</v>
      </c>
    </row>
    <row r="2365" spans="1:23" ht="13.15" customHeight="1" x14ac:dyDescent="0.2">
      <c r="A2365" s="2" t="s">
        <v>2242</v>
      </c>
      <c r="B2365" s="2">
        <f t="shared" si="72"/>
        <v>2019</v>
      </c>
      <c r="C2365" s="2" t="str">
        <f t="shared" si="73"/>
        <v>EC101</v>
      </c>
      <c r="D2365" s="2">
        <v>747</v>
      </c>
      <c r="F2365" s="1764"/>
      <c r="G2365" s="1764"/>
      <c r="H2365" s="1764"/>
      <c r="I2365" s="1764"/>
      <c r="J2365" s="1764"/>
      <c r="K2365" s="1764"/>
      <c r="L2365" s="1766"/>
      <c r="M2365" s="1766"/>
      <c r="N2365" s="1766"/>
      <c r="O2365" s="1766"/>
      <c r="P2365" s="1766"/>
      <c r="W2365" t="s">
        <v>2089</v>
      </c>
    </row>
    <row r="2366" spans="1:23" ht="13.15" customHeight="1" x14ac:dyDescent="0.2">
      <c r="A2366" s="2" t="s">
        <v>2242</v>
      </c>
      <c r="B2366" s="2">
        <f t="shared" si="72"/>
        <v>2019</v>
      </c>
      <c r="C2366" s="2" t="str">
        <f t="shared" si="73"/>
        <v>EC101</v>
      </c>
      <c r="D2366" s="2">
        <v>748</v>
      </c>
      <c r="F2366" s="1764"/>
      <c r="G2366" s="1764"/>
      <c r="H2366" s="1764"/>
      <c r="I2366" s="1764"/>
      <c r="J2366" s="1764"/>
      <c r="K2366" s="1764"/>
      <c r="L2366" s="1766"/>
      <c r="M2366" s="1766"/>
      <c r="N2366" s="1766"/>
      <c r="O2366" s="1766"/>
      <c r="P2366" s="1766"/>
      <c r="W2366" t="s">
        <v>2089</v>
      </c>
    </row>
    <row r="2367" spans="1:23" ht="13.15" customHeight="1" x14ac:dyDescent="0.2">
      <c r="A2367" s="2" t="s">
        <v>2242</v>
      </c>
      <c r="B2367" s="2">
        <f t="shared" si="72"/>
        <v>2019</v>
      </c>
      <c r="C2367" s="2" t="str">
        <f t="shared" si="73"/>
        <v>EC101</v>
      </c>
      <c r="D2367" s="2">
        <v>749</v>
      </c>
      <c r="F2367" s="1764"/>
      <c r="G2367" s="1764"/>
      <c r="H2367" s="1764"/>
      <c r="I2367" s="1764"/>
      <c r="J2367" s="1764"/>
      <c r="K2367" s="1764"/>
      <c r="L2367" s="1766"/>
      <c r="M2367" s="1766"/>
      <c r="N2367" s="1766"/>
      <c r="O2367" s="1766"/>
      <c r="P2367" s="1766"/>
      <c r="W2367" t="s">
        <v>2089</v>
      </c>
    </row>
    <row r="2368" spans="1:23" ht="13.15" customHeight="1" x14ac:dyDescent="0.2">
      <c r="A2368" s="2" t="s">
        <v>2242</v>
      </c>
      <c r="B2368" s="2">
        <f t="shared" si="72"/>
        <v>2019</v>
      </c>
      <c r="C2368" s="2" t="str">
        <f t="shared" si="73"/>
        <v>EC101</v>
      </c>
      <c r="D2368" s="2">
        <v>750</v>
      </c>
      <c r="F2368" s="1764"/>
      <c r="G2368" s="1764"/>
      <c r="H2368" s="1764"/>
      <c r="I2368" s="1764"/>
      <c r="J2368" s="1764"/>
      <c r="K2368" s="1764"/>
      <c r="L2368" s="1766"/>
      <c r="M2368" s="1766"/>
      <c r="N2368" s="1766"/>
      <c r="O2368" s="1766"/>
      <c r="P2368" s="1766"/>
      <c r="W2368" t="s">
        <v>2089</v>
      </c>
    </row>
    <row r="2369" spans="1:23" ht="13.15" customHeight="1" x14ac:dyDescent="0.2">
      <c r="A2369" s="2" t="s">
        <v>2242</v>
      </c>
      <c r="B2369" s="2">
        <f t="shared" si="72"/>
        <v>2019</v>
      </c>
      <c r="C2369" s="2" t="str">
        <f t="shared" si="73"/>
        <v>EC101</v>
      </c>
      <c r="D2369" s="2">
        <v>751</v>
      </c>
      <c r="F2369" s="1764"/>
      <c r="G2369" s="1764"/>
      <c r="H2369" s="1764"/>
      <c r="I2369" s="1764"/>
      <c r="J2369" s="1764"/>
      <c r="K2369" s="1764"/>
      <c r="L2369" s="1766"/>
      <c r="M2369" s="1766"/>
      <c r="N2369" s="1766"/>
      <c r="O2369" s="1766"/>
      <c r="P2369" s="1766"/>
      <c r="W2369" t="s">
        <v>2089</v>
      </c>
    </row>
    <row r="2370" spans="1:23" ht="13.15" customHeight="1" x14ac:dyDescent="0.2">
      <c r="A2370" s="2" t="s">
        <v>2242</v>
      </c>
      <c r="B2370" s="2">
        <f t="shared" ref="B2370:B2433" si="74">+MTREF</f>
        <v>2019</v>
      </c>
      <c r="C2370" s="2" t="str">
        <f t="shared" ref="C2370:C2433" si="75">LEFT(muni,(FIND(" ",muni,1)-1))</f>
        <v>EC101</v>
      </c>
      <c r="D2370" s="2">
        <v>752</v>
      </c>
      <c r="F2370" s="1764"/>
      <c r="G2370" s="1764"/>
      <c r="H2370" s="1764"/>
      <c r="I2370" s="1764"/>
      <c r="J2370" s="1764"/>
      <c r="K2370" s="1764"/>
      <c r="L2370" s="1766"/>
      <c r="M2370" s="1766"/>
      <c r="N2370" s="1766"/>
      <c r="O2370" s="1766"/>
      <c r="P2370" s="1766"/>
      <c r="W2370" t="s">
        <v>2089</v>
      </c>
    </row>
    <row r="2371" spans="1:23" ht="13.15" customHeight="1" x14ac:dyDescent="0.2">
      <c r="A2371" s="2" t="s">
        <v>2242</v>
      </c>
      <c r="B2371" s="2">
        <f t="shared" si="74"/>
        <v>2019</v>
      </c>
      <c r="C2371" s="2" t="str">
        <f t="shared" si="75"/>
        <v>EC101</v>
      </c>
      <c r="D2371" s="2">
        <v>753</v>
      </c>
      <c r="F2371" s="1764"/>
      <c r="G2371" s="1764"/>
      <c r="H2371" s="1764"/>
      <c r="I2371" s="1764"/>
      <c r="J2371" s="1764"/>
      <c r="K2371" s="1764"/>
      <c r="L2371" s="1766"/>
      <c r="M2371" s="1766"/>
      <c r="N2371" s="1766"/>
      <c r="O2371" s="1766"/>
      <c r="P2371" s="1766"/>
      <c r="W2371" t="s">
        <v>2089</v>
      </c>
    </row>
    <row r="2372" spans="1:23" ht="13.15" customHeight="1" x14ac:dyDescent="0.2">
      <c r="A2372" s="2" t="s">
        <v>2242</v>
      </c>
      <c r="B2372" s="2">
        <f t="shared" si="74"/>
        <v>2019</v>
      </c>
      <c r="C2372" s="2" t="str">
        <f t="shared" si="75"/>
        <v>EC101</v>
      </c>
      <c r="D2372" s="2">
        <v>754</v>
      </c>
      <c r="F2372" s="1764"/>
      <c r="G2372" s="1764"/>
      <c r="H2372" s="1764"/>
      <c r="I2372" s="1764"/>
      <c r="J2372" s="1764"/>
      <c r="K2372" s="1764"/>
      <c r="L2372" s="1766"/>
      <c r="M2372" s="1766"/>
      <c r="N2372" s="1766"/>
      <c r="O2372" s="1766"/>
      <c r="P2372" s="1766"/>
      <c r="W2372" t="s">
        <v>2089</v>
      </c>
    </row>
    <row r="2373" spans="1:23" ht="13.15" customHeight="1" x14ac:dyDescent="0.2">
      <c r="A2373" s="2" t="s">
        <v>2242</v>
      </c>
      <c r="B2373" s="2">
        <f t="shared" si="74"/>
        <v>2019</v>
      </c>
      <c r="C2373" s="2" t="str">
        <f t="shared" si="75"/>
        <v>EC101</v>
      </c>
      <c r="D2373" s="2">
        <v>755</v>
      </c>
      <c r="F2373" s="1764"/>
      <c r="G2373" s="1764"/>
      <c r="H2373" s="1764"/>
      <c r="I2373" s="1764"/>
      <c r="J2373" s="1764"/>
      <c r="K2373" s="1764"/>
      <c r="L2373" s="1766"/>
      <c r="M2373" s="1766"/>
      <c r="N2373" s="1766"/>
      <c r="O2373" s="1766"/>
      <c r="P2373" s="1766"/>
      <c r="W2373" t="s">
        <v>2089</v>
      </c>
    </row>
    <row r="2374" spans="1:23" ht="13.15" customHeight="1" x14ac:dyDescent="0.2">
      <c r="A2374" s="2" t="s">
        <v>2242</v>
      </c>
      <c r="B2374" s="2">
        <f t="shared" si="74"/>
        <v>2019</v>
      </c>
      <c r="C2374" s="2" t="str">
        <f t="shared" si="75"/>
        <v>EC101</v>
      </c>
      <c r="D2374" s="2">
        <v>756</v>
      </c>
      <c r="F2374" s="1764"/>
      <c r="G2374" s="1764"/>
      <c r="H2374" s="1764"/>
      <c r="I2374" s="1764"/>
      <c r="J2374" s="1764"/>
      <c r="K2374" s="1764"/>
      <c r="L2374" s="1766"/>
      <c r="M2374" s="1766"/>
      <c r="N2374" s="1766"/>
      <c r="O2374" s="1766"/>
      <c r="P2374" s="1766"/>
      <c r="W2374" t="s">
        <v>2089</v>
      </c>
    </row>
    <row r="2375" spans="1:23" ht="13.15" customHeight="1" x14ac:dyDescent="0.2">
      <c r="A2375" s="2" t="s">
        <v>2242</v>
      </c>
      <c r="B2375" s="2">
        <f t="shared" si="74"/>
        <v>2019</v>
      </c>
      <c r="C2375" s="2" t="str">
        <f t="shared" si="75"/>
        <v>EC101</v>
      </c>
      <c r="D2375" s="2">
        <v>757</v>
      </c>
      <c r="F2375" s="1764"/>
      <c r="G2375" s="1764"/>
      <c r="H2375" s="1764"/>
      <c r="I2375" s="1764"/>
      <c r="J2375" s="1764"/>
      <c r="K2375" s="1764"/>
      <c r="L2375" s="1766"/>
      <c r="M2375" s="1766"/>
      <c r="N2375" s="1766"/>
      <c r="O2375" s="1766"/>
      <c r="P2375" s="1766"/>
      <c r="W2375" t="s">
        <v>2089</v>
      </c>
    </row>
    <row r="2376" spans="1:23" ht="13.15" customHeight="1" x14ac:dyDescent="0.2">
      <c r="A2376" s="2" t="s">
        <v>2242</v>
      </c>
      <c r="B2376" s="2">
        <f t="shared" si="74"/>
        <v>2019</v>
      </c>
      <c r="C2376" s="2" t="str">
        <f t="shared" si="75"/>
        <v>EC101</v>
      </c>
      <c r="D2376" s="2">
        <v>758</v>
      </c>
      <c r="F2376" s="1764"/>
      <c r="G2376" s="1764"/>
      <c r="H2376" s="1764"/>
      <c r="I2376" s="1764"/>
      <c r="J2376" s="1764"/>
      <c r="K2376" s="1764"/>
      <c r="L2376" s="1766"/>
      <c r="M2376" s="1766"/>
      <c r="N2376" s="1766"/>
      <c r="O2376" s="1766"/>
      <c r="P2376" s="1766"/>
      <c r="W2376" t="s">
        <v>2089</v>
      </c>
    </row>
    <row r="2377" spans="1:23" ht="13.15" customHeight="1" x14ac:dyDescent="0.2">
      <c r="A2377" s="2" t="s">
        <v>2242</v>
      </c>
      <c r="B2377" s="2">
        <f t="shared" si="74"/>
        <v>2019</v>
      </c>
      <c r="C2377" s="2" t="str">
        <f t="shared" si="75"/>
        <v>EC101</v>
      </c>
      <c r="D2377" s="2">
        <v>759</v>
      </c>
      <c r="F2377" s="1764"/>
      <c r="G2377" s="1764"/>
      <c r="H2377" s="1764"/>
      <c r="I2377" s="1764"/>
      <c r="J2377" s="1764"/>
      <c r="K2377" s="1764"/>
      <c r="L2377" s="1766"/>
      <c r="M2377" s="1766"/>
      <c r="N2377" s="1766"/>
      <c r="O2377" s="1766"/>
      <c r="P2377" s="1766"/>
      <c r="W2377" t="s">
        <v>2089</v>
      </c>
    </row>
    <row r="2378" spans="1:23" ht="13.15" customHeight="1" x14ac:dyDescent="0.2">
      <c r="A2378" s="2" t="s">
        <v>2242</v>
      </c>
      <c r="B2378" s="2">
        <f t="shared" si="74"/>
        <v>2019</v>
      </c>
      <c r="C2378" s="2" t="str">
        <f t="shared" si="75"/>
        <v>EC101</v>
      </c>
      <c r="D2378" s="2">
        <v>760</v>
      </c>
      <c r="F2378" s="1764"/>
      <c r="G2378" s="1764"/>
      <c r="H2378" s="1764"/>
      <c r="I2378" s="1764"/>
      <c r="J2378" s="1764"/>
      <c r="K2378" s="1764"/>
      <c r="L2378" s="1766"/>
      <c r="M2378" s="1766"/>
      <c r="N2378" s="1766"/>
      <c r="O2378" s="1766"/>
      <c r="P2378" s="1766"/>
      <c r="W2378" t="s">
        <v>2089</v>
      </c>
    </row>
    <row r="2379" spans="1:23" ht="13.15" customHeight="1" x14ac:dyDescent="0.2">
      <c r="A2379" s="2" t="s">
        <v>2242</v>
      </c>
      <c r="B2379" s="2">
        <f t="shared" si="74"/>
        <v>2019</v>
      </c>
      <c r="C2379" s="2" t="str">
        <f t="shared" si="75"/>
        <v>EC101</v>
      </c>
      <c r="D2379" s="2">
        <v>761</v>
      </c>
      <c r="F2379" s="1764"/>
      <c r="G2379" s="1764"/>
      <c r="H2379" s="1764"/>
      <c r="I2379" s="1764"/>
      <c r="J2379" s="1764"/>
      <c r="K2379" s="1764"/>
      <c r="L2379" s="1766"/>
      <c r="M2379" s="1766"/>
      <c r="N2379" s="1766"/>
      <c r="O2379" s="1766"/>
      <c r="P2379" s="1766"/>
      <c r="W2379" t="s">
        <v>2089</v>
      </c>
    </row>
    <row r="2380" spans="1:23" ht="13.15" customHeight="1" x14ac:dyDescent="0.2">
      <c r="A2380" s="2" t="s">
        <v>2242</v>
      </c>
      <c r="B2380" s="2">
        <f t="shared" si="74"/>
        <v>2019</v>
      </c>
      <c r="C2380" s="2" t="str">
        <f t="shared" si="75"/>
        <v>EC101</v>
      </c>
      <c r="D2380" s="2">
        <v>762</v>
      </c>
      <c r="F2380" s="1764"/>
      <c r="G2380" s="1764"/>
      <c r="H2380" s="1764"/>
      <c r="I2380" s="1764"/>
      <c r="J2380" s="1764"/>
      <c r="K2380" s="1764"/>
      <c r="L2380" s="1766"/>
      <c r="M2380" s="1766"/>
      <c r="N2380" s="1766"/>
      <c r="O2380" s="1766"/>
      <c r="P2380" s="1766"/>
      <c r="W2380" t="s">
        <v>2089</v>
      </c>
    </row>
    <row r="2381" spans="1:23" ht="13.15" customHeight="1" x14ac:dyDescent="0.2">
      <c r="A2381" s="2" t="s">
        <v>2242</v>
      </c>
      <c r="B2381" s="2">
        <f t="shared" si="74"/>
        <v>2019</v>
      </c>
      <c r="C2381" s="2" t="str">
        <f t="shared" si="75"/>
        <v>EC101</v>
      </c>
      <c r="D2381" s="2">
        <v>763</v>
      </c>
      <c r="F2381" s="1764"/>
      <c r="G2381" s="1764"/>
      <c r="H2381" s="1764"/>
      <c r="I2381" s="1764"/>
      <c r="J2381" s="1764"/>
      <c r="K2381" s="1764"/>
      <c r="L2381" s="1766"/>
      <c r="M2381" s="1766"/>
      <c r="N2381" s="1766"/>
      <c r="O2381" s="1766"/>
      <c r="P2381" s="1766"/>
      <c r="W2381" t="s">
        <v>2089</v>
      </c>
    </row>
    <row r="2382" spans="1:23" ht="13.15" customHeight="1" x14ac:dyDescent="0.2">
      <c r="A2382" s="2" t="s">
        <v>2242</v>
      </c>
      <c r="B2382" s="2">
        <f t="shared" si="74"/>
        <v>2019</v>
      </c>
      <c r="C2382" s="2" t="str">
        <f t="shared" si="75"/>
        <v>EC101</v>
      </c>
      <c r="D2382" s="2">
        <v>764</v>
      </c>
      <c r="F2382" s="1764"/>
      <c r="G2382" s="1764"/>
      <c r="H2382" s="1764"/>
      <c r="I2382" s="1764"/>
      <c r="J2382" s="1764"/>
      <c r="K2382" s="1764"/>
      <c r="L2382" s="1766"/>
      <c r="M2382" s="1766"/>
      <c r="N2382" s="1766"/>
      <c r="O2382" s="1766"/>
      <c r="P2382" s="1766"/>
      <c r="W2382" t="s">
        <v>2089</v>
      </c>
    </row>
    <row r="2383" spans="1:23" ht="13.15" customHeight="1" x14ac:dyDescent="0.2">
      <c r="A2383" s="2" t="s">
        <v>2242</v>
      </c>
      <c r="B2383" s="2">
        <f t="shared" si="74"/>
        <v>2019</v>
      </c>
      <c r="C2383" s="2" t="str">
        <f t="shared" si="75"/>
        <v>EC101</v>
      </c>
      <c r="D2383" s="2">
        <v>765</v>
      </c>
      <c r="F2383" s="1764"/>
      <c r="G2383" s="1764"/>
      <c r="H2383" s="1764"/>
      <c r="I2383" s="1764"/>
      <c r="J2383" s="1764"/>
      <c r="K2383" s="1764"/>
      <c r="L2383" s="1766"/>
      <c r="M2383" s="1766"/>
      <c r="N2383" s="1766"/>
      <c r="O2383" s="1766"/>
      <c r="P2383" s="1766"/>
      <c r="W2383" t="s">
        <v>2089</v>
      </c>
    </row>
    <row r="2384" spans="1:23" ht="13.15" customHeight="1" x14ac:dyDescent="0.2">
      <c r="A2384" s="2" t="s">
        <v>2242</v>
      </c>
      <c r="B2384" s="2">
        <f t="shared" si="74"/>
        <v>2019</v>
      </c>
      <c r="C2384" s="2" t="str">
        <f t="shared" si="75"/>
        <v>EC101</v>
      </c>
      <c r="D2384" s="2">
        <v>766</v>
      </c>
      <c r="F2384" s="1764"/>
      <c r="G2384" s="1764"/>
      <c r="H2384" s="1764"/>
      <c r="I2384" s="1764"/>
      <c r="J2384" s="1764"/>
      <c r="K2384" s="1764"/>
      <c r="L2384" s="1766"/>
      <c r="M2384" s="1766"/>
      <c r="N2384" s="1766"/>
      <c r="O2384" s="1766"/>
      <c r="P2384" s="1766"/>
      <c r="W2384" t="s">
        <v>2089</v>
      </c>
    </row>
    <row r="2385" spans="1:23" ht="13.15" customHeight="1" x14ac:dyDescent="0.2">
      <c r="A2385" s="2" t="s">
        <v>2242</v>
      </c>
      <c r="B2385" s="2">
        <f t="shared" si="74"/>
        <v>2019</v>
      </c>
      <c r="C2385" s="2" t="str">
        <f t="shared" si="75"/>
        <v>EC101</v>
      </c>
      <c r="D2385" s="2">
        <v>767</v>
      </c>
      <c r="F2385" s="1764"/>
      <c r="G2385" s="1764"/>
      <c r="H2385" s="1764"/>
      <c r="I2385" s="1764"/>
      <c r="J2385" s="1764"/>
      <c r="K2385" s="1764"/>
      <c r="L2385" s="1766"/>
      <c r="M2385" s="1766"/>
      <c r="N2385" s="1766"/>
      <c r="O2385" s="1766"/>
      <c r="P2385" s="1766"/>
      <c r="W2385" t="s">
        <v>2089</v>
      </c>
    </row>
    <row r="2386" spans="1:23" ht="13.15" customHeight="1" x14ac:dyDescent="0.2">
      <c r="A2386" s="2" t="s">
        <v>2242</v>
      </c>
      <c r="B2386" s="2">
        <f t="shared" si="74"/>
        <v>2019</v>
      </c>
      <c r="C2386" s="2" t="str">
        <f t="shared" si="75"/>
        <v>EC101</v>
      </c>
      <c r="D2386" s="2">
        <v>768</v>
      </c>
      <c r="F2386" s="1764"/>
      <c r="G2386" s="1764"/>
      <c r="H2386" s="1764"/>
      <c r="I2386" s="1764"/>
      <c r="J2386" s="1764"/>
      <c r="K2386" s="1764"/>
      <c r="L2386" s="1766"/>
      <c r="M2386" s="1766"/>
      <c r="N2386" s="1766"/>
      <c r="O2386" s="1766"/>
      <c r="P2386" s="1766"/>
      <c r="W2386" t="s">
        <v>2089</v>
      </c>
    </row>
    <row r="2387" spans="1:23" ht="13.15" customHeight="1" x14ac:dyDescent="0.2">
      <c r="A2387" s="2" t="s">
        <v>2242</v>
      </c>
      <c r="B2387" s="2">
        <f t="shared" si="74"/>
        <v>2019</v>
      </c>
      <c r="C2387" s="2" t="str">
        <f t="shared" si="75"/>
        <v>EC101</v>
      </c>
      <c r="D2387" s="2">
        <v>769</v>
      </c>
      <c r="F2387" s="1764"/>
      <c r="G2387" s="1764"/>
      <c r="H2387" s="1764"/>
      <c r="I2387" s="1764"/>
      <c r="J2387" s="1764"/>
      <c r="K2387" s="1764"/>
      <c r="L2387" s="1766"/>
      <c r="M2387" s="1766"/>
      <c r="N2387" s="1766"/>
      <c r="O2387" s="1766"/>
      <c r="P2387" s="1766"/>
      <c r="W2387" t="s">
        <v>2089</v>
      </c>
    </row>
    <row r="2388" spans="1:23" ht="13.15" customHeight="1" x14ac:dyDescent="0.2">
      <c r="A2388" s="2" t="s">
        <v>2242</v>
      </c>
      <c r="B2388" s="2">
        <f t="shared" si="74"/>
        <v>2019</v>
      </c>
      <c r="C2388" s="2" t="str">
        <f t="shared" si="75"/>
        <v>EC101</v>
      </c>
      <c r="D2388" s="2">
        <v>770</v>
      </c>
      <c r="F2388" s="1764"/>
      <c r="G2388" s="1764"/>
      <c r="H2388" s="1764"/>
      <c r="I2388" s="1764"/>
      <c r="J2388" s="1764"/>
      <c r="K2388" s="1764"/>
      <c r="L2388" s="1766"/>
      <c r="M2388" s="1766"/>
      <c r="N2388" s="1766"/>
      <c r="O2388" s="1766"/>
      <c r="P2388" s="1766"/>
      <c r="W2388" t="s">
        <v>2089</v>
      </c>
    </row>
    <row r="2389" spans="1:23" ht="13.15" customHeight="1" x14ac:dyDescent="0.2">
      <c r="A2389" s="2" t="s">
        <v>2242</v>
      </c>
      <c r="B2389" s="2">
        <f t="shared" si="74"/>
        <v>2019</v>
      </c>
      <c r="C2389" s="2" t="str">
        <f t="shared" si="75"/>
        <v>EC101</v>
      </c>
      <c r="D2389" s="2">
        <v>771</v>
      </c>
      <c r="F2389" s="1764"/>
      <c r="G2389" s="1764"/>
      <c r="H2389" s="1764"/>
      <c r="I2389" s="1764"/>
      <c r="J2389" s="1764"/>
      <c r="K2389" s="1764"/>
      <c r="L2389" s="1766"/>
      <c r="M2389" s="1766"/>
      <c r="N2389" s="1766"/>
      <c r="O2389" s="1766"/>
      <c r="P2389" s="1766"/>
      <c r="W2389" t="s">
        <v>2089</v>
      </c>
    </row>
    <row r="2390" spans="1:23" ht="13.15" customHeight="1" x14ac:dyDescent="0.2">
      <c r="A2390" s="2" t="s">
        <v>2242</v>
      </c>
      <c r="B2390" s="2">
        <f t="shared" si="74"/>
        <v>2019</v>
      </c>
      <c r="C2390" s="2" t="str">
        <f t="shared" si="75"/>
        <v>EC101</v>
      </c>
      <c r="D2390" s="2">
        <v>772</v>
      </c>
      <c r="F2390" s="1764"/>
      <c r="G2390" s="1764"/>
      <c r="H2390" s="1764"/>
      <c r="I2390" s="1764"/>
      <c r="J2390" s="1764"/>
      <c r="K2390" s="1764"/>
      <c r="L2390" s="1766"/>
      <c r="M2390" s="1766"/>
      <c r="N2390" s="1766"/>
      <c r="O2390" s="1766"/>
      <c r="P2390" s="1766"/>
      <c r="W2390" t="s">
        <v>2089</v>
      </c>
    </row>
    <row r="2391" spans="1:23" ht="13.15" customHeight="1" x14ac:dyDescent="0.2">
      <c r="A2391" s="2" t="s">
        <v>2242</v>
      </c>
      <c r="B2391" s="2">
        <f t="shared" si="74"/>
        <v>2019</v>
      </c>
      <c r="C2391" s="2" t="str">
        <f t="shared" si="75"/>
        <v>EC101</v>
      </c>
      <c r="D2391" s="2">
        <v>773</v>
      </c>
      <c r="F2391" s="1764"/>
      <c r="G2391" s="1764"/>
      <c r="H2391" s="1764"/>
      <c r="I2391" s="1764"/>
      <c r="J2391" s="1764"/>
      <c r="K2391" s="1764"/>
      <c r="L2391" s="1766"/>
      <c r="M2391" s="1766"/>
      <c r="N2391" s="1766"/>
      <c r="O2391" s="1766"/>
      <c r="P2391" s="1766"/>
      <c r="W2391" t="s">
        <v>2089</v>
      </c>
    </row>
    <row r="2392" spans="1:23" ht="13.15" customHeight="1" x14ac:dyDescent="0.2">
      <c r="A2392" s="2" t="s">
        <v>2242</v>
      </c>
      <c r="B2392" s="2">
        <f t="shared" si="74"/>
        <v>2019</v>
      </c>
      <c r="C2392" s="2" t="str">
        <f t="shared" si="75"/>
        <v>EC101</v>
      </c>
      <c r="D2392" s="2">
        <v>774</v>
      </c>
      <c r="F2392" s="1764"/>
      <c r="G2392" s="1764"/>
      <c r="H2392" s="1764"/>
      <c r="I2392" s="1764"/>
      <c r="J2392" s="1764"/>
      <c r="K2392" s="1764"/>
      <c r="L2392" s="1766"/>
      <c r="M2392" s="1766"/>
      <c r="N2392" s="1766"/>
      <c r="O2392" s="1766"/>
      <c r="P2392" s="1766"/>
      <c r="W2392" t="s">
        <v>2089</v>
      </c>
    </row>
    <row r="2393" spans="1:23" ht="13.15" customHeight="1" x14ac:dyDescent="0.2">
      <c r="A2393" s="2" t="s">
        <v>2242</v>
      </c>
      <c r="B2393" s="2">
        <f t="shared" si="74"/>
        <v>2019</v>
      </c>
      <c r="C2393" s="2" t="str">
        <f t="shared" si="75"/>
        <v>EC101</v>
      </c>
      <c r="D2393" s="2">
        <v>775</v>
      </c>
      <c r="F2393" s="1764"/>
      <c r="G2393" s="1764"/>
      <c r="H2393" s="1764"/>
      <c r="I2393" s="1764"/>
      <c r="J2393" s="1764"/>
      <c r="K2393" s="1764"/>
      <c r="L2393" s="1766"/>
      <c r="M2393" s="1766"/>
      <c r="N2393" s="1766"/>
      <c r="O2393" s="1766"/>
      <c r="P2393" s="1766"/>
      <c r="W2393" t="s">
        <v>2089</v>
      </c>
    </row>
    <row r="2394" spans="1:23" ht="13.15" customHeight="1" x14ac:dyDescent="0.2">
      <c r="A2394" s="2" t="s">
        <v>2242</v>
      </c>
      <c r="B2394" s="2">
        <f t="shared" si="74"/>
        <v>2019</v>
      </c>
      <c r="C2394" s="2" t="str">
        <f t="shared" si="75"/>
        <v>EC101</v>
      </c>
      <c r="D2394" s="2">
        <v>776</v>
      </c>
      <c r="F2394" s="1764"/>
      <c r="G2394" s="1764"/>
      <c r="H2394" s="1764"/>
      <c r="I2394" s="1764"/>
      <c r="J2394" s="1764"/>
      <c r="K2394" s="1764"/>
      <c r="L2394" s="1766"/>
      <c r="M2394" s="1766"/>
      <c r="N2394" s="1766"/>
      <c r="O2394" s="1766"/>
      <c r="P2394" s="1766"/>
      <c r="W2394" t="s">
        <v>2089</v>
      </c>
    </row>
    <row r="2395" spans="1:23" ht="13.15" customHeight="1" x14ac:dyDescent="0.2">
      <c r="A2395" s="2" t="s">
        <v>2242</v>
      </c>
      <c r="B2395" s="2">
        <f t="shared" si="74"/>
        <v>2019</v>
      </c>
      <c r="C2395" s="2" t="str">
        <f t="shared" si="75"/>
        <v>EC101</v>
      </c>
      <c r="D2395" s="2">
        <v>777</v>
      </c>
      <c r="F2395" s="1764"/>
      <c r="G2395" s="1764"/>
      <c r="H2395" s="1764"/>
      <c r="I2395" s="1764"/>
      <c r="J2395" s="1764"/>
      <c r="K2395" s="1764"/>
      <c r="L2395" s="1766"/>
      <c r="M2395" s="1766"/>
      <c r="N2395" s="1766"/>
      <c r="O2395" s="1766"/>
      <c r="P2395" s="1766"/>
      <c r="W2395" t="s">
        <v>2089</v>
      </c>
    </row>
    <row r="2396" spans="1:23" ht="13.15" customHeight="1" x14ac:dyDescent="0.2">
      <c r="A2396" s="2" t="s">
        <v>2242</v>
      </c>
      <c r="B2396" s="2">
        <f t="shared" si="74"/>
        <v>2019</v>
      </c>
      <c r="C2396" s="2" t="str">
        <f t="shared" si="75"/>
        <v>EC101</v>
      </c>
      <c r="D2396" s="2">
        <v>778</v>
      </c>
      <c r="F2396" s="1764"/>
      <c r="G2396" s="1764"/>
      <c r="H2396" s="1764"/>
      <c r="I2396" s="1764"/>
      <c r="J2396" s="1764"/>
      <c r="K2396" s="1764"/>
      <c r="L2396" s="1766"/>
      <c r="M2396" s="1766"/>
      <c r="N2396" s="1766"/>
      <c r="O2396" s="1766"/>
      <c r="P2396" s="1766"/>
      <c r="W2396" t="s">
        <v>2089</v>
      </c>
    </row>
    <row r="2397" spans="1:23" ht="13.15" customHeight="1" x14ac:dyDescent="0.2">
      <c r="A2397" s="2" t="s">
        <v>2242</v>
      </c>
      <c r="B2397" s="2">
        <f t="shared" si="74"/>
        <v>2019</v>
      </c>
      <c r="C2397" s="2" t="str">
        <f t="shared" si="75"/>
        <v>EC101</v>
      </c>
      <c r="D2397" s="2">
        <v>779</v>
      </c>
      <c r="F2397" s="1764"/>
      <c r="G2397" s="1764"/>
      <c r="H2397" s="1764"/>
      <c r="I2397" s="1764"/>
      <c r="J2397" s="1764"/>
      <c r="K2397" s="1764"/>
      <c r="L2397" s="1766"/>
      <c r="M2397" s="1766"/>
      <c r="N2397" s="1766"/>
      <c r="O2397" s="1766"/>
      <c r="P2397" s="1766"/>
      <c r="W2397" t="s">
        <v>2089</v>
      </c>
    </row>
    <row r="2398" spans="1:23" ht="13.15" customHeight="1" x14ac:dyDescent="0.2">
      <c r="A2398" s="2" t="s">
        <v>2242</v>
      </c>
      <c r="B2398" s="2">
        <f t="shared" si="74"/>
        <v>2019</v>
      </c>
      <c r="C2398" s="2" t="str">
        <f t="shared" si="75"/>
        <v>EC101</v>
      </c>
      <c r="D2398" s="2">
        <v>780</v>
      </c>
      <c r="F2398" s="1764"/>
      <c r="G2398" s="1764"/>
      <c r="H2398" s="1764"/>
      <c r="I2398" s="1764"/>
      <c r="J2398" s="1764"/>
      <c r="K2398" s="1764"/>
      <c r="L2398" s="1766"/>
      <c r="M2398" s="1766"/>
      <c r="N2398" s="1766"/>
      <c r="O2398" s="1766"/>
      <c r="P2398" s="1766"/>
      <c r="W2398" t="s">
        <v>2089</v>
      </c>
    </row>
    <row r="2399" spans="1:23" ht="13.15" customHeight="1" x14ac:dyDescent="0.2">
      <c r="A2399" s="2" t="s">
        <v>2242</v>
      </c>
      <c r="B2399" s="2">
        <f t="shared" si="74"/>
        <v>2019</v>
      </c>
      <c r="C2399" s="2" t="str">
        <f t="shared" si="75"/>
        <v>EC101</v>
      </c>
      <c r="D2399" s="2">
        <v>781</v>
      </c>
      <c r="F2399" s="1764"/>
      <c r="G2399" s="1764"/>
      <c r="H2399" s="1764"/>
      <c r="I2399" s="1764"/>
      <c r="J2399" s="1764"/>
      <c r="K2399" s="1764"/>
      <c r="L2399" s="1766"/>
      <c r="M2399" s="1766"/>
      <c r="N2399" s="1766"/>
      <c r="O2399" s="1766"/>
      <c r="P2399" s="1766"/>
      <c r="W2399" t="s">
        <v>2089</v>
      </c>
    </row>
    <row r="2400" spans="1:23" ht="13.15" customHeight="1" x14ac:dyDescent="0.2">
      <c r="A2400" s="2" t="s">
        <v>2242</v>
      </c>
      <c r="B2400" s="2">
        <f t="shared" si="74"/>
        <v>2019</v>
      </c>
      <c r="C2400" s="2" t="str">
        <f t="shared" si="75"/>
        <v>EC101</v>
      </c>
      <c r="D2400" s="2">
        <v>782</v>
      </c>
      <c r="F2400" s="1764"/>
      <c r="G2400" s="1764"/>
      <c r="H2400" s="1764"/>
      <c r="I2400" s="1764"/>
      <c r="J2400" s="1764"/>
      <c r="K2400" s="1764"/>
      <c r="L2400" s="1766"/>
      <c r="M2400" s="1766"/>
      <c r="N2400" s="1766"/>
      <c r="O2400" s="1766"/>
      <c r="P2400" s="1766"/>
      <c r="W2400" t="s">
        <v>2089</v>
      </c>
    </row>
    <row r="2401" spans="1:23" ht="13.15" customHeight="1" x14ac:dyDescent="0.2">
      <c r="A2401" s="2" t="s">
        <v>2242</v>
      </c>
      <c r="B2401" s="2">
        <f t="shared" si="74"/>
        <v>2019</v>
      </c>
      <c r="C2401" s="2" t="str">
        <f t="shared" si="75"/>
        <v>EC101</v>
      </c>
      <c r="D2401" s="2">
        <v>783</v>
      </c>
      <c r="F2401" s="1764"/>
      <c r="G2401" s="1764"/>
      <c r="H2401" s="1764"/>
      <c r="I2401" s="1764"/>
      <c r="J2401" s="1764"/>
      <c r="K2401" s="1764"/>
      <c r="L2401" s="1766"/>
      <c r="M2401" s="1766"/>
      <c r="N2401" s="1766"/>
      <c r="O2401" s="1766"/>
      <c r="P2401" s="1766"/>
      <c r="W2401" t="s">
        <v>2089</v>
      </c>
    </row>
    <row r="2402" spans="1:23" ht="13.15" customHeight="1" x14ac:dyDescent="0.2">
      <c r="A2402" s="2" t="s">
        <v>2242</v>
      </c>
      <c r="B2402" s="2">
        <f t="shared" si="74"/>
        <v>2019</v>
      </c>
      <c r="C2402" s="2" t="str">
        <f t="shared" si="75"/>
        <v>EC101</v>
      </c>
      <c r="D2402" s="2">
        <v>784</v>
      </c>
      <c r="F2402" s="1764"/>
      <c r="G2402" s="1764"/>
      <c r="H2402" s="1764"/>
      <c r="I2402" s="1764"/>
      <c r="J2402" s="1764"/>
      <c r="K2402" s="1764"/>
      <c r="L2402" s="1766"/>
      <c r="M2402" s="1766"/>
      <c r="N2402" s="1766"/>
      <c r="O2402" s="1766"/>
      <c r="P2402" s="1766"/>
      <c r="W2402" t="s">
        <v>2089</v>
      </c>
    </row>
    <row r="2403" spans="1:23" ht="13.15" customHeight="1" x14ac:dyDescent="0.2">
      <c r="A2403" s="2" t="s">
        <v>2242</v>
      </c>
      <c r="B2403" s="2">
        <f t="shared" si="74"/>
        <v>2019</v>
      </c>
      <c r="C2403" s="2" t="str">
        <f t="shared" si="75"/>
        <v>EC101</v>
      </c>
      <c r="D2403" s="2">
        <v>785</v>
      </c>
      <c r="F2403" s="1764"/>
      <c r="G2403" s="1764"/>
      <c r="H2403" s="1764"/>
      <c r="I2403" s="1764"/>
      <c r="J2403" s="1764"/>
      <c r="K2403" s="1764"/>
      <c r="L2403" s="1766"/>
      <c r="M2403" s="1766"/>
      <c r="N2403" s="1766"/>
      <c r="O2403" s="1766"/>
      <c r="P2403" s="1766"/>
      <c r="W2403" t="s">
        <v>2089</v>
      </c>
    </row>
    <row r="2404" spans="1:23" ht="13.15" customHeight="1" x14ac:dyDescent="0.2">
      <c r="A2404" s="2" t="s">
        <v>2242</v>
      </c>
      <c r="B2404" s="2">
        <f t="shared" si="74"/>
        <v>2019</v>
      </c>
      <c r="C2404" s="2" t="str">
        <f t="shared" si="75"/>
        <v>EC101</v>
      </c>
      <c r="D2404" s="2">
        <v>786</v>
      </c>
      <c r="F2404" s="1764"/>
      <c r="G2404" s="1764"/>
      <c r="H2404" s="1764"/>
      <c r="I2404" s="1764"/>
      <c r="J2404" s="1764"/>
      <c r="K2404" s="1764"/>
      <c r="L2404" s="1766"/>
      <c r="M2404" s="1766"/>
      <c r="N2404" s="1766"/>
      <c r="O2404" s="1766"/>
      <c r="P2404" s="1766"/>
      <c r="W2404" t="s">
        <v>2089</v>
      </c>
    </row>
    <row r="2405" spans="1:23" ht="13.15" customHeight="1" x14ac:dyDescent="0.2">
      <c r="A2405" s="2" t="s">
        <v>2242</v>
      </c>
      <c r="B2405" s="2">
        <f t="shared" si="74"/>
        <v>2019</v>
      </c>
      <c r="C2405" s="2" t="str">
        <f t="shared" si="75"/>
        <v>EC101</v>
      </c>
      <c r="D2405" s="2">
        <v>787</v>
      </c>
      <c r="F2405" s="1764"/>
      <c r="G2405" s="1764"/>
      <c r="H2405" s="1764"/>
      <c r="I2405" s="1764"/>
      <c r="J2405" s="1764"/>
      <c r="K2405" s="1764"/>
      <c r="L2405" s="1766"/>
      <c r="M2405" s="1766"/>
      <c r="N2405" s="1766"/>
      <c r="O2405" s="1766"/>
      <c r="P2405" s="1766"/>
      <c r="W2405" t="s">
        <v>2089</v>
      </c>
    </row>
    <row r="2406" spans="1:23" ht="13.15" customHeight="1" x14ac:dyDescent="0.2">
      <c r="A2406" s="2" t="s">
        <v>2242</v>
      </c>
      <c r="B2406" s="2">
        <f t="shared" si="74"/>
        <v>2019</v>
      </c>
      <c r="C2406" s="2" t="str">
        <f t="shared" si="75"/>
        <v>EC101</v>
      </c>
      <c r="D2406" s="2">
        <v>788</v>
      </c>
      <c r="F2406" s="1764"/>
      <c r="G2406" s="1764"/>
      <c r="H2406" s="1764"/>
      <c r="I2406" s="1764"/>
      <c r="J2406" s="1764"/>
      <c r="K2406" s="1764"/>
      <c r="L2406" s="1766"/>
      <c r="M2406" s="1766"/>
      <c r="N2406" s="1766"/>
      <c r="O2406" s="1766"/>
      <c r="P2406" s="1766"/>
      <c r="W2406" t="s">
        <v>2089</v>
      </c>
    </row>
    <row r="2407" spans="1:23" ht="13.15" customHeight="1" x14ac:dyDescent="0.2">
      <c r="A2407" s="2" t="s">
        <v>2242</v>
      </c>
      <c r="B2407" s="2">
        <f t="shared" si="74"/>
        <v>2019</v>
      </c>
      <c r="C2407" s="2" t="str">
        <f t="shared" si="75"/>
        <v>EC101</v>
      </c>
      <c r="D2407" s="2">
        <v>789</v>
      </c>
      <c r="F2407" s="1764"/>
      <c r="G2407" s="1764"/>
      <c r="H2407" s="1764"/>
      <c r="I2407" s="1764"/>
      <c r="J2407" s="1764"/>
      <c r="K2407" s="1764"/>
      <c r="L2407" s="1766"/>
      <c r="M2407" s="1766"/>
      <c r="N2407" s="1766"/>
      <c r="O2407" s="1766"/>
      <c r="P2407" s="1766"/>
      <c r="W2407" t="s">
        <v>2089</v>
      </c>
    </row>
    <row r="2408" spans="1:23" ht="13.15" customHeight="1" x14ac:dyDescent="0.2">
      <c r="A2408" s="2" t="s">
        <v>2242</v>
      </c>
      <c r="B2408" s="2">
        <f t="shared" si="74"/>
        <v>2019</v>
      </c>
      <c r="C2408" s="2" t="str">
        <f t="shared" si="75"/>
        <v>EC101</v>
      </c>
      <c r="D2408" s="2">
        <v>790</v>
      </c>
      <c r="F2408" s="1764"/>
      <c r="G2408" s="1764"/>
      <c r="H2408" s="1764"/>
      <c r="I2408" s="1764"/>
      <c r="J2408" s="1764"/>
      <c r="K2408" s="1764"/>
      <c r="L2408" s="1766"/>
      <c r="M2408" s="1766"/>
      <c r="N2408" s="1766"/>
      <c r="O2408" s="1766"/>
      <c r="P2408" s="1766"/>
      <c r="W2408" t="s">
        <v>2089</v>
      </c>
    </row>
    <row r="2409" spans="1:23" ht="13.15" customHeight="1" x14ac:dyDescent="0.2">
      <c r="A2409" s="2" t="s">
        <v>2242</v>
      </c>
      <c r="B2409" s="2">
        <f t="shared" si="74"/>
        <v>2019</v>
      </c>
      <c r="C2409" s="2" t="str">
        <f t="shared" si="75"/>
        <v>EC101</v>
      </c>
      <c r="D2409" s="2">
        <v>791</v>
      </c>
      <c r="F2409" s="1764"/>
      <c r="G2409" s="1764"/>
      <c r="H2409" s="1764"/>
      <c r="I2409" s="1764"/>
      <c r="J2409" s="1764"/>
      <c r="K2409" s="1764"/>
      <c r="L2409" s="1766"/>
      <c r="M2409" s="1766"/>
      <c r="N2409" s="1766"/>
      <c r="O2409" s="1766"/>
      <c r="P2409" s="1766"/>
      <c r="W2409" t="s">
        <v>2089</v>
      </c>
    </row>
    <row r="2410" spans="1:23" ht="13.15" customHeight="1" x14ac:dyDescent="0.2">
      <c r="A2410" s="2" t="s">
        <v>2242</v>
      </c>
      <c r="B2410" s="2">
        <f t="shared" si="74"/>
        <v>2019</v>
      </c>
      <c r="C2410" s="2" t="str">
        <f t="shared" si="75"/>
        <v>EC101</v>
      </c>
      <c r="D2410" s="2">
        <v>792</v>
      </c>
      <c r="F2410" s="1764"/>
      <c r="G2410" s="1764"/>
      <c r="H2410" s="1764"/>
      <c r="I2410" s="1764"/>
      <c r="J2410" s="1764"/>
      <c r="K2410" s="1764"/>
      <c r="L2410" s="1766"/>
      <c r="M2410" s="1766"/>
      <c r="N2410" s="1766"/>
      <c r="O2410" s="1766"/>
      <c r="P2410" s="1766"/>
      <c r="W2410" t="s">
        <v>2089</v>
      </c>
    </row>
    <row r="2411" spans="1:23" ht="13.15" customHeight="1" x14ac:dyDescent="0.2">
      <c r="A2411" s="2" t="s">
        <v>2242</v>
      </c>
      <c r="B2411" s="2">
        <f t="shared" si="74"/>
        <v>2019</v>
      </c>
      <c r="C2411" s="2" t="str">
        <f t="shared" si="75"/>
        <v>EC101</v>
      </c>
      <c r="D2411" s="2">
        <v>793</v>
      </c>
      <c r="F2411" s="1764"/>
      <c r="G2411" s="1764"/>
      <c r="H2411" s="1764"/>
      <c r="I2411" s="1764"/>
      <c r="J2411" s="1764"/>
      <c r="K2411" s="1764"/>
      <c r="L2411" s="1766"/>
      <c r="M2411" s="1766"/>
      <c r="N2411" s="1766"/>
      <c r="O2411" s="1766"/>
      <c r="P2411" s="1766"/>
      <c r="W2411" t="s">
        <v>2089</v>
      </c>
    </row>
    <row r="2412" spans="1:23" ht="13.15" customHeight="1" x14ac:dyDescent="0.2">
      <c r="A2412" s="2" t="s">
        <v>2242</v>
      </c>
      <c r="B2412" s="2">
        <f t="shared" si="74"/>
        <v>2019</v>
      </c>
      <c r="C2412" s="2" t="str">
        <f t="shared" si="75"/>
        <v>EC101</v>
      </c>
      <c r="D2412" s="2">
        <v>794</v>
      </c>
      <c r="F2412" s="1764"/>
      <c r="G2412" s="1764"/>
      <c r="H2412" s="1764"/>
      <c r="I2412" s="1764"/>
      <c r="J2412" s="1764"/>
      <c r="K2412" s="1764"/>
      <c r="L2412" s="1766"/>
      <c r="M2412" s="1766"/>
      <c r="N2412" s="1766"/>
      <c r="O2412" s="1766"/>
      <c r="P2412" s="1766"/>
      <c r="W2412" t="s">
        <v>2089</v>
      </c>
    </row>
    <row r="2413" spans="1:23" ht="13.15" customHeight="1" x14ac:dyDescent="0.2">
      <c r="A2413" s="2" t="s">
        <v>2242</v>
      </c>
      <c r="B2413" s="2">
        <f t="shared" si="74"/>
        <v>2019</v>
      </c>
      <c r="C2413" s="2" t="str">
        <f t="shared" si="75"/>
        <v>EC101</v>
      </c>
      <c r="D2413" s="2">
        <v>795</v>
      </c>
      <c r="F2413" s="1764"/>
      <c r="G2413" s="1764"/>
      <c r="H2413" s="1764"/>
      <c r="I2413" s="1764"/>
      <c r="J2413" s="1764"/>
      <c r="K2413" s="1764"/>
      <c r="L2413" s="1766"/>
      <c r="M2413" s="1766"/>
      <c r="N2413" s="1766"/>
      <c r="O2413" s="1766"/>
      <c r="P2413" s="1766"/>
      <c r="W2413" t="s">
        <v>2089</v>
      </c>
    </row>
    <row r="2414" spans="1:23" ht="13.15" customHeight="1" x14ac:dyDescent="0.2">
      <c r="A2414" s="2" t="s">
        <v>2242</v>
      </c>
      <c r="B2414" s="2">
        <f t="shared" si="74"/>
        <v>2019</v>
      </c>
      <c r="C2414" s="2" t="str">
        <f t="shared" si="75"/>
        <v>EC101</v>
      </c>
      <c r="D2414" s="2">
        <v>796</v>
      </c>
      <c r="F2414" s="1764"/>
      <c r="G2414" s="1764"/>
      <c r="H2414" s="1764"/>
      <c r="I2414" s="1764"/>
      <c r="J2414" s="1764"/>
      <c r="K2414" s="1764"/>
      <c r="L2414" s="1766"/>
      <c r="M2414" s="1766"/>
      <c r="N2414" s="1766"/>
      <c r="O2414" s="1766"/>
      <c r="P2414" s="1766"/>
      <c r="W2414" t="s">
        <v>2089</v>
      </c>
    </row>
    <row r="2415" spans="1:23" ht="13.15" customHeight="1" x14ac:dyDescent="0.2">
      <c r="A2415" s="2" t="s">
        <v>2242</v>
      </c>
      <c r="B2415" s="2">
        <f t="shared" si="74"/>
        <v>2019</v>
      </c>
      <c r="C2415" s="2" t="str">
        <f t="shared" si="75"/>
        <v>EC101</v>
      </c>
      <c r="D2415" s="2">
        <v>797</v>
      </c>
      <c r="F2415" s="1764"/>
      <c r="G2415" s="1764"/>
      <c r="H2415" s="1764"/>
      <c r="I2415" s="1764"/>
      <c r="J2415" s="1764"/>
      <c r="K2415" s="1764"/>
      <c r="L2415" s="1766"/>
      <c r="M2415" s="1766"/>
      <c r="N2415" s="1766"/>
      <c r="O2415" s="1766"/>
      <c r="P2415" s="1766"/>
      <c r="W2415" t="s">
        <v>2089</v>
      </c>
    </row>
    <row r="2416" spans="1:23" ht="13.15" customHeight="1" x14ac:dyDescent="0.2">
      <c r="A2416" s="2" t="s">
        <v>2242</v>
      </c>
      <c r="B2416" s="2">
        <f t="shared" si="74"/>
        <v>2019</v>
      </c>
      <c r="C2416" s="2" t="str">
        <f t="shared" si="75"/>
        <v>EC101</v>
      </c>
      <c r="D2416" s="2">
        <v>798</v>
      </c>
      <c r="F2416" s="1764"/>
      <c r="G2416" s="1764"/>
      <c r="H2416" s="1764"/>
      <c r="I2416" s="1764"/>
      <c r="J2416" s="1764"/>
      <c r="K2416" s="1764"/>
      <c r="L2416" s="1766"/>
      <c r="M2416" s="1766"/>
      <c r="N2416" s="1766"/>
      <c r="O2416" s="1766"/>
      <c r="P2416" s="1766"/>
      <c r="W2416" t="s">
        <v>2089</v>
      </c>
    </row>
    <row r="2417" spans="1:23" ht="13.15" customHeight="1" x14ac:dyDescent="0.2">
      <c r="A2417" s="2" t="s">
        <v>2242</v>
      </c>
      <c r="B2417" s="2">
        <f t="shared" si="74"/>
        <v>2019</v>
      </c>
      <c r="C2417" s="2" t="str">
        <f t="shared" si="75"/>
        <v>EC101</v>
      </c>
      <c r="D2417" s="2">
        <v>799</v>
      </c>
      <c r="F2417" s="1764"/>
      <c r="G2417" s="1764"/>
      <c r="H2417" s="1764"/>
      <c r="I2417" s="1764"/>
      <c r="J2417" s="1764"/>
      <c r="K2417" s="1764"/>
      <c r="L2417" s="1766"/>
      <c r="M2417" s="1766"/>
      <c r="N2417" s="1766"/>
      <c r="O2417" s="1766"/>
      <c r="P2417" s="1766"/>
      <c r="W2417" t="s">
        <v>2089</v>
      </c>
    </row>
    <row r="2418" spans="1:23" ht="13.15" customHeight="1" x14ac:dyDescent="0.2">
      <c r="A2418" s="2" t="s">
        <v>2242</v>
      </c>
      <c r="B2418" s="2">
        <f t="shared" si="74"/>
        <v>2019</v>
      </c>
      <c r="C2418" s="2" t="str">
        <f t="shared" si="75"/>
        <v>EC101</v>
      </c>
      <c r="D2418" s="2">
        <v>800</v>
      </c>
      <c r="F2418" s="1764"/>
      <c r="G2418" s="1764"/>
      <c r="H2418" s="1764"/>
      <c r="I2418" s="1764"/>
      <c r="J2418" s="1764"/>
      <c r="K2418" s="1764"/>
      <c r="L2418" s="1766"/>
      <c r="M2418" s="1766"/>
      <c r="N2418" s="1766"/>
      <c r="O2418" s="1766"/>
      <c r="P2418" s="1766"/>
      <c r="W2418" t="s">
        <v>2089</v>
      </c>
    </row>
    <row r="2419" spans="1:23" ht="13.15" customHeight="1" x14ac:dyDescent="0.2">
      <c r="A2419" s="2" t="s">
        <v>2242</v>
      </c>
      <c r="B2419" s="2">
        <f t="shared" si="74"/>
        <v>2019</v>
      </c>
      <c r="C2419" s="2" t="str">
        <f t="shared" si="75"/>
        <v>EC101</v>
      </c>
      <c r="D2419" s="2">
        <v>801</v>
      </c>
      <c r="F2419" s="1764"/>
      <c r="G2419" s="1764"/>
      <c r="H2419" s="1764"/>
      <c r="I2419" s="1764"/>
      <c r="J2419" s="1764"/>
      <c r="K2419" s="1764"/>
      <c r="L2419" s="1766"/>
      <c r="M2419" s="1766"/>
      <c r="N2419" s="1766"/>
      <c r="O2419" s="1766"/>
      <c r="P2419" s="1766"/>
      <c r="W2419" t="s">
        <v>2089</v>
      </c>
    </row>
    <row r="2420" spans="1:23" ht="13.15" customHeight="1" x14ac:dyDescent="0.2">
      <c r="A2420" s="2" t="s">
        <v>2242</v>
      </c>
      <c r="B2420" s="2">
        <f t="shared" si="74"/>
        <v>2019</v>
      </c>
      <c r="C2420" s="2" t="str">
        <f t="shared" si="75"/>
        <v>EC101</v>
      </c>
      <c r="D2420" s="2">
        <v>802</v>
      </c>
      <c r="F2420" s="1764"/>
      <c r="G2420" s="1764"/>
      <c r="H2420" s="1764"/>
      <c r="I2420" s="1764"/>
      <c r="J2420" s="1764"/>
      <c r="K2420" s="1764"/>
      <c r="L2420" s="1766"/>
      <c r="M2420" s="1766"/>
      <c r="N2420" s="1766"/>
      <c r="O2420" s="1766"/>
      <c r="P2420" s="1766"/>
      <c r="W2420" t="s">
        <v>2089</v>
      </c>
    </row>
    <row r="2421" spans="1:23" ht="13.15" customHeight="1" x14ac:dyDescent="0.2">
      <c r="A2421" s="2" t="s">
        <v>2242</v>
      </c>
      <c r="B2421" s="2">
        <f t="shared" si="74"/>
        <v>2019</v>
      </c>
      <c r="C2421" s="2" t="str">
        <f t="shared" si="75"/>
        <v>EC101</v>
      </c>
      <c r="D2421" s="2">
        <v>803</v>
      </c>
      <c r="F2421" s="1764"/>
      <c r="G2421" s="1764"/>
      <c r="H2421" s="1764"/>
      <c r="I2421" s="1764"/>
      <c r="J2421" s="1764"/>
      <c r="K2421" s="1764"/>
      <c r="L2421" s="1766"/>
      <c r="M2421" s="1766"/>
      <c r="N2421" s="1766"/>
      <c r="O2421" s="1766"/>
      <c r="P2421" s="1766"/>
      <c r="W2421" t="s">
        <v>2089</v>
      </c>
    </row>
    <row r="2422" spans="1:23" ht="13.15" customHeight="1" x14ac:dyDescent="0.2">
      <c r="A2422" s="2" t="s">
        <v>2242</v>
      </c>
      <c r="B2422" s="2">
        <f t="shared" si="74"/>
        <v>2019</v>
      </c>
      <c r="C2422" s="2" t="str">
        <f t="shared" si="75"/>
        <v>EC101</v>
      </c>
      <c r="D2422" s="2">
        <v>804</v>
      </c>
      <c r="F2422" s="1764"/>
      <c r="G2422" s="1764"/>
      <c r="H2422" s="1764"/>
      <c r="I2422" s="1764"/>
      <c r="J2422" s="1764"/>
      <c r="K2422" s="1764"/>
      <c r="L2422" s="1766"/>
      <c r="M2422" s="1766"/>
      <c r="N2422" s="1766"/>
      <c r="O2422" s="1766"/>
      <c r="P2422" s="1766"/>
      <c r="W2422" t="s">
        <v>2089</v>
      </c>
    </row>
    <row r="2423" spans="1:23" ht="13.15" customHeight="1" x14ac:dyDescent="0.2">
      <c r="A2423" s="2" t="s">
        <v>2242</v>
      </c>
      <c r="B2423" s="2">
        <f t="shared" si="74"/>
        <v>2019</v>
      </c>
      <c r="C2423" s="2" t="str">
        <f t="shared" si="75"/>
        <v>EC101</v>
      </c>
      <c r="D2423" s="2">
        <v>805</v>
      </c>
      <c r="F2423" s="1764"/>
      <c r="G2423" s="1764"/>
      <c r="H2423" s="1764"/>
      <c r="I2423" s="1764"/>
      <c r="J2423" s="1764"/>
      <c r="K2423" s="1764"/>
      <c r="L2423" s="1766"/>
      <c r="M2423" s="1766"/>
      <c r="N2423" s="1766"/>
      <c r="O2423" s="1766"/>
      <c r="P2423" s="1766"/>
      <c r="W2423" t="s">
        <v>2089</v>
      </c>
    </row>
    <row r="2424" spans="1:23" ht="13.15" customHeight="1" x14ac:dyDescent="0.2">
      <c r="A2424" s="2" t="s">
        <v>2242</v>
      </c>
      <c r="B2424" s="2">
        <f t="shared" si="74"/>
        <v>2019</v>
      </c>
      <c r="C2424" s="2" t="str">
        <f t="shared" si="75"/>
        <v>EC101</v>
      </c>
      <c r="D2424" s="2">
        <v>806</v>
      </c>
      <c r="F2424" s="1764"/>
      <c r="G2424" s="1764"/>
      <c r="H2424" s="1764"/>
      <c r="I2424" s="1764"/>
      <c r="J2424" s="1764"/>
      <c r="K2424" s="1764"/>
      <c r="L2424" s="1766"/>
      <c r="M2424" s="1766"/>
      <c r="N2424" s="1766"/>
      <c r="O2424" s="1766"/>
      <c r="P2424" s="1766"/>
      <c r="W2424" t="s">
        <v>2089</v>
      </c>
    </row>
    <row r="2425" spans="1:23" ht="13.15" customHeight="1" x14ac:dyDescent="0.2">
      <c r="A2425" s="2" t="s">
        <v>2242</v>
      </c>
      <c r="B2425" s="2">
        <f t="shared" si="74"/>
        <v>2019</v>
      </c>
      <c r="C2425" s="2" t="str">
        <f t="shared" si="75"/>
        <v>EC101</v>
      </c>
      <c r="D2425" s="2">
        <v>807</v>
      </c>
      <c r="F2425" s="1764"/>
      <c r="G2425" s="1764"/>
      <c r="H2425" s="1764"/>
      <c r="I2425" s="1764"/>
      <c r="J2425" s="1764"/>
      <c r="K2425" s="1764"/>
      <c r="L2425" s="1766"/>
      <c r="M2425" s="1766"/>
      <c r="N2425" s="1766"/>
      <c r="O2425" s="1766"/>
      <c r="P2425" s="1766"/>
      <c r="W2425" t="s">
        <v>2089</v>
      </c>
    </row>
    <row r="2426" spans="1:23" ht="13.15" customHeight="1" x14ac:dyDescent="0.2">
      <c r="A2426" s="2" t="s">
        <v>2242</v>
      </c>
      <c r="B2426" s="2">
        <f t="shared" si="74"/>
        <v>2019</v>
      </c>
      <c r="C2426" s="2" t="str">
        <f t="shared" si="75"/>
        <v>EC101</v>
      </c>
      <c r="D2426" s="2">
        <v>808</v>
      </c>
      <c r="F2426" s="1764"/>
      <c r="G2426" s="1764"/>
      <c r="H2426" s="1764"/>
      <c r="I2426" s="1764"/>
      <c r="J2426" s="1764"/>
      <c r="K2426" s="1764"/>
      <c r="L2426" s="1766"/>
      <c r="M2426" s="1766"/>
      <c r="N2426" s="1766"/>
      <c r="O2426" s="1766"/>
      <c r="P2426" s="1766"/>
      <c r="W2426" t="s">
        <v>2089</v>
      </c>
    </row>
    <row r="2427" spans="1:23" ht="13.15" customHeight="1" x14ac:dyDescent="0.2">
      <c r="A2427" s="2" t="s">
        <v>2242</v>
      </c>
      <c r="B2427" s="2">
        <f t="shared" si="74"/>
        <v>2019</v>
      </c>
      <c r="C2427" s="2" t="str">
        <f t="shared" si="75"/>
        <v>EC101</v>
      </c>
      <c r="D2427" s="2">
        <v>809</v>
      </c>
      <c r="F2427" s="1764"/>
      <c r="G2427" s="1764"/>
      <c r="H2427" s="1764"/>
      <c r="I2427" s="1764"/>
      <c r="J2427" s="1764"/>
      <c r="K2427" s="1764"/>
      <c r="L2427" s="1766"/>
      <c r="M2427" s="1766"/>
      <c r="N2427" s="1766"/>
      <c r="O2427" s="1766"/>
      <c r="P2427" s="1766"/>
      <c r="W2427" t="s">
        <v>2089</v>
      </c>
    </row>
    <row r="2428" spans="1:23" ht="13.15" customHeight="1" x14ac:dyDescent="0.2">
      <c r="A2428" s="2" t="s">
        <v>2242</v>
      </c>
      <c r="B2428" s="2">
        <f t="shared" si="74"/>
        <v>2019</v>
      </c>
      <c r="C2428" s="2" t="str">
        <f t="shared" si="75"/>
        <v>EC101</v>
      </c>
      <c r="D2428" s="2">
        <v>810</v>
      </c>
      <c r="F2428" s="1764"/>
      <c r="G2428" s="1764"/>
      <c r="H2428" s="1764"/>
      <c r="I2428" s="1764"/>
      <c r="J2428" s="1764"/>
      <c r="K2428" s="1764"/>
      <c r="L2428" s="1766"/>
      <c r="M2428" s="1766"/>
      <c r="N2428" s="1766"/>
      <c r="O2428" s="1766"/>
      <c r="P2428" s="1766"/>
      <c r="W2428" t="s">
        <v>2089</v>
      </c>
    </row>
    <row r="2429" spans="1:23" ht="13.15" customHeight="1" x14ac:dyDescent="0.2">
      <c r="A2429" s="2" t="s">
        <v>2242</v>
      </c>
      <c r="B2429" s="2">
        <f t="shared" si="74"/>
        <v>2019</v>
      </c>
      <c r="C2429" s="2" t="str">
        <f t="shared" si="75"/>
        <v>EC101</v>
      </c>
      <c r="D2429" s="2">
        <v>811</v>
      </c>
      <c r="F2429" s="1764"/>
      <c r="G2429" s="1764"/>
      <c r="H2429" s="1764"/>
      <c r="I2429" s="1764"/>
      <c r="J2429" s="1764"/>
      <c r="K2429" s="1764"/>
      <c r="L2429" s="1766"/>
      <c r="M2429" s="1766"/>
      <c r="N2429" s="1766"/>
      <c r="O2429" s="1766"/>
      <c r="P2429" s="1766"/>
      <c r="W2429" t="s">
        <v>2089</v>
      </c>
    </row>
    <row r="2430" spans="1:23" ht="13.15" customHeight="1" x14ac:dyDescent="0.2">
      <c r="A2430" s="2" t="s">
        <v>2242</v>
      </c>
      <c r="B2430" s="2">
        <f t="shared" si="74"/>
        <v>2019</v>
      </c>
      <c r="C2430" s="2" t="str">
        <f t="shared" si="75"/>
        <v>EC101</v>
      </c>
      <c r="D2430" s="2">
        <v>812</v>
      </c>
      <c r="F2430" s="1764"/>
      <c r="G2430" s="1764"/>
      <c r="H2430" s="1764"/>
      <c r="I2430" s="1764"/>
      <c r="J2430" s="1764"/>
      <c r="K2430" s="1764"/>
      <c r="L2430" s="1766"/>
      <c r="M2430" s="1766"/>
      <c r="N2430" s="1766"/>
      <c r="O2430" s="1766"/>
      <c r="P2430" s="1766"/>
      <c r="W2430" t="s">
        <v>2089</v>
      </c>
    </row>
    <row r="2431" spans="1:23" ht="13.15" customHeight="1" x14ac:dyDescent="0.2">
      <c r="A2431" s="2" t="s">
        <v>2242</v>
      </c>
      <c r="B2431" s="2">
        <f t="shared" si="74"/>
        <v>2019</v>
      </c>
      <c r="C2431" s="2" t="str">
        <f t="shared" si="75"/>
        <v>EC101</v>
      </c>
      <c r="D2431" s="2">
        <v>813</v>
      </c>
      <c r="F2431" s="1764"/>
      <c r="G2431" s="1764"/>
      <c r="H2431" s="1764"/>
      <c r="I2431" s="1764"/>
      <c r="J2431" s="1764"/>
      <c r="K2431" s="1764"/>
      <c r="L2431" s="1766"/>
      <c r="M2431" s="1766"/>
      <c r="N2431" s="1766"/>
      <c r="O2431" s="1766"/>
      <c r="P2431" s="1766"/>
      <c r="W2431" t="s">
        <v>2089</v>
      </c>
    </row>
    <row r="2432" spans="1:23" ht="13.15" customHeight="1" x14ac:dyDescent="0.2">
      <c r="A2432" s="2" t="s">
        <v>2242</v>
      </c>
      <c r="B2432" s="2">
        <f t="shared" si="74"/>
        <v>2019</v>
      </c>
      <c r="C2432" s="2" t="str">
        <f t="shared" si="75"/>
        <v>EC101</v>
      </c>
      <c r="D2432" s="2">
        <v>814</v>
      </c>
      <c r="F2432" s="1764"/>
      <c r="G2432" s="1764"/>
      <c r="H2432" s="1764"/>
      <c r="I2432" s="1764"/>
      <c r="J2432" s="1764"/>
      <c r="K2432" s="1764"/>
      <c r="L2432" s="1766"/>
      <c r="M2432" s="1766"/>
      <c r="N2432" s="1766"/>
      <c r="O2432" s="1766"/>
      <c r="P2432" s="1766"/>
      <c r="W2432" t="s">
        <v>2089</v>
      </c>
    </row>
    <row r="2433" spans="1:23" ht="13.15" customHeight="1" x14ac:dyDescent="0.2">
      <c r="A2433" s="2" t="s">
        <v>2242</v>
      </c>
      <c r="B2433" s="2">
        <f t="shared" si="74"/>
        <v>2019</v>
      </c>
      <c r="C2433" s="2" t="str">
        <f t="shared" si="75"/>
        <v>EC101</v>
      </c>
      <c r="D2433" s="2">
        <v>815</v>
      </c>
      <c r="F2433" s="1764"/>
      <c r="G2433" s="1764"/>
      <c r="H2433" s="1764"/>
      <c r="I2433" s="1764"/>
      <c r="J2433" s="1764"/>
      <c r="K2433" s="1764"/>
      <c r="L2433" s="1766"/>
      <c r="M2433" s="1766"/>
      <c r="N2433" s="1766"/>
      <c r="O2433" s="1766"/>
      <c r="P2433" s="1766"/>
      <c r="W2433" t="s">
        <v>2089</v>
      </c>
    </row>
    <row r="2434" spans="1:23" ht="13.15" customHeight="1" x14ac:dyDescent="0.2">
      <c r="A2434" s="2" t="s">
        <v>2242</v>
      </c>
      <c r="B2434" s="2">
        <f t="shared" ref="B2434:B2497" si="76">+MTREF</f>
        <v>2019</v>
      </c>
      <c r="C2434" s="2" t="str">
        <f t="shared" ref="C2434:C2497" si="77">LEFT(muni,(FIND(" ",muni,1)-1))</f>
        <v>EC101</v>
      </c>
      <c r="D2434" s="2">
        <v>816</v>
      </c>
      <c r="F2434" s="1764"/>
      <c r="G2434" s="1764"/>
      <c r="H2434" s="1764"/>
      <c r="I2434" s="1764"/>
      <c r="J2434" s="1764"/>
      <c r="K2434" s="1764"/>
      <c r="L2434" s="1766"/>
      <c r="M2434" s="1766"/>
      <c r="N2434" s="1766"/>
      <c r="O2434" s="1766"/>
      <c r="P2434" s="1766"/>
      <c r="W2434" t="s">
        <v>2089</v>
      </c>
    </row>
    <row r="2435" spans="1:23" ht="13.15" customHeight="1" x14ac:dyDescent="0.2">
      <c r="A2435" s="2" t="s">
        <v>2242</v>
      </c>
      <c r="B2435" s="2">
        <f t="shared" si="76"/>
        <v>2019</v>
      </c>
      <c r="C2435" s="2" t="str">
        <f t="shared" si="77"/>
        <v>EC101</v>
      </c>
      <c r="D2435" s="2">
        <v>817</v>
      </c>
      <c r="F2435" s="1764"/>
      <c r="G2435" s="1764"/>
      <c r="H2435" s="1764"/>
      <c r="I2435" s="1764"/>
      <c r="J2435" s="1764"/>
      <c r="K2435" s="1764"/>
      <c r="L2435" s="1766"/>
      <c r="M2435" s="1766"/>
      <c r="N2435" s="1766"/>
      <c r="O2435" s="1766"/>
      <c r="P2435" s="1766"/>
      <c r="W2435" t="s">
        <v>2089</v>
      </c>
    </row>
    <row r="2436" spans="1:23" ht="13.15" customHeight="1" x14ac:dyDescent="0.2">
      <c r="A2436" s="2" t="s">
        <v>2242</v>
      </c>
      <c r="B2436" s="2">
        <f t="shared" si="76"/>
        <v>2019</v>
      </c>
      <c r="C2436" s="2" t="str">
        <f t="shared" si="77"/>
        <v>EC101</v>
      </c>
      <c r="D2436" s="2">
        <v>818</v>
      </c>
      <c r="F2436" s="1764"/>
      <c r="G2436" s="1764"/>
      <c r="H2436" s="1764"/>
      <c r="I2436" s="1764"/>
      <c r="J2436" s="1764"/>
      <c r="K2436" s="1764"/>
      <c r="L2436" s="1766"/>
      <c r="M2436" s="1766"/>
      <c r="N2436" s="1766"/>
      <c r="O2436" s="1766"/>
      <c r="P2436" s="1766"/>
      <c r="W2436" t="s">
        <v>2089</v>
      </c>
    </row>
    <row r="2437" spans="1:23" ht="13.15" customHeight="1" x14ac:dyDescent="0.2">
      <c r="A2437" s="2" t="s">
        <v>2242</v>
      </c>
      <c r="B2437" s="2">
        <f t="shared" si="76"/>
        <v>2019</v>
      </c>
      <c r="C2437" s="2" t="str">
        <f t="shared" si="77"/>
        <v>EC101</v>
      </c>
      <c r="D2437" s="2">
        <v>819</v>
      </c>
      <c r="F2437" s="1764"/>
      <c r="G2437" s="1764"/>
      <c r="H2437" s="1764"/>
      <c r="I2437" s="1764"/>
      <c r="J2437" s="1764"/>
      <c r="K2437" s="1764"/>
      <c r="L2437" s="1766"/>
      <c r="M2437" s="1766"/>
      <c r="N2437" s="1766"/>
      <c r="O2437" s="1766"/>
      <c r="P2437" s="1766"/>
      <c r="W2437" t="s">
        <v>2089</v>
      </c>
    </row>
    <row r="2438" spans="1:23" ht="13.15" customHeight="1" x14ac:dyDescent="0.2">
      <c r="A2438" s="2" t="s">
        <v>2242</v>
      </c>
      <c r="B2438" s="2">
        <f t="shared" si="76"/>
        <v>2019</v>
      </c>
      <c r="C2438" s="2" t="str">
        <f t="shared" si="77"/>
        <v>EC101</v>
      </c>
      <c r="D2438" s="2">
        <v>820</v>
      </c>
      <c r="F2438" s="1764"/>
      <c r="G2438" s="1764"/>
      <c r="H2438" s="1764"/>
      <c r="I2438" s="1764"/>
      <c r="J2438" s="1764"/>
      <c r="K2438" s="1764"/>
      <c r="L2438" s="1766"/>
      <c r="M2438" s="1766"/>
      <c r="N2438" s="1766"/>
      <c r="O2438" s="1766"/>
      <c r="P2438" s="1766"/>
      <c r="W2438" t="s">
        <v>2089</v>
      </c>
    </row>
    <row r="2439" spans="1:23" ht="13.15" customHeight="1" x14ac:dyDescent="0.2">
      <c r="A2439" s="2" t="s">
        <v>2242</v>
      </c>
      <c r="B2439" s="2">
        <f t="shared" si="76"/>
        <v>2019</v>
      </c>
      <c r="C2439" s="2" t="str">
        <f t="shared" si="77"/>
        <v>EC101</v>
      </c>
      <c r="D2439" s="2">
        <v>821</v>
      </c>
      <c r="F2439" s="1764"/>
      <c r="G2439" s="1764"/>
      <c r="H2439" s="1764"/>
      <c r="I2439" s="1764"/>
      <c r="J2439" s="1764"/>
      <c r="K2439" s="1764"/>
      <c r="L2439" s="1766"/>
      <c r="M2439" s="1766"/>
      <c r="N2439" s="1766"/>
      <c r="O2439" s="1766"/>
      <c r="P2439" s="1766"/>
      <c r="W2439" t="s">
        <v>2089</v>
      </c>
    </row>
    <row r="2440" spans="1:23" ht="13.15" customHeight="1" x14ac:dyDescent="0.2">
      <c r="A2440" s="2" t="s">
        <v>2242</v>
      </c>
      <c r="B2440" s="2">
        <f t="shared" si="76"/>
        <v>2019</v>
      </c>
      <c r="C2440" s="2" t="str">
        <f t="shared" si="77"/>
        <v>EC101</v>
      </c>
      <c r="D2440" s="2">
        <v>822</v>
      </c>
      <c r="F2440" s="1764"/>
      <c r="G2440" s="1764"/>
      <c r="H2440" s="1764"/>
      <c r="I2440" s="1764"/>
      <c r="J2440" s="1764"/>
      <c r="K2440" s="1764"/>
      <c r="L2440" s="1766"/>
      <c r="M2440" s="1766"/>
      <c r="N2440" s="1766"/>
      <c r="O2440" s="1766"/>
      <c r="P2440" s="1766"/>
      <c r="W2440" t="s">
        <v>2089</v>
      </c>
    </row>
    <row r="2441" spans="1:23" ht="13.15" customHeight="1" x14ac:dyDescent="0.2">
      <c r="A2441" s="2" t="s">
        <v>2242</v>
      </c>
      <c r="B2441" s="2">
        <f t="shared" si="76"/>
        <v>2019</v>
      </c>
      <c r="C2441" s="2" t="str">
        <f t="shared" si="77"/>
        <v>EC101</v>
      </c>
      <c r="D2441" s="2">
        <v>823</v>
      </c>
      <c r="F2441" s="1764"/>
      <c r="G2441" s="1764"/>
      <c r="H2441" s="1764"/>
      <c r="I2441" s="1764"/>
      <c r="J2441" s="1764"/>
      <c r="K2441" s="1764"/>
      <c r="L2441" s="1766"/>
      <c r="M2441" s="1766"/>
      <c r="N2441" s="1766"/>
      <c r="O2441" s="1766"/>
      <c r="P2441" s="1766"/>
      <c r="W2441" t="s">
        <v>2089</v>
      </c>
    </row>
    <row r="2442" spans="1:23" ht="13.15" customHeight="1" x14ac:dyDescent="0.2">
      <c r="A2442" s="2" t="s">
        <v>2242</v>
      </c>
      <c r="B2442" s="2">
        <f t="shared" si="76"/>
        <v>2019</v>
      </c>
      <c r="C2442" s="2" t="str">
        <f t="shared" si="77"/>
        <v>EC101</v>
      </c>
      <c r="D2442" s="2">
        <v>824</v>
      </c>
      <c r="F2442" s="1764"/>
      <c r="G2442" s="1764"/>
      <c r="H2442" s="1764"/>
      <c r="I2442" s="1764"/>
      <c r="J2442" s="1764"/>
      <c r="K2442" s="1764"/>
      <c r="L2442" s="1766"/>
      <c r="M2442" s="1766"/>
      <c r="N2442" s="1766"/>
      <c r="O2442" s="1766"/>
      <c r="P2442" s="1766"/>
      <c r="W2442" t="s">
        <v>2089</v>
      </c>
    </row>
    <row r="2443" spans="1:23" ht="13.15" customHeight="1" x14ac:dyDescent="0.2">
      <c r="A2443" s="2" t="s">
        <v>2242</v>
      </c>
      <c r="B2443" s="2">
        <f t="shared" si="76"/>
        <v>2019</v>
      </c>
      <c r="C2443" s="2" t="str">
        <f t="shared" si="77"/>
        <v>EC101</v>
      </c>
      <c r="D2443" s="2">
        <v>825</v>
      </c>
      <c r="F2443" s="1764"/>
      <c r="G2443" s="1764"/>
      <c r="H2443" s="1764"/>
      <c r="I2443" s="1764"/>
      <c r="J2443" s="1764"/>
      <c r="K2443" s="1764"/>
      <c r="L2443" s="1766"/>
      <c r="M2443" s="1766"/>
      <c r="N2443" s="1766"/>
      <c r="O2443" s="1766"/>
      <c r="P2443" s="1766"/>
      <c r="W2443" t="s">
        <v>2089</v>
      </c>
    </row>
    <row r="2444" spans="1:23" ht="13.15" customHeight="1" x14ac:dyDescent="0.2">
      <c r="A2444" s="2" t="s">
        <v>2242</v>
      </c>
      <c r="B2444" s="2">
        <f t="shared" si="76"/>
        <v>2019</v>
      </c>
      <c r="C2444" s="2" t="str">
        <f t="shared" si="77"/>
        <v>EC101</v>
      </c>
      <c r="D2444" s="2">
        <v>826</v>
      </c>
      <c r="F2444" s="1764"/>
      <c r="G2444" s="1764"/>
      <c r="H2444" s="1764"/>
      <c r="I2444" s="1764"/>
      <c r="J2444" s="1764"/>
      <c r="K2444" s="1764"/>
      <c r="L2444" s="1766"/>
      <c r="M2444" s="1766"/>
      <c r="N2444" s="1766"/>
      <c r="O2444" s="1766"/>
      <c r="P2444" s="1766"/>
      <c r="W2444" t="s">
        <v>2089</v>
      </c>
    </row>
    <row r="2445" spans="1:23" ht="13.15" customHeight="1" x14ac:dyDescent="0.2">
      <c r="A2445" s="2" t="s">
        <v>2242</v>
      </c>
      <c r="B2445" s="2">
        <f t="shared" si="76"/>
        <v>2019</v>
      </c>
      <c r="C2445" s="2" t="str">
        <f t="shared" si="77"/>
        <v>EC101</v>
      </c>
      <c r="D2445" s="2">
        <v>827</v>
      </c>
      <c r="F2445" s="1764"/>
      <c r="G2445" s="1764"/>
      <c r="H2445" s="1764"/>
      <c r="I2445" s="1764"/>
      <c r="J2445" s="1764"/>
      <c r="K2445" s="1764"/>
      <c r="L2445" s="1766"/>
      <c r="M2445" s="1766"/>
      <c r="N2445" s="1766"/>
      <c r="O2445" s="1766"/>
      <c r="P2445" s="1766"/>
      <c r="W2445" t="s">
        <v>2089</v>
      </c>
    </row>
    <row r="2446" spans="1:23" ht="13.15" customHeight="1" x14ac:dyDescent="0.2">
      <c r="A2446" s="2" t="s">
        <v>2242</v>
      </c>
      <c r="B2446" s="2">
        <f t="shared" si="76"/>
        <v>2019</v>
      </c>
      <c r="C2446" s="2" t="str">
        <f t="shared" si="77"/>
        <v>EC101</v>
      </c>
      <c r="D2446" s="2">
        <v>828</v>
      </c>
      <c r="F2446" s="1764"/>
      <c r="G2446" s="1764"/>
      <c r="H2446" s="1764"/>
      <c r="I2446" s="1764"/>
      <c r="J2446" s="1764"/>
      <c r="K2446" s="1764"/>
      <c r="L2446" s="1766"/>
      <c r="M2446" s="1766"/>
      <c r="N2446" s="1766"/>
      <c r="O2446" s="1766"/>
      <c r="P2446" s="1766"/>
      <c r="W2446" t="s">
        <v>2089</v>
      </c>
    </row>
    <row r="2447" spans="1:23" ht="13.15" customHeight="1" x14ac:dyDescent="0.2">
      <c r="A2447" s="2" t="s">
        <v>2242</v>
      </c>
      <c r="B2447" s="2">
        <f t="shared" si="76"/>
        <v>2019</v>
      </c>
      <c r="C2447" s="2" t="str">
        <f t="shared" si="77"/>
        <v>EC101</v>
      </c>
      <c r="D2447" s="2">
        <v>829</v>
      </c>
      <c r="F2447" s="1764"/>
      <c r="G2447" s="1764"/>
      <c r="H2447" s="1764"/>
      <c r="I2447" s="1764"/>
      <c r="J2447" s="1764"/>
      <c r="K2447" s="1764"/>
      <c r="L2447" s="1766"/>
      <c r="M2447" s="1766"/>
      <c r="N2447" s="1766"/>
      <c r="O2447" s="1766"/>
      <c r="P2447" s="1766"/>
      <c r="W2447" t="s">
        <v>2089</v>
      </c>
    </row>
    <row r="2448" spans="1:23" ht="13.15" customHeight="1" x14ac:dyDescent="0.2">
      <c r="A2448" s="2" t="s">
        <v>2242</v>
      </c>
      <c r="B2448" s="2">
        <f t="shared" si="76"/>
        <v>2019</v>
      </c>
      <c r="C2448" s="2" t="str">
        <f t="shared" si="77"/>
        <v>EC101</v>
      </c>
      <c r="D2448" s="2">
        <v>830</v>
      </c>
      <c r="F2448" s="1764"/>
      <c r="G2448" s="1764"/>
      <c r="H2448" s="1764"/>
      <c r="I2448" s="1764"/>
      <c r="J2448" s="1764"/>
      <c r="K2448" s="1764"/>
      <c r="L2448" s="1766"/>
      <c r="M2448" s="1766"/>
      <c r="N2448" s="1766"/>
      <c r="O2448" s="1766"/>
      <c r="P2448" s="1766"/>
      <c r="W2448" t="s">
        <v>2089</v>
      </c>
    </row>
    <row r="2449" spans="1:23" ht="13.15" customHeight="1" x14ac:dyDescent="0.2">
      <c r="A2449" s="2" t="s">
        <v>2242</v>
      </c>
      <c r="B2449" s="2">
        <f t="shared" si="76"/>
        <v>2019</v>
      </c>
      <c r="C2449" s="2" t="str">
        <f t="shared" si="77"/>
        <v>EC101</v>
      </c>
      <c r="D2449" s="2">
        <v>831</v>
      </c>
      <c r="F2449" s="1764"/>
      <c r="G2449" s="1764"/>
      <c r="H2449" s="1764"/>
      <c r="I2449" s="1764"/>
      <c r="J2449" s="1764"/>
      <c r="K2449" s="1764"/>
      <c r="L2449" s="1766"/>
      <c r="M2449" s="1766"/>
      <c r="N2449" s="1766"/>
      <c r="O2449" s="1766"/>
      <c r="P2449" s="1766"/>
      <c r="W2449" t="s">
        <v>2089</v>
      </c>
    </row>
    <row r="2450" spans="1:23" ht="13.15" customHeight="1" x14ac:dyDescent="0.2">
      <c r="A2450" s="2" t="s">
        <v>2242</v>
      </c>
      <c r="B2450" s="2">
        <f t="shared" si="76"/>
        <v>2019</v>
      </c>
      <c r="C2450" s="2" t="str">
        <f t="shared" si="77"/>
        <v>EC101</v>
      </c>
      <c r="D2450" s="2">
        <v>832</v>
      </c>
      <c r="F2450" s="1764"/>
      <c r="G2450" s="1764"/>
      <c r="H2450" s="1764"/>
      <c r="I2450" s="1764"/>
      <c r="J2450" s="1764"/>
      <c r="K2450" s="1764"/>
      <c r="L2450" s="1766"/>
      <c r="M2450" s="1766"/>
      <c r="N2450" s="1766"/>
      <c r="O2450" s="1766"/>
      <c r="P2450" s="1766"/>
      <c r="W2450" t="s">
        <v>2089</v>
      </c>
    </row>
    <row r="2451" spans="1:23" ht="13.15" customHeight="1" x14ac:dyDescent="0.2">
      <c r="A2451" s="2" t="s">
        <v>2242</v>
      </c>
      <c r="B2451" s="2">
        <f t="shared" si="76"/>
        <v>2019</v>
      </c>
      <c r="C2451" s="2" t="str">
        <f t="shared" si="77"/>
        <v>EC101</v>
      </c>
      <c r="D2451" s="2">
        <v>833</v>
      </c>
      <c r="F2451" s="1764"/>
      <c r="G2451" s="1764"/>
      <c r="H2451" s="1764"/>
      <c r="I2451" s="1764"/>
      <c r="J2451" s="1764"/>
      <c r="K2451" s="1764"/>
      <c r="L2451" s="1766"/>
      <c r="M2451" s="1766"/>
      <c r="N2451" s="1766"/>
      <c r="O2451" s="1766"/>
      <c r="P2451" s="1766"/>
      <c r="W2451" t="s">
        <v>2089</v>
      </c>
    </row>
    <row r="2452" spans="1:23" ht="13.15" customHeight="1" x14ac:dyDescent="0.2">
      <c r="A2452" s="2" t="s">
        <v>2242</v>
      </c>
      <c r="B2452" s="2">
        <f t="shared" si="76"/>
        <v>2019</v>
      </c>
      <c r="C2452" s="2" t="str">
        <f t="shared" si="77"/>
        <v>EC101</v>
      </c>
      <c r="D2452" s="2">
        <v>834</v>
      </c>
      <c r="F2452" s="1764"/>
      <c r="G2452" s="1764"/>
      <c r="H2452" s="1764"/>
      <c r="I2452" s="1764"/>
      <c r="J2452" s="1764"/>
      <c r="K2452" s="1764"/>
      <c r="L2452" s="1766"/>
      <c r="M2452" s="1766"/>
      <c r="N2452" s="1766"/>
      <c r="O2452" s="1766"/>
      <c r="P2452" s="1766"/>
      <c r="W2452" t="s">
        <v>2089</v>
      </c>
    </row>
    <row r="2453" spans="1:23" ht="13.15" customHeight="1" x14ac:dyDescent="0.2">
      <c r="A2453" s="2" t="s">
        <v>2242</v>
      </c>
      <c r="B2453" s="2">
        <f t="shared" si="76"/>
        <v>2019</v>
      </c>
      <c r="C2453" s="2" t="str">
        <f t="shared" si="77"/>
        <v>EC101</v>
      </c>
      <c r="D2453" s="2">
        <v>835</v>
      </c>
      <c r="F2453" s="1764"/>
      <c r="G2453" s="1764"/>
      <c r="H2453" s="1764"/>
      <c r="I2453" s="1764"/>
      <c r="J2453" s="1764"/>
      <c r="K2453" s="1764"/>
      <c r="L2453" s="1766"/>
      <c r="M2453" s="1766"/>
      <c r="N2453" s="1766"/>
      <c r="O2453" s="1766"/>
      <c r="P2453" s="1766"/>
      <c r="W2453" t="s">
        <v>2089</v>
      </c>
    </row>
    <row r="2454" spans="1:23" ht="13.15" customHeight="1" x14ac:dyDescent="0.2">
      <c r="A2454" s="2" t="s">
        <v>2242</v>
      </c>
      <c r="B2454" s="2">
        <f t="shared" si="76"/>
        <v>2019</v>
      </c>
      <c r="C2454" s="2" t="str">
        <f t="shared" si="77"/>
        <v>EC101</v>
      </c>
      <c r="D2454" s="2">
        <v>836</v>
      </c>
      <c r="F2454" s="1764"/>
      <c r="G2454" s="1764"/>
      <c r="H2454" s="1764"/>
      <c r="I2454" s="1764"/>
      <c r="J2454" s="1764"/>
      <c r="K2454" s="1764"/>
      <c r="L2454" s="1766"/>
      <c r="M2454" s="1766"/>
      <c r="N2454" s="1766"/>
      <c r="O2454" s="1766"/>
      <c r="P2454" s="1766"/>
      <c r="W2454" t="s">
        <v>2089</v>
      </c>
    </row>
    <row r="2455" spans="1:23" ht="13.15" customHeight="1" x14ac:dyDescent="0.2">
      <c r="A2455" s="2" t="s">
        <v>2242</v>
      </c>
      <c r="B2455" s="2">
        <f t="shared" si="76"/>
        <v>2019</v>
      </c>
      <c r="C2455" s="2" t="str">
        <f t="shared" si="77"/>
        <v>EC101</v>
      </c>
      <c r="D2455" s="2">
        <v>837</v>
      </c>
      <c r="F2455" s="1764"/>
      <c r="G2455" s="1764"/>
      <c r="H2455" s="1764"/>
      <c r="I2455" s="1764"/>
      <c r="J2455" s="1764"/>
      <c r="K2455" s="1764"/>
      <c r="L2455" s="1766"/>
      <c r="M2455" s="1766"/>
      <c r="N2455" s="1766"/>
      <c r="O2455" s="1766"/>
      <c r="P2455" s="1766"/>
      <c r="W2455" t="s">
        <v>2089</v>
      </c>
    </row>
    <row r="2456" spans="1:23" ht="13.15" customHeight="1" x14ac:dyDescent="0.2">
      <c r="A2456" s="2" t="s">
        <v>2242</v>
      </c>
      <c r="B2456" s="2">
        <f t="shared" si="76"/>
        <v>2019</v>
      </c>
      <c r="C2456" s="2" t="str">
        <f t="shared" si="77"/>
        <v>EC101</v>
      </c>
      <c r="D2456" s="2">
        <v>838</v>
      </c>
      <c r="F2456" s="1764"/>
      <c r="G2456" s="1764"/>
      <c r="H2456" s="1764"/>
      <c r="I2456" s="1764"/>
      <c r="J2456" s="1764"/>
      <c r="K2456" s="1764"/>
      <c r="L2456" s="1766"/>
      <c r="M2456" s="1766"/>
      <c r="N2456" s="1766"/>
      <c r="O2456" s="1766"/>
      <c r="P2456" s="1766"/>
      <c r="W2456" t="s">
        <v>2089</v>
      </c>
    </row>
    <row r="2457" spans="1:23" ht="13.15" customHeight="1" x14ac:dyDescent="0.2">
      <c r="A2457" s="2" t="s">
        <v>2242</v>
      </c>
      <c r="B2457" s="2">
        <f t="shared" si="76"/>
        <v>2019</v>
      </c>
      <c r="C2457" s="2" t="str">
        <f t="shared" si="77"/>
        <v>EC101</v>
      </c>
      <c r="D2457" s="2">
        <v>839</v>
      </c>
      <c r="F2457" s="1764"/>
      <c r="G2457" s="1764"/>
      <c r="H2457" s="1764"/>
      <c r="I2457" s="1764"/>
      <c r="J2457" s="1764"/>
      <c r="K2457" s="1764"/>
      <c r="L2457" s="1766"/>
      <c r="M2457" s="1766"/>
      <c r="N2457" s="1766"/>
      <c r="O2457" s="1766"/>
      <c r="P2457" s="1766"/>
      <c r="W2457" t="s">
        <v>2089</v>
      </c>
    </row>
    <row r="2458" spans="1:23" ht="13.15" customHeight="1" x14ac:dyDescent="0.2">
      <c r="A2458" s="2" t="s">
        <v>2242</v>
      </c>
      <c r="B2458" s="2">
        <f t="shared" si="76"/>
        <v>2019</v>
      </c>
      <c r="C2458" s="2" t="str">
        <f t="shared" si="77"/>
        <v>EC101</v>
      </c>
      <c r="D2458" s="2">
        <v>840</v>
      </c>
      <c r="F2458" s="1764"/>
      <c r="G2458" s="1764"/>
      <c r="H2458" s="1764"/>
      <c r="I2458" s="1764"/>
      <c r="J2458" s="1764"/>
      <c r="K2458" s="1764"/>
      <c r="L2458" s="1766"/>
      <c r="M2458" s="1766"/>
      <c r="N2458" s="1766"/>
      <c r="O2458" s="1766"/>
      <c r="P2458" s="1766"/>
      <c r="W2458" t="s">
        <v>2089</v>
      </c>
    </row>
    <row r="2459" spans="1:23" ht="13.15" customHeight="1" x14ac:dyDescent="0.2">
      <c r="A2459" s="2" t="s">
        <v>2242</v>
      </c>
      <c r="B2459" s="2">
        <f t="shared" si="76"/>
        <v>2019</v>
      </c>
      <c r="C2459" s="2" t="str">
        <f t="shared" si="77"/>
        <v>EC101</v>
      </c>
      <c r="D2459" s="2">
        <v>841</v>
      </c>
      <c r="F2459" s="1764"/>
      <c r="G2459" s="1764"/>
      <c r="H2459" s="1764"/>
      <c r="I2459" s="1764"/>
      <c r="J2459" s="1764"/>
      <c r="K2459" s="1764"/>
      <c r="L2459" s="1766"/>
      <c r="M2459" s="1766"/>
      <c r="N2459" s="1766"/>
      <c r="O2459" s="1766"/>
      <c r="P2459" s="1766"/>
      <c r="W2459" t="s">
        <v>2089</v>
      </c>
    </row>
    <row r="2460" spans="1:23" ht="13.15" customHeight="1" x14ac:dyDescent="0.2">
      <c r="A2460" s="2" t="s">
        <v>2242</v>
      </c>
      <c r="B2460" s="2">
        <f t="shared" si="76"/>
        <v>2019</v>
      </c>
      <c r="C2460" s="2" t="str">
        <f t="shared" si="77"/>
        <v>EC101</v>
      </c>
      <c r="D2460" s="2">
        <v>842</v>
      </c>
      <c r="F2460" s="1764"/>
      <c r="G2460" s="1764"/>
      <c r="H2460" s="1764"/>
      <c r="I2460" s="1764"/>
      <c r="J2460" s="1764"/>
      <c r="K2460" s="1764"/>
      <c r="L2460" s="1766"/>
      <c r="M2460" s="1766"/>
      <c r="N2460" s="1766"/>
      <c r="O2460" s="1766"/>
      <c r="P2460" s="1766"/>
      <c r="W2460" t="s">
        <v>2089</v>
      </c>
    </row>
    <row r="2461" spans="1:23" ht="13.15" customHeight="1" x14ac:dyDescent="0.2">
      <c r="A2461" s="2" t="s">
        <v>2242</v>
      </c>
      <c r="B2461" s="2">
        <f t="shared" si="76"/>
        <v>2019</v>
      </c>
      <c r="C2461" s="2" t="str">
        <f t="shared" si="77"/>
        <v>EC101</v>
      </c>
      <c r="D2461" s="2">
        <v>843</v>
      </c>
      <c r="F2461" s="1764"/>
      <c r="G2461" s="1764"/>
      <c r="H2461" s="1764"/>
      <c r="I2461" s="1764"/>
      <c r="J2461" s="1764"/>
      <c r="K2461" s="1764"/>
      <c r="L2461" s="1766"/>
      <c r="M2461" s="1766"/>
      <c r="N2461" s="1766"/>
      <c r="O2461" s="1766"/>
      <c r="P2461" s="1766"/>
      <c r="W2461" t="s">
        <v>2089</v>
      </c>
    </row>
    <row r="2462" spans="1:23" ht="13.15" customHeight="1" x14ac:dyDescent="0.2">
      <c r="A2462" s="2" t="s">
        <v>2242</v>
      </c>
      <c r="B2462" s="2">
        <f t="shared" si="76"/>
        <v>2019</v>
      </c>
      <c r="C2462" s="2" t="str">
        <f t="shared" si="77"/>
        <v>EC101</v>
      </c>
      <c r="D2462" s="2">
        <v>844</v>
      </c>
      <c r="F2462" s="1764"/>
      <c r="G2462" s="1764"/>
      <c r="H2462" s="1764"/>
      <c r="I2462" s="1764"/>
      <c r="J2462" s="1764"/>
      <c r="K2462" s="1764"/>
      <c r="L2462" s="1766"/>
      <c r="M2462" s="1766"/>
      <c r="N2462" s="1766"/>
      <c r="O2462" s="1766"/>
      <c r="P2462" s="1766"/>
      <c r="W2462" t="s">
        <v>2089</v>
      </c>
    </row>
    <row r="2463" spans="1:23" ht="13.15" customHeight="1" x14ac:dyDescent="0.2">
      <c r="A2463" s="2" t="s">
        <v>2242</v>
      </c>
      <c r="B2463" s="2">
        <f t="shared" si="76"/>
        <v>2019</v>
      </c>
      <c r="C2463" s="2" t="str">
        <f t="shared" si="77"/>
        <v>EC101</v>
      </c>
      <c r="D2463" s="2">
        <v>845</v>
      </c>
      <c r="F2463" s="1764"/>
      <c r="G2463" s="1764"/>
      <c r="H2463" s="1764"/>
      <c r="I2463" s="1764"/>
      <c r="J2463" s="1764"/>
      <c r="K2463" s="1764"/>
      <c r="L2463" s="1766"/>
      <c r="M2463" s="1766"/>
      <c r="N2463" s="1766"/>
      <c r="O2463" s="1766"/>
      <c r="P2463" s="1766"/>
      <c r="W2463" t="s">
        <v>2089</v>
      </c>
    </row>
    <row r="2464" spans="1:23" ht="13.15" customHeight="1" x14ac:dyDescent="0.2">
      <c r="A2464" s="2" t="s">
        <v>2242</v>
      </c>
      <c r="B2464" s="2">
        <f t="shared" si="76"/>
        <v>2019</v>
      </c>
      <c r="C2464" s="2" t="str">
        <f t="shared" si="77"/>
        <v>EC101</v>
      </c>
      <c r="D2464" s="2">
        <v>846</v>
      </c>
      <c r="F2464" s="1764"/>
      <c r="G2464" s="1764"/>
      <c r="H2464" s="1764"/>
      <c r="I2464" s="1764"/>
      <c r="J2464" s="1764"/>
      <c r="K2464" s="1764"/>
      <c r="L2464" s="1766"/>
      <c r="M2464" s="1766"/>
      <c r="N2464" s="1766"/>
      <c r="O2464" s="1766"/>
      <c r="P2464" s="1766"/>
      <c r="W2464" t="s">
        <v>2089</v>
      </c>
    </row>
    <row r="2465" spans="1:23" ht="13.15" customHeight="1" x14ac:dyDescent="0.2">
      <c r="A2465" s="2" t="s">
        <v>2242</v>
      </c>
      <c r="B2465" s="2">
        <f t="shared" si="76"/>
        <v>2019</v>
      </c>
      <c r="C2465" s="2" t="str">
        <f t="shared" si="77"/>
        <v>EC101</v>
      </c>
      <c r="D2465" s="2">
        <v>847</v>
      </c>
      <c r="F2465" s="1764"/>
      <c r="G2465" s="1764"/>
      <c r="H2465" s="1764"/>
      <c r="I2465" s="1764"/>
      <c r="J2465" s="1764"/>
      <c r="K2465" s="1764"/>
      <c r="L2465" s="1766"/>
      <c r="M2465" s="1766"/>
      <c r="N2465" s="1766"/>
      <c r="O2465" s="1766"/>
      <c r="P2465" s="1766"/>
      <c r="W2465" t="s">
        <v>2089</v>
      </c>
    </row>
    <row r="2466" spans="1:23" ht="13.15" customHeight="1" x14ac:dyDescent="0.2">
      <c r="A2466" s="2" t="s">
        <v>2242</v>
      </c>
      <c r="B2466" s="2">
        <f t="shared" si="76"/>
        <v>2019</v>
      </c>
      <c r="C2466" s="2" t="str">
        <f t="shared" si="77"/>
        <v>EC101</v>
      </c>
      <c r="D2466" s="2">
        <v>848</v>
      </c>
      <c r="F2466" s="1764"/>
      <c r="G2466" s="1764"/>
      <c r="H2466" s="1764"/>
      <c r="I2466" s="1764"/>
      <c r="J2466" s="1764"/>
      <c r="K2466" s="1764"/>
      <c r="L2466" s="1766"/>
      <c r="M2466" s="1766"/>
      <c r="N2466" s="1766"/>
      <c r="O2466" s="1766"/>
      <c r="P2466" s="1766"/>
      <c r="W2466" t="s">
        <v>2089</v>
      </c>
    </row>
    <row r="2467" spans="1:23" ht="13.15" customHeight="1" x14ac:dyDescent="0.2">
      <c r="A2467" s="2" t="s">
        <v>2242</v>
      </c>
      <c r="B2467" s="2">
        <f t="shared" si="76"/>
        <v>2019</v>
      </c>
      <c r="C2467" s="2" t="str">
        <f t="shared" si="77"/>
        <v>EC101</v>
      </c>
      <c r="D2467" s="2">
        <v>849</v>
      </c>
      <c r="F2467" s="1764"/>
      <c r="G2467" s="1764"/>
      <c r="H2467" s="1764"/>
      <c r="I2467" s="1764"/>
      <c r="J2467" s="1764"/>
      <c r="K2467" s="1764"/>
      <c r="L2467" s="1766"/>
      <c r="M2467" s="1766"/>
      <c r="N2467" s="1766"/>
      <c r="O2467" s="1766"/>
      <c r="P2467" s="1766"/>
      <c r="W2467" t="s">
        <v>2089</v>
      </c>
    </row>
    <row r="2468" spans="1:23" ht="13.15" customHeight="1" x14ac:dyDescent="0.2">
      <c r="A2468" s="2" t="s">
        <v>2242</v>
      </c>
      <c r="B2468" s="2">
        <f t="shared" si="76"/>
        <v>2019</v>
      </c>
      <c r="C2468" s="2" t="str">
        <f t="shared" si="77"/>
        <v>EC101</v>
      </c>
      <c r="D2468" s="2">
        <v>850</v>
      </c>
      <c r="F2468" s="1764"/>
      <c r="G2468" s="1764"/>
      <c r="H2468" s="1764"/>
      <c r="I2468" s="1764"/>
      <c r="J2468" s="1764"/>
      <c r="K2468" s="1764"/>
      <c r="L2468" s="1766"/>
      <c r="M2468" s="1766"/>
      <c r="N2468" s="1766"/>
      <c r="O2468" s="1766"/>
      <c r="P2468" s="1766"/>
      <c r="W2468" t="s">
        <v>2089</v>
      </c>
    </row>
    <row r="2469" spans="1:23" ht="13.15" customHeight="1" x14ac:dyDescent="0.2">
      <c r="A2469" s="2" t="s">
        <v>2242</v>
      </c>
      <c r="B2469" s="2">
        <f t="shared" si="76"/>
        <v>2019</v>
      </c>
      <c r="C2469" s="2" t="str">
        <f t="shared" si="77"/>
        <v>EC101</v>
      </c>
      <c r="D2469" s="2">
        <v>851</v>
      </c>
      <c r="F2469" s="1764"/>
      <c r="G2469" s="1764"/>
      <c r="H2469" s="1764"/>
      <c r="I2469" s="1764"/>
      <c r="J2469" s="1764"/>
      <c r="K2469" s="1764"/>
      <c r="L2469" s="1766"/>
      <c r="M2469" s="1766"/>
      <c r="N2469" s="1766"/>
      <c r="O2469" s="1766"/>
      <c r="P2469" s="1766"/>
      <c r="W2469" t="s">
        <v>2089</v>
      </c>
    </row>
    <row r="2470" spans="1:23" ht="13.15" customHeight="1" x14ac:dyDescent="0.2">
      <c r="A2470" s="2" t="s">
        <v>2242</v>
      </c>
      <c r="B2470" s="2">
        <f t="shared" si="76"/>
        <v>2019</v>
      </c>
      <c r="C2470" s="2" t="str">
        <f t="shared" si="77"/>
        <v>EC101</v>
      </c>
      <c r="D2470" s="2">
        <v>852</v>
      </c>
      <c r="F2470" s="1764"/>
      <c r="G2470" s="1764"/>
      <c r="H2470" s="1764"/>
      <c r="I2470" s="1764"/>
      <c r="J2470" s="1764"/>
      <c r="K2470" s="1764"/>
      <c r="L2470" s="1766"/>
      <c r="M2470" s="1766"/>
      <c r="N2470" s="1766"/>
      <c r="O2470" s="1766"/>
      <c r="P2470" s="1766"/>
      <c r="W2470" t="s">
        <v>2089</v>
      </c>
    </row>
    <row r="2471" spans="1:23" ht="13.15" customHeight="1" x14ac:dyDescent="0.2">
      <c r="A2471" s="2" t="s">
        <v>2242</v>
      </c>
      <c r="B2471" s="2">
        <f t="shared" si="76"/>
        <v>2019</v>
      </c>
      <c r="C2471" s="2" t="str">
        <f t="shared" si="77"/>
        <v>EC101</v>
      </c>
      <c r="D2471" s="2">
        <v>853</v>
      </c>
      <c r="F2471" s="1764"/>
      <c r="G2471" s="1764"/>
      <c r="H2471" s="1764"/>
      <c r="I2471" s="1764"/>
      <c r="J2471" s="1764"/>
      <c r="K2471" s="1764"/>
      <c r="L2471" s="1766"/>
      <c r="M2471" s="1766"/>
      <c r="N2471" s="1766"/>
      <c r="O2471" s="1766"/>
      <c r="P2471" s="1766"/>
      <c r="W2471" t="s">
        <v>2089</v>
      </c>
    </row>
    <row r="2472" spans="1:23" ht="13.15" customHeight="1" x14ac:dyDescent="0.2">
      <c r="A2472" s="2" t="s">
        <v>2242</v>
      </c>
      <c r="B2472" s="2">
        <f t="shared" si="76"/>
        <v>2019</v>
      </c>
      <c r="C2472" s="2" t="str">
        <f t="shared" si="77"/>
        <v>EC101</v>
      </c>
      <c r="D2472" s="2">
        <v>854</v>
      </c>
      <c r="F2472" s="1764"/>
      <c r="G2472" s="1764"/>
      <c r="H2472" s="1764"/>
      <c r="I2472" s="1764"/>
      <c r="J2472" s="1764"/>
      <c r="K2472" s="1764"/>
      <c r="L2472" s="1766"/>
      <c r="M2472" s="1766"/>
      <c r="N2472" s="1766"/>
      <c r="O2472" s="1766"/>
      <c r="P2472" s="1766"/>
      <c r="W2472" t="s">
        <v>2089</v>
      </c>
    </row>
    <row r="2473" spans="1:23" ht="13.15" customHeight="1" x14ac:dyDescent="0.2">
      <c r="A2473" s="2" t="s">
        <v>2242</v>
      </c>
      <c r="B2473" s="2">
        <f t="shared" si="76"/>
        <v>2019</v>
      </c>
      <c r="C2473" s="2" t="str">
        <f t="shared" si="77"/>
        <v>EC101</v>
      </c>
      <c r="D2473" s="2">
        <v>855</v>
      </c>
      <c r="F2473" s="1764"/>
      <c r="G2473" s="1764"/>
      <c r="H2473" s="1764"/>
      <c r="I2473" s="1764"/>
      <c r="J2473" s="1764"/>
      <c r="K2473" s="1764"/>
      <c r="L2473" s="1766"/>
      <c r="M2473" s="1766"/>
      <c r="N2473" s="1766"/>
      <c r="O2473" s="1766"/>
      <c r="P2473" s="1766"/>
      <c r="W2473" t="s">
        <v>2089</v>
      </c>
    </row>
    <row r="2474" spans="1:23" ht="13.15" customHeight="1" x14ac:dyDescent="0.2">
      <c r="A2474" s="2" t="s">
        <v>2242</v>
      </c>
      <c r="B2474" s="2">
        <f t="shared" si="76"/>
        <v>2019</v>
      </c>
      <c r="C2474" s="2" t="str">
        <f t="shared" si="77"/>
        <v>EC101</v>
      </c>
      <c r="D2474" s="2">
        <v>856</v>
      </c>
      <c r="F2474" s="1764"/>
      <c r="G2474" s="1764"/>
      <c r="H2474" s="1764"/>
      <c r="I2474" s="1764"/>
      <c r="J2474" s="1764"/>
      <c r="K2474" s="1764"/>
      <c r="L2474" s="1766"/>
      <c r="M2474" s="1766"/>
      <c r="N2474" s="1766"/>
      <c r="O2474" s="1766"/>
      <c r="P2474" s="1766"/>
      <c r="W2474" t="s">
        <v>2089</v>
      </c>
    </row>
    <row r="2475" spans="1:23" ht="13.15" customHeight="1" x14ac:dyDescent="0.2">
      <c r="A2475" s="2" t="s">
        <v>2242</v>
      </c>
      <c r="B2475" s="2">
        <f t="shared" si="76"/>
        <v>2019</v>
      </c>
      <c r="C2475" s="2" t="str">
        <f t="shared" si="77"/>
        <v>EC101</v>
      </c>
      <c r="D2475" s="2">
        <v>857</v>
      </c>
      <c r="F2475" s="1764"/>
      <c r="G2475" s="1764"/>
      <c r="H2475" s="1764"/>
      <c r="I2475" s="1764"/>
      <c r="J2475" s="1764"/>
      <c r="K2475" s="1764"/>
      <c r="L2475" s="1766"/>
      <c r="M2475" s="1766"/>
      <c r="N2475" s="1766"/>
      <c r="O2475" s="1766"/>
      <c r="P2475" s="1766"/>
      <c r="W2475" t="s">
        <v>2089</v>
      </c>
    </row>
    <row r="2476" spans="1:23" ht="13.15" customHeight="1" x14ac:dyDescent="0.2">
      <c r="A2476" s="2" t="s">
        <v>2242</v>
      </c>
      <c r="B2476" s="2">
        <f t="shared" si="76"/>
        <v>2019</v>
      </c>
      <c r="C2476" s="2" t="str">
        <f t="shared" si="77"/>
        <v>EC101</v>
      </c>
      <c r="D2476" s="2">
        <v>858</v>
      </c>
      <c r="F2476" s="1764"/>
      <c r="G2476" s="1764"/>
      <c r="H2476" s="1764"/>
      <c r="I2476" s="1764"/>
      <c r="J2476" s="1764"/>
      <c r="K2476" s="1764"/>
      <c r="L2476" s="1766"/>
      <c r="M2476" s="1766"/>
      <c r="N2476" s="1766"/>
      <c r="O2476" s="1766"/>
      <c r="P2476" s="1766"/>
      <c r="W2476" t="s">
        <v>2089</v>
      </c>
    </row>
    <row r="2477" spans="1:23" ht="13.15" customHeight="1" x14ac:dyDescent="0.2">
      <c r="A2477" s="2" t="s">
        <v>2242</v>
      </c>
      <c r="B2477" s="2">
        <f t="shared" si="76"/>
        <v>2019</v>
      </c>
      <c r="C2477" s="2" t="str">
        <f t="shared" si="77"/>
        <v>EC101</v>
      </c>
      <c r="D2477" s="2">
        <v>859</v>
      </c>
      <c r="F2477" s="1764"/>
      <c r="G2477" s="1764"/>
      <c r="H2477" s="1764"/>
      <c r="I2477" s="1764"/>
      <c r="J2477" s="1764"/>
      <c r="K2477" s="1764"/>
      <c r="L2477" s="1766"/>
      <c r="M2477" s="1766"/>
      <c r="N2477" s="1766"/>
      <c r="O2477" s="1766"/>
      <c r="P2477" s="1766"/>
      <c r="W2477" t="s">
        <v>2089</v>
      </c>
    </row>
    <row r="2478" spans="1:23" ht="13.15" customHeight="1" x14ac:dyDescent="0.2">
      <c r="A2478" s="2" t="s">
        <v>2242</v>
      </c>
      <c r="B2478" s="2">
        <f t="shared" si="76"/>
        <v>2019</v>
      </c>
      <c r="C2478" s="2" t="str">
        <f t="shared" si="77"/>
        <v>EC101</v>
      </c>
      <c r="D2478" s="2">
        <v>860</v>
      </c>
      <c r="F2478" s="1764"/>
      <c r="G2478" s="1764"/>
      <c r="H2478" s="1764"/>
      <c r="I2478" s="1764"/>
      <c r="J2478" s="1764"/>
      <c r="K2478" s="1764"/>
      <c r="L2478" s="1766"/>
      <c r="M2478" s="1766"/>
      <c r="N2478" s="1766"/>
      <c r="O2478" s="1766"/>
      <c r="P2478" s="1766"/>
      <c r="W2478" t="s">
        <v>2089</v>
      </c>
    </row>
    <row r="2479" spans="1:23" ht="13.15" customHeight="1" x14ac:dyDescent="0.2">
      <c r="A2479" s="2" t="s">
        <v>2242</v>
      </c>
      <c r="B2479" s="2">
        <f t="shared" si="76"/>
        <v>2019</v>
      </c>
      <c r="C2479" s="2" t="str">
        <f t="shared" si="77"/>
        <v>EC101</v>
      </c>
      <c r="D2479" s="2">
        <v>861</v>
      </c>
      <c r="F2479" s="1764"/>
      <c r="G2479" s="1764"/>
      <c r="H2479" s="1764"/>
      <c r="I2479" s="1764"/>
      <c r="J2479" s="1764"/>
      <c r="K2479" s="1764"/>
      <c r="L2479" s="1766"/>
      <c r="M2479" s="1766"/>
      <c r="N2479" s="1766"/>
      <c r="O2479" s="1766"/>
      <c r="P2479" s="1766"/>
      <c r="W2479" t="s">
        <v>2089</v>
      </c>
    </row>
    <row r="2480" spans="1:23" ht="13.15" customHeight="1" x14ac:dyDescent="0.2">
      <c r="A2480" s="2" t="s">
        <v>2242</v>
      </c>
      <c r="B2480" s="2">
        <f t="shared" si="76"/>
        <v>2019</v>
      </c>
      <c r="C2480" s="2" t="str">
        <f t="shared" si="77"/>
        <v>EC101</v>
      </c>
      <c r="D2480" s="2">
        <v>862</v>
      </c>
      <c r="F2480" s="1764"/>
      <c r="G2480" s="1764"/>
      <c r="H2480" s="1764"/>
      <c r="I2480" s="1764"/>
      <c r="J2480" s="1764"/>
      <c r="K2480" s="1764"/>
      <c r="L2480" s="1766"/>
      <c r="M2480" s="1766"/>
      <c r="N2480" s="1766"/>
      <c r="O2480" s="1766"/>
      <c r="P2480" s="1766"/>
      <c r="W2480" t="s">
        <v>2089</v>
      </c>
    </row>
    <row r="2481" spans="1:23" ht="13.15" customHeight="1" x14ac:dyDescent="0.2">
      <c r="A2481" s="2" t="s">
        <v>2242</v>
      </c>
      <c r="B2481" s="2">
        <f t="shared" si="76"/>
        <v>2019</v>
      </c>
      <c r="C2481" s="2" t="str">
        <f t="shared" si="77"/>
        <v>EC101</v>
      </c>
      <c r="D2481" s="2">
        <v>863</v>
      </c>
      <c r="F2481" s="1764"/>
      <c r="G2481" s="1764"/>
      <c r="H2481" s="1764"/>
      <c r="I2481" s="1764"/>
      <c r="J2481" s="1764"/>
      <c r="K2481" s="1764"/>
      <c r="L2481" s="1766"/>
      <c r="M2481" s="1766"/>
      <c r="N2481" s="1766"/>
      <c r="O2481" s="1766"/>
      <c r="P2481" s="1766"/>
      <c r="W2481" t="s">
        <v>2089</v>
      </c>
    </row>
    <row r="2482" spans="1:23" ht="13.15" customHeight="1" x14ac:dyDescent="0.2">
      <c r="A2482" s="2" t="s">
        <v>2242</v>
      </c>
      <c r="B2482" s="2">
        <f t="shared" si="76"/>
        <v>2019</v>
      </c>
      <c r="C2482" s="2" t="str">
        <f t="shared" si="77"/>
        <v>EC101</v>
      </c>
      <c r="D2482" s="2">
        <v>864</v>
      </c>
      <c r="F2482" s="1764"/>
      <c r="G2482" s="1764"/>
      <c r="H2482" s="1764"/>
      <c r="I2482" s="1764"/>
      <c r="J2482" s="1764"/>
      <c r="K2482" s="1764"/>
      <c r="L2482" s="1766"/>
      <c r="M2482" s="1766"/>
      <c r="N2482" s="1766"/>
      <c r="O2482" s="1766"/>
      <c r="P2482" s="1766"/>
      <c r="W2482" t="s">
        <v>2089</v>
      </c>
    </row>
    <row r="2483" spans="1:23" ht="13.15" customHeight="1" x14ac:dyDescent="0.2">
      <c r="A2483" s="2" t="s">
        <v>2242</v>
      </c>
      <c r="B2483" s="2">
        <f t="shared" si="76"/>
        <v>2019</v>
      </c>
      <c r="C2483" s="2" t="str">
        <f t="shared" si="77"/>
        <v>EC101</v>
      </c>
      <c r="D2483" s="2">
        <v>865</v>
      </c>
      <c r="F2483" s="1764"/>
      <c r="G2483" s="1764"/>
      <c r="H2483" s="1764"/>
      <c r="I2483" s="1764"/>
      <c r="J2483" s="1764"/>
      <c r="K2483" s="1764"/>
      <c r="L2483" s="1766"/>
      <c r="M2483" s="1766"/>
      <c r="N2483" s="1766"/>
      <c r="O2483" s="1766"/>
      <c r="P2483" s="1766"/>
      <c r="W2483" t="s">
        <v>2089</v>
      </c>
    </row>
    <row r="2484" spans="1:23" ht="13.15" customHeight="1" x14ac:dyDescent="0.2">
      <c r="A2484" s="2" t="s">
        <v>2242</v>
      </c>
      <c r="B2484" s="2">
        <f t="shared" si="76"/>
        <v>2019</v>
      </c>
      <c r="C2484" s="2" t="str">
        <f t="shared" si="77"/>
        <v>EC101</v>
      </c>
      <c r="D2484" s="2">
        <v>866</v>
      </c>
      <c r="F2484" s="1764"/>
      <c r="G2484" s="1764"/>
      <c r="H2484" s="1764"/>
      <c r="I2484" s="1764"/>
      <c r="J2484" s="1764"/>
      <c r="K2484" s="1764"/>
      <c r="L2484" s="1766"/>
      <c r="M2484" s="1766"/>
      <c r="N2484" s="1766"/>
      <c r="O2484" s="1766"/>
      <c r="P2484" s="1766"/>
      <c r="W2484" t="s">
        <v>2089</v>
      </c>
    </row>
    <row r="2485" spans="1:23" ht="13.15" customHeight="1" x14ac:dyDescent="0.2">
      <c r="A2485" s="2" t="s">
        <v>2242</v>
      </c>
      <c r="B2485" s="2">
        <f t="shared" si="76"/>
        <v>2019</v>
      </c>
      <c r="C2485" s="2" t="str">
        <f t="shared" si="77"/>
        <v>EC101</v>
      </c>
      <c r="D2485" s="2">
        <v>867</v>
      </c>
      <c r="F2485" s="1764"/>
      <c r="G2485" s="1764"/>
      <c r="H2485" s="1764"/>
      <c r="I2485" s="1764"/>
      <c r="J2485" s="1764"/>
      <c r="K2485" s="1764"/>
      <c r="L2485" s="1766"/>
      <c r="M2485" s="1766"/>
      <c r="N2485" s="1766"/>
      <c r="O2485" s="1766"/>
      <c r="P2485" s="1766"/>
      <c r="W2485" t="s">
        <v>2089</v>
      </c>
    </row>
    <row r="2486" spans="1:23" ht="13.15" customHeight="1" x14ac:dyDescent="0.2">
      <c r="A2486" s="2" t="s">
        <v>2242</v>
      </c>
      <c r="B2486" s="2">
        <f t="shared" si="76"/>
        <v>2019</v>
      </c>
      <c r="C2486" s="2" t="str">
        <f t="shared" si="77"/>
        <v>EC101</v>
      </c>
      <c r="D2486" s="2">
        <v>868</v>
      </c>
      <c r="F2486" s="1764"/>
      <c r="G2486" s="1764"/>
      <c r="H2486" s="1764"/>
      <c r="I2486" s="1764"/>
      <c r="J2486" s="1764"/>
      <c r="K2486" s="1764"/>
      <c r="L2486" s="1766"/>
      <c r="M2486" s="1766"/>
      <c r="N2486" s="1766"/>
      <c r="O2486" s="1766"/>
      <c r="P2486" s="1766"/>
      <c r="W2486" t="s">
        <v>2089</v>
      </c>
    </row>
    <row r="2487" spans="1:23" ht="13.15" customHeight="1" x14ac:dyDescent="0.2">
      <c r="A2487" s="2" t="s">
        <v>2242</v>
      </c>
      <c r="B2487" s="2">
        <f t="shared" si="76"/>
        <v>2019</v>
      </c>
      <c r="C2487" s="2" t="str">
        <f t="shared" si="77"/>
        <v>EC101</v>
      </c>
      <c r="D2487" s="2">
        <v>869</v>
      </c>
      <c r="F2487" s="1764"/>
      <c r="G2487" s="1764"/>
      <c r="H2487" s="1764"/>
      <c r="I2487" s="1764"/>
      <c r="J2487" s="1764"/>
      <c r="K2487" s="1764"/>
      <c r="L2487" s="1766"/>
      <c r="M2487" s="1766"/>
      <c r="N2487" s="1766"/>
      <c r="O2487" s="1766"/>
      <c r="P2487" s="1766"/>
      <c r="W2487" t="s">
        <v>2089</v>
      </c>
    </row>
    <row r="2488" spans="1:23" ht="13.15" customHeight="1" x14ac:dyDescent="0.2">
      <c r="A2488" s="2" t="s">
        <v>2242</v>
      </c>
      <c r="B2488" s="2">
        <f t="shared" si="76"/>
        <v>2019</v>
      </c>
      <c r="C2488" s="2" t="str">
        <f t="shared" si="77"/>
        <v>EC101</v>
      </c>
      <c r="D2488" s="2">
        <v>870</v>
      </c>
      <c r="F2488" s="1764"/>
      <c r="G2488" s="1764"/>
      <c r="H2488" s="1764"/>
      <c r="I2488" s="1764"/>
      <c r="J2488" s="1764"/>
      <c r="K2488" s="1764"/>
      <c r="L2488" s="1766"/>
      <c r="M2488" s="1766"/>
      <c r="N2488" s="1766"/>
      <c r="O2488" s="1766"/>
      <c r="P2488" s="1766"/>
      <c r="W2488" t="s">
        <v>2089</v>
      </c>
    </row>
    <row r="2489" spans="1:23" ht="13.15" customHeight="1" x14ac:dyDescent="0.2">
      <c r="A2489" s="2" t="s">
        <v>2242</v>
      </c>
      <c r="B2489" s="2">
        <f t="shared" si="76"/>
        <v>2019</v>
      </c>
      <c r="C2489" s="2" t="str">
        <f t="shared" si="77"/>
        <v>EC101</v>
      </c>
      <c r="D2489" s="2">
        <v>871</v>
      </c>
      <c r="F2489" s="1764"/>
      <c r="G2489" s="1764"/>
      <c r="H2489" s="1764"/>
      <c r="I2489" s="1764"/>
      <c r="J2489" s="1764"/>
      <c r="K2489" s="1764"/>
      <c r="L2489" s="1766"/>
      <c r="M2489" s="1766"/>
      <c r="N2489" s="1766"/>
      <c r="O2489" s="1766"/>
      <c r="P2489" s="1766"/>
      <c r="W2489" t="s">
        <v>2089</v>
      </c>
    </row>
    <row r="2490" spans="1:23" ht="13.15" customHeight="1" x14ac:dyDescent="0.2">
      <c r="A2490" s="2" t="s">
        <v>2242</v>
      </c>
      <c r="B2490" s="2">
        <f t="shared" si="76"/>
        <v>2019</v>
      </c>
      <c r="C2490" s="2" t="str">
        <f t="shared" si="77"/>
        <v>EC101</v>
      </c>
      <c r="D2490" s="2">
        <v>872</v>
      </c>
      <c r="F2490" s="1764"/>
      <c r="G2490" s="1764"/>
      <c r="H2490" s="1764"/>
      <c r="I2490" s="1764"/>
      <c r="J2490" s="1764"/>
      <c r="K2490" s="1764"/>
      <c r="L2490" s="1766"/>
      <c r="M2490" s="1766"/>
      <c r="N2490" s="1766"/>
      <c r="O2490" s="1766"/>
      <c r="P2490" s="1766"/>
      <c r="W2490" t="s">
        <v>2089</v>
      </c>
    </row>
    <row r="2491" spans="1:23" ht="13.15" customHeight="1" x14ac:dyDescent="0.2">
      <c r="A2491" s="2" t="s">
        <v>2242</v>
      </c>
      <c r="B2491" s="2">
        <f t="shared" si="76"/>
        <v>2019</v>
      </c>
      <c r="C2491" s="2" t="str">
        <f t="shared" si="77"/>
        <v>EC101</v>
      </c>
      <c r="D2491" s="2">
        <v>873</v>
      </c>
      <c r="F2491" s="1764"/>
      <c r="G2491" s="1764"/>
      <c r="H2491" s="1764"/>
      <c r="I2491" s="1764"/>
      <c r="J2491" s="1764"/>
      <c r="K2491" s="1764"/>
      <c r="L2491" s="1766"/>
      <c r="M2491" s="1766"/>
      <c r="N2491" s="1766"/>
      <c r="O2491" s="1766"/>
      <c r="P2491" s="1766"/>
      <c r="W2491" t="s">
        <v>2089</v>
      </c>
    </row>
    <row r="2492" spans="1:23" ht="13.15" customHeight="1" x14ac:dyDescent="0.2">
      <c r="A2492" s="2" t="s">
        <v>2242</v>
      </c>
      <c r="B2492" s="2">
        <f t="shared" si="76"/>
        <v>2019</v>
      </c>
      <c r="C2492" s="2" t="str">
        <f t="shared" si="77"/>
        <v>EC101</v>
      </c>
      <c r="D2492" s="2">
        <v>874</v>
      </c>
      <c r="F2492" s="1764"/>
      <c r="G2492" s="1764"/>
      <c r="H2492" s="1764"/>
      <c r="I2492" s="1764"/>
      <c r="J2492" s="1764"/>
      <c r="K2492" s="1764"/>
      <c r="L2492" s="1766"/>
      <c r="M2492" s="1766"/>
      <c r="N2492" s="1766"/>
      <c r="O2492" s="1766"/>
      <c r="P2492" s="1766"/>
      <c r="W2492" t="s">
        <v>2089</v>
      </c>
    </row>
    <row r="2493" spans="1:23" ht="13.15" customHeight="1" x14ac:dyDescent="0.2">
      <c r="A2493" s="2" t="s">
        <v>2242</v>
      </c>
      <c r="B2493" s="2">
        <f t="shared" si="76"/>
        <v>2019</v>
      </c>
      <c r="C2493" s="2" t="str">
        <f t="shared" si="77"/>
        <v>EC101</v>
      </c>
      <c r="D2493" s="2">
        <v>875</v>
      </c>
      <c r="F2493" s="1764"/>
      <c r="G2493" s="1764"/>
      <c r="H2493" s="1764"/>
      <c r="I2493" s="1764"/>
      <c r="J2493" s="1764"/>
      <c r="K2493" s="1764"/>
      <c r="L2493" s="1766"/>
      <c r="M2493" s="1766"/>
      <c r="N2493" s="1766"/>
      <c r="O2493" s="1766"/>
      <c r="P2493" s="1766"/>
      <c r="W2493" t="s">
        <v>2089</v>
      </c>
    </row>
    <row r="2494" spans="1:23" ht="13.15" customHeight="1" x14ac:dyDescent="0.2">
      <c r="A2494" s="2" t="s">
        <v>2242</v>
      </c>
      <c r="B2494" s="2">
        <f t="shared" si="76"/>
        <v>2019</v>
      </c>
      <c r="C2494" s="2" t="str">
        <f t="shared" si="77"/>
        <v>EC101</v>
      </c>
      <c r="D2494" s="2">
        <v>876</v>
      </c>
      <c r="F2494" s="1764"/>
      <c r="G2494" s="1764"/>
      <c r="H2494" s="1764"/>
      <c r="I2494" s="1764"/>
      <c r="J2494" s="1764"/>
      <c r="K2494" s="1764"/>
      <c r="L2494" s="1766"/>
      <c r="M2494" s="1766"/>
      <c r="N2494" s="1766"/>
      <c r="O2494" s="1766"/>
      <c r="P2494" s="1766"/>
      <c r="W2494" t="s">
        <v>2089</v>
      </c>
    </row>
    <row r="2495" spans="1:23" ht="13.15" customHeight="1" x14ac:dyDescent="0.2">
      <c r="A2495" s="2" t="s">
        <v>2242</v>
      </c>
      <c r="B2495" s="2">
        <f t="shared" si="76"/>
        <v>2019</v>
      </c>
      <c r="C2495" s="2" t="str">
        <f t="shared" si="77"/>
        <v>EC101</v>
      </c>
      <c r="D2495" s="2">
        <v>877</v>
      </c>
      <c r="F2495" s="1764"/>
      <c r="G2495" s="1764"/>
      <c r="H2495" s="1764"/>
      <c r="I2495" s="1764"/>
      <c r="J2495" s="1764"/>
      <c r="K2495" s="1764"/>
      <c r="L2495" s="1766"/>
      <c r="M2495" s="1766"/>
      <c r="N2495" s="1766"/>
      <c r="O2495" s="1766"/>
      <c r="P2495" s="1766"/>
      <c r="W2495" t="s">
        <v>2089</v>
      </c>
    </row>
    <row r="2496" spans="1:23" ht="13.15" customHeight="1" x14ac:dyDescent="0.2">
      <c r="A2496" s="2" t="s">
        <v>2242</v>
      </c>
      <c r="B2496" s="2">
        <f t="shared" si="76"/>
        <v>2019</v>
      </c>
      <c r="C2496" s="2" t="str">
        <f t="shared" si="77"/>
        <v>EC101</v>
      </c>
      <c r="D2496" s="2">
        <v>878</v>
      </c>
      <c r="F2496" s="1764"/>
      <c r="G2496" s="1764"/>
      <c r="H2496" s="1764"/>
      <c r="I2496" s="1764"/>
      <c r="J2496" s="1764"/>
      <c r="K2496" s="1764"/>
      <c r="L2496" s="1766"/>
      <c r="M2496" s="1766"/>
      <c r="N2496" s="1766"/>
      <c r="O2496" s="1766"/>
      <c r="P2496" s="1766"/>
      <c r="W2496" t="s">
        <v>2089</v>
      </c>
    </row>
    <row r="2497" spans="1:23" ht="13.15" customHeight="1" x14ac:dyDescent="0.2">
      <c r="A2497" s="2" t="s">
        <v>2242</v>
      </c>
      <c r="B2497" s="2">
        <f t="shared" si="76"/>
        <v>2019</v>
      </c>
      <c r="C2497" s="2" t="str">
        <f t="shared" si="77"/>
        <v>EC101</v>
      </c>
      <c r="D2497" s="2">
        <v>879</v>
      </c>
      <c r="F2497" s="1764"/>
      <c r="G2497" s="1764"/>
      <c r="H2497" s="1764"/>
      <c r="I2497" s="1764"/>
      <c r="J2497" s="1764"/>
      <c r="K2497" s="1764"/>
      <c r="L2497" s="1766"/>
      <c r="M2497" s="1766"/>
      <c r="N2497" s="1766"/>
      <c r="O2497" s="1766"/>
      <c r="P2497" s="1766"/>
      <c r="W2497" t="s">
        <v>2089</v>
      </c>
    </row>
    <row r="2498" spans="1:23" ht="13.15" customHeight="1" x14ac:dyDescent="0.2">
      <c r="A2498" s="2" t="s">
        <v>2242</v>
      </c>
      <c r="B2498" s="2">
        <f t="shared" ref="B2498:B2561" si="78">+MTREF</f>
        <v>2019</v>
      </c>
      <c r="C2498" s="2" t="str">
        <f t="shared" ref="C2498:C2561" si="79">LEFT(muni,(FIND(" ",muni,1)-1))</f>
        <v>EC101</v>
      </c>
      <c r="D2498" s="2">
        <v>880</v>
      </c>
      <c r="F2498" s="1764"/>
      <c r="G2498" s="1764"/>
      <c r="H2498" s="1764"/>
      <c r="I2498" s="1764"/>
      <c r="J2498" s="1764"/>
      <c r="K2498" s="1764"/>
      <c r="L2498" s="1766"/>
      <c r="M2498" s="1766"/>
      <c r="N2498" s="1766"/>
      <c r="O2498" s="1766"/>
      <c r="P2498" s="1766"/>
      <c r="W2498" t="s">
        <v>2089</v>
      </c>
    </row>
    <row r="2499" spans="1:23" ht="13.15" customHeight="1" x14ac:dyDescent="0.2">
      <c r="A2499" s="2" t="s">
        <v>2242</v>
      </c>
      <c r="B2499" s="2">
        <f t="shared" si="78"/>
        <v>2019</v>
      </c>
      <c r="C2499" s="2" t="str">
        <f t="shared" si="79"/>
        <v>EC101</v>
      </c>
      <c r="D2499" s="2">
        <v>881</v>
      </c>
      <c r="F2499" s="1764"/>
      <c r="G2499" s="1764"/>
      <c r="H2499" s="1764"/>
      <c r="I2499" s="1764"/>
      <c r="J2499" s="1764"/>
      <c r="K2499" s="1764"/>
      <c r="L2499" s="1766"/>
      <c r="M2499" s="1766"/>
      <c r="N2499" s="1766"/>
      <c r="O2499" s="1766"/>
      <c r="P2499" s="1766"/>
      <c r="W2499" t="s">
        <v>2089</v>
      </c>
    </row>
    <row r="2500" spans="1:23" ht="13.15" customHeight="1" x14ac:dyDescent="0.2">
      <c r="A2500" s="2" t="s">
        <v>2242</v>
      </c>
      <c r="B2500" s="2">
        <f t="shared" si="78"/>
        <v>2019</v>
      </c>
      <c r="C2500" s="2" t="str">
        <f t="shared" si="79"/>
        <v>EC101</v>
      </c>
      <c r="D2500" s="2">
        <v>882</v>
      </c>
      <c r="F2500" s="1764"/>
      <c r="G2500" s="1764"/>
      <c r="H2500" s="1764"/>
      <c r="I2500" s="1764"/>
      <c r="J2500" s="1764"/>
      <c r="K2500" s="1764"/>
      <c r="L2500" s="1766"/>
      <c r="M2500" s="1766"/>
      <c r="N2500" s="1766"/>
      <c r="O2500" s="1766"/>
      <c r="P2500" s="1766"/>
      <c r="W2500" t="s">
        <v>2089</v>
      </c>
    </row>
    <row r="2501" spans="1:23" ht="13.15" customHeight="1" x14ac:dyDescent="0.2">
      <c r="A2501" s="2" t="s">
        <v>2242</v>
      </c>
      <c r="B2501" s="2">
        <f t="shared" si="78"/>
        <v>2019</v>
      </c>
      <c r="C2501" s="2" t="str">
        <f t="shared" si="79"/>
        <v>EC101</v>
      </c>
      <c r="D2501" s="2">
        <v>883</v>
      </c>
      <c r="F2501" s="1764"/>
      <c r="G2501" s="1764"/>
      <c r="H2501" s="1764"/>
      <c r="I2501" s="1764"/>
      <c r="J2501" s="1764"/>
      <c r="K2501" s="1764"/>
      <c r="L2501" s="1766"/>
      <c r="M2501" s="1766"/>
      <c r="N2501" s="1766"/>
      <c r="O2501" s="1766"/>
      <c r="P2501" s="1766"/>
      <c r="W2501" t="s">
        <v>2089</v>
      </c>
    </row>
    <row r="2502" spans="1:23" ht="13.15" customHeight="1" x14ac:dyDescent="0.2">
      <c r="A2502" s="2" t="s">
        <v>2242</v>
      </c>
      <c r="B2502" s="2">
        <f t="shared" si="78"/>
        <v>2019</v>
      </c>
      <c r="C2502" s="2" t="str">
        <f t="shared" si="79"/>
        <v>EC101</v>
      </c>
      <c r="D2502" s="2">
        <v>884</v>
      </c>
      <c r="F2502" s="1764"/>
      <c r="G2502" s="1764"/>
      <c r="H2502" s="1764"/>
      <c r="I2502" s="1764"/>
      <c r="J2502" s="1764"/>
      <c r="K2502" s="1764"/>
      <c r="L2502" s="1766"/>
      <c r="M2502" s="1766"/>
      <c r="N2502" s="1766"/>
      <c r="O2502" s="1766"/>
      <c r="P2502" s="1766"/>
      <c r="W2502" t="s">
        <v>2089</v>
      </c>
    </row>
    <row r="2503" spans="1:23" ht="13.15" customHeight="1" x14ac:dyDescent="0.2">
      <c r="A2503" s="2" t="s">
        <v>2242</v>
      </c>
      <c r="B2503" s="2">
        <f t="shared" si="78"/>
        <v>2019</v>
      </c>
      <c r="C2503" s="2" t="str">
        <f t="shared" si="79"/>
        <v>EC101</v>
      </c>
      <c r="D2503" s="2">
        <v>885</v>
      </c>
      <c r="F2503" s="1764"/>
      <c r="G2503" s="1764"/>
      <c r="H2503" s="1764"/>
      <c r="I2503" s="1764"/>
      <c r="J2503" s="1764"/>
      <c r="K2503" s="1764"/>
      <c r="L2503" s="1766"/>
      <c r="M2503" s="1766"/>
      <c r="N2503" s="1766"/>
      <c r="O2503" s="1766"/>
      <c r="P2503" s="1766"/>
      <c r="W2503" t="s">
        <v>2089</v>
      </c>
    </row>
    <row r="2504" spans="1:23" ht="13.15" customHeight="1" x14ac:dyDescent="0.2">
      <c r="A2504" s="2" t="s">
        <v>2242</v>
      </c>
      <c r="B2504" s="2">
        <f t="shared" si="78"/>
        <v>2019</v>
      </c>
      <c r="C2504" s="2" t="str">
        <f t="shared" si="79"/>
        <v>EC101</v>
      </c>
      <c r="D2504" s="2">
        <v>886</v>
      </c>
      <c r="F2504" s="1764"/>
      <c r="G2504" s="1764"/>
      <c r="H2504" s="1764"/>
      <c r="I2504" s="1764"/>
      <c r="J2504" s="1764"/>
      <c r="K2504" s="1764"/>
      <c r="L2504" s="1766"/>
      <c r="M2504" s="1766"/>
      <c r="N2504" s="1766"/>
      <c r="O2504" s="1766"/>
      <c r="P2504" s="1766"/>
      <c r="W2504" t="s">
        <v>2089</v>
      </c>
    </row>
    <row r="2505" spans="1:23" ht="13.15" customHeight="1" x14ac:dyDescent="0.2">
      <c r="A2505" s="2" t="s">
        <v>2242</v>
      </c>
      <c r="B2505" s="2">
        <f t="shared" si="78"/>
        <v>2019</v>
      </c>
      <c r="C2505" s="2" t="str">
        <f t="shared" si="79"/>
        <v>EC101</v>
      </c>
      <c r="D2505" s="2">
        <v>887</v>
      </c>
      <c r="F2505" s="1764"/>
      <c r="G2505" s="1764"/>
      <c r="H2505" s="1764"/>
      <c r="I2505" s="1764"/>
      <c r="J2505" s="1764"/>
      <c r="K2505" s="1764"/>
      <c r="L2505" s="1766"/>
      <c r="M2505" s="1766"/>
      <c r="N2505" s="1766"/>
      <c r="O2505" s="1766"/>
      <c r="P2505" s="1766"/>
      <c r="W2505" t="s">
        <v>2089</v>
      </c>
    </row>
    <row r="2506" spans="1:23" ht="13.15" customHeight="1" x14ac:dyDescent="0.2">
      <c r="A2506" s="2" t="s">
        <v>2242</v>
      </c>
      <c r="B2506" s="2">
        <f t="shared" si="78"/>
        <v>2019</v>
      </c>
      <c r="C2506" s="2" t="str">
        <f t="shared" si="79"/>
        <v>EC101</v>
      </c>
      <c r="D2506" s="2">
        <v>888</v>
      </c>
      <c r="F2506" s="1764"/>
      <c r="G2506" s="1764"/>
      <c r="H2506" s="1764"/>
      <c r="I2506" s="1764"/>
      <c r="J2506" s="1764"/>
      <c r="K2506" s="1764"/>
      <c r="L2506" s="1766"/>
      <c r="M2506" s="1766"/>
      <c r="N2506" s="1766"/>
      <c r="O2506" s="1766"/>
      <c r="P2506" s="1766"/>
      <c r="W2506" t="s">
        <v>2089</v>
      </c>
    </row>
    <row r="2507" spans="1:23" ht="13.15" customHeight="1" x14ac:dyDescent="0.2">
      <c r="A2507" s="2" t="s">
        <v>2242</v>
      </c>
      <c r="B2507" s="2">
        <f t="shared" si="78"/>
        <v>2019</v>
      </c>
      <c r="C2507" s="2" t="str">
        <f t="shared" si="79"/>
        <v>EC101</v>
      </c>
      <c r="D2507" s="2">
        <v>889</v>
      </c>
      <c r="F2507" s="1764"/>
      <c r="G2507" s="1764"/>
      <c r="H2507" s="1764"/>
      <c r="I2507" s="1764"/>
      <c r="J2507" s="1764"/>
      <c r="K2507" s="1764"/>
      <c r="L2507" s="1766"/>
      <c r="M2507" s="1766"/>
      <c r="N2507" s="1766"/>
      <c r="O2507" s="1766"/>
      <c r="P2507" s="1766"/>
      <c r="W2507" t="s">
        <v>2089</v>
      </c>
    </row>
    <row r="2508" spans="1:23" ht="13.15" customHeight="1" x14ac:dyDescent="0.2">
      <c r="A2508" s="2" t="s">
        <v>2242</v>
      </c>
      <c r="B2508" s="2">
        <f t="shared" si="78"/>
        <v>2019</v>
      </c>
      <c r="C2508" s="2" t="str">
        <f t="shared" si="79"/>
        <v>EC101</v>
      </c>
      <c r="D2508" s="2">
        <v>890</v>
      </c>
      <c r="F2508" s="1764"/>
      <c r="G2508" s="1764"/>
      <c r="H2508" s="1764"/>
      <c r="I2508" s="1764"/>
      <c r="J2508" s="1764"/>
      <c r="K2508" s="1764"/>
      <c r="L2508" s="1766"/>
      <c r="M2508" s="1766"/>
      <c r="N2508" s="1766"/>
      <c r="O2508" s="1766"/>
      <c r="P2508" s="1766"/>
      <c r="W2508" t="s">
        <v>2089</v>
      </c>
    </row>
    <row r="2509" spans="1:23" ht="13.15" customHeight="1" x14ac:dyDescent="0.2">
      <c r="A2509" s="2" t="s">
        <v>2242</v>
      </c>
      <c r="B2509" s="2">
        <f t="shared" si="78"/>
        <v>2019</v>
      </c>
      <c r="C2509" s="2" t="str">
        <f t="shared" si="79"/>
        <v>EC101</v>
      </c>
      <c r="D2509" s="2">
        <v>891</v>
      </c>
      <c r="F2509" s="1764"/>
      <c r="G2509" s="1764"/>
      <c r="H2509" s="1764"/>
      <c r="I2509" s="1764"/>
      <c r="J2509" s="1764"/>
      <c r="K2509" s="1764"/>
      <c r="L2509" s="1766"/>
      <c r="M2509" s="1766"/>
      <c r="N2509" s="1766"/>
      <c r="O2509" s="1766"/>
      <c r="P2509" s="1766"/>
      <c r="W2509" t="s">
        <v>2089</v>
      </c>
    </row>
    <row r="2510" spans="1:23" ht="13.15" customHeight="1" x14ac:dyDescent="0.2">
      <c r="A2510" s="2" t="s">
        <v>2242</v>
      </c>
      <c r="B2510" s="2">
        <f t="shared" si="78"/>
        <v>2019</v>
      </c>
      <c r="C2510" s="2" t="str">
        <f t="shared" si="79"/>
        <v>EC101</v>
      </c>
      <c r="D2510" s="2">
        <v>892</v>
      </c>
      <c r="F2510" s="1764"/>
      <c r="G2510" s="1764"/>
      <c r="H2510" s="1764"/>
      <c r="I2510" s="1764"/>
      <c r="J2510" s="1764"/>
      <c r="K2510" s="1764"/>
      <c r="L2510" s="1766"/>
      <c r="M2510" s="1766"/>
      <c r="N2510" s="1766"/>
      <c r="O2510" s="1766"/>
      <c r="P2510" s="1766"/>
      <c r="W2510" t="s">
        <v>2089</v>
      </c>
    </row>
    <row r="2511" spans="1:23" ht="13.15" customHeight="1" x14ac:dyDescent="0.2">
      <c r="A2511" s="2" t="s">
        <v>2242</v>
      </c>
      <c r="B2511" s="2">
        <f t="shared" si="78"/>
        <v>2019</v>
      </c>
      <c r="C2511" s="2" t="str">
        <f t="shared" si="79"/>
        <v>EC101</v>
      </c>
      <c r="D2511" s="2">
        <v>893</v>
      </c>
      <c r="F2511" s="1764"/>
      <c r="G2511" s="1764"/>
      <c r="H2511" s="1764"/>
      <c r="I2511" s="1764"/>
      <c r="J2511" s="1764"/>
      <c r="K2511" s="1764"/>
      <c r="L2511" s="1766"/>
      <c r="M2511" s="1766"/>
      <c r="N2511" s="1766"/>
      <c r="O2511" s="1766"/>
      <c r="P2511" s="1766"/>
      <c r="W2511" t="s">
        <v>2089</v>
      </c>
    </row>
    <row r="2512" spans="1:23" ht="13.15" customHeight="1" x14ac:dyDescent="0.2">
      <c r="A2512" s="2" t="s">
        <v>2242</v>
      </c>
      <c r="B2512" s="2">
        <f t="shared" si="78"/>
        <v>2019</v>
      </c>
      <c r="C2512" s="2" t="str">
        <f t="shared" si="79"/>
        <v>EC101</v>
      </c>
      <c r="D2512" s="2">
        <v>894</v>
      </c>
      <c r="F2512" s="1764"/>
      <c r="G2512" s="1764"/>
      <c r="H2512" s="1764"/>
      <c r="I2512" s="1764"/>
      <c r="J2512" s="1764"/>
      <c r="K2512" s="1764"/>
      <c r="L2512" s="1766"/>
      <c r="M2512" s="1766"/>
      <c r="N2512" s="1766"/>
      <c r="O2512" s="1766"/>
      <c r="P2512" s="1766"/>
      <c r="W2512" t="s">
        <v>2089</v>
      </c>
    </row>
    <row r="2513" spans="1:23" ht="13.15" customHeight="1" x14ac:dyDescent="0.2">
      <c r="A2513" s="2" t="s">
        <v>2242</v>
      </c>
      <c r="B2513" s="2">
        <f t="shared" si="78"/>
        <v>2019</v>
      </c>
      <c r="C2513" s="2" t="str">
        <f t="shared" si="79"/>
        <v>EC101</v>
      </c>
      <c r="D2513" s="2">
        <v>895</v>
      </c>
      <c r="F2513" s="1764"/>
      <c r="G2513" s="1764"/>
      <c r="H2513" s="1764"/>
      <c r="I2513" s="1764"/>
      <c r="J2513" s="1764"/>
      <c r="K2513" s="1764"/>
      <c r="L2513" s="1766"/>
      <c r="M2513" s="1766"/>
      <c r="N2513" s="1766"/>
      <c r="O2513" s="1766"/>
      <c r="P2513" s="1766"/>
      <c r="W2513" t="s">
        <v>2089</v>
      </c>
    </row>
    <row r="2514" spans="1:23" ht="13.15" customHeight="1" x14ac:dyDescent="0.2">
      <c r="A2514" s="2" t="s">
        <v>2242</v>
      </c>
      <c r="B2514" s="2">
        <f t="shared" si="78"/>
        <v>2019</v>
      </c>
      <c r="C2514" s="2" t="str">
        <f t="shared" si="79"/>
        <v>EC101</v>
      </c>
      <c r="D2514" s="2">
        <v>896</v>
      </c>
      <c r="F2514" s="1764"/>
      <c r="G2514" s="1764"/>
      <c r="H2514" s="1764"/>
      <c r="I2514" s="1764"/>
      <c r="J2514" s="1764"/>
      <c r="K2514" s="1764"/>
      <c r="L2514" s="1766"/>
      <c r="M2514" s="1766"/>
      <c r="N2514" s="1766"/>
      <c r="O2514" s="1766"/>
      <c r="P2514" s="1766"/>
      <c r="W2514" t="s">
        <v>2089</v>
      </c>
    </row>
    <row r="2515" spans="1:23" ht="13.15" customHeight="1" x14ac:dyDescent="0.2">
      <c r="A2515" s="2" t="s">
        <v>2242</v>
      </c>
      <c r="B2515" s="2">
        <f t="shared" si="78"/>
        <v>2019</v>
      </c>
      <c r="C2515" s="2" t="str">
        <f t="shared" si="79"/>
        <v>EC101</v>
      </c>
      <c r="D2515" s="2">
        <v>897</v>
      </c>
      <c r="F2515" s="1764"/>
      <c r="G2515" s="1764"/>
      <c r="H2515" s="1764"/>
      <c r="I2515" s="1764"/>
      <c r="J2515" s="1764"/>
      <c r="K2515" s="1764"/>
      <c r="L2515" s="1766"/>
      <c r="M2515" s="1766"/>
      <c r="N2515" s="1766"/>
      <c r="O2515" s="1766"/>
      <c r="P2515" s="1766"/>
      <c r="W2515" t="s">
        <v>2089</v>
      </c>
    </row>
    <row r="2516" spans="1:23" ht="13.15" customHeight="1" x14ac:dyDescent="0.2">
      <c r="A2516" s="2" t="s">
        <v>2242</v>
      </c>
      <c r="B2516" s="2">
        <f t="shared" si="78"/>
        <v>2019</v>
      </c>
      <c r="C2516" s="2" t="str">
        <f t="shared" si="79"/>
        <v>EC101</v>
      </c>
      <c r="D2516" s="2">
        <v>898</v>
      </c>
      <c r="F2516" s="1764"/>
      <c r="G2516" s="1764"/>
      <c r="H2516" s="1764"/>
      <c r="I2516" s="1764"/>
      <c r="J2516" s="1764"/>
      <c r="K2516" s="1764"/>
      <c r="L2516" s="1766"/>
      <c r="M2516" s="1766"/>
      <c r="N2516" s="1766"/>
      <c r="O2516" s="1766"/>
      <c r="P2516" s="1766"/>
      <c r="W2516" t="s">
        <v>2089</v>
      </c>
    </row>
    <row r="2517" spans="1:23" ht="13.15" customHeight="1" x14ac:dyDescent="0.2">
      <c r="A2517" s="2" t="s">
        <v>2242</v>
      </c>
      <c r="B2517" s="2">
        <f t="shared" si="78"/>
        <v>2019</v>
      </c>
      <c r="C2517" s="2" t="str">
        <f t="shared" si="79"/>
        <v>EC101</v>
      </c>
      <c r="D2517" s="2">
        <v>899</v>
      </c>
      <c r="F2517" s="1764"/>
      <c r="G2517" s="1764"/>
      <c r="H2517" s="1764"/>
      <c r="I2517" s="1764"/>
      <c r="J2517" s="1764"/>
      <c r="K2517" s="1764"/>
      <c r="L2517" s="1766"/>
      <c r="M2517" s="1766"/>
      <c r="N2517" s="1766"/>
      <c r="O2517" s="1766"/>
      <c r="P2517" s="1766"/>
      <c r="W2517" t="s">
        <v>2089</v>
      </c>
    </row>
    <row r="2518" spans="1:23" ht="13.15" customHeight="1" x14ac:dyDescent="0.2">
      <c r="A2518" s="2" t="s">
        <v>2242</v>
      </c>
      <c r="B2518" s="2">
        <f t="shared" si="78"/>
        <v>2019</v>
      </c>
      <c r="C2518" s="2" t="str">
        <f t="shared" si="79"/>
        <v>EC101</v>
      </c>
      <c r="D2518" s="2">
        <v>900</v>
      </c>
      <c r="F2518" s="1764"/>
      <c r="G2518" s="1764"/>
      <c r="H2518" s="1764"/>
      <c r="I2518" s="1764"/>
      <c r="J2518" s="1764"/>
      <c r="K2518" s="1764"/>
      <c r="L2518" s="1766"/>
      <c r="M2518" s="1766"/>
      <c r="N2518" s="1766"/>
      <c r="O2518" s="1766"/>
      <c r="P2518" s="1766"/>
      <c r="W2518" t="s">
        <v>2089</v>
      </c>
    </row>
    <row r="2519" spans="1:23" ht="13.15" customHeight="1" x14ac:dyDescent="0.2">
      <c r="A2519" s="2" t="s">
        <v>2242</v>
      </c>
      <c r="B2519" s="2">
        <f t="shared" si="78"/>
        <v>2019</v>
      </c>
      <c r="C2519" s="2" t="str">
        <f t="shared" si="79"/>
        <v>EC101</v>
      </c>
      <c r="D2519" s="2">
        <v>901</v>
      </c>
      <c r="F2519" s="1764"/>
      <c r="G2519" s="1764"/>
      <c r="H2519" s="1764"/>
      <c r="I2519" s="1764"/>
      <c r="J2519" s="1764"/>
      <c r="K2519" s="1764"/>
      <c r="L2519" s="1766"/>
      <c r="M2519" s="1766"/>
      <c r="N2519" s="1766"/>
      <c r="O2519" s="1766"/>
      <c r="P2519" s="1766"/>
      <c r="W2519" t="s">
        <v>2089</v>
      </c>
    </row>
    <row r="2520" spans="1:23" ht="13.15" customHeight="1" x14ac:dyDescent="0.2">
      <c r="A2520" s="2" t="s">
        <v>2242</v>
      </c>
      <c r="B2520" s="2">
        <f t="shared" si="78"/>
        <v>2019</v>
      </c>
      <c r="C2520" s="2" t="str">
        <f t="shared" si="79"/>
        <v>EC101</v>
      </c>
      <c r="D2520" s="2">
        <v>902</v>
      </c>
      <c r="F2520" s="1764"/>
      <c r="G2520" s="1764"/>
      <c r="H2520" s="1764"/>
      <c r="I2520" s="1764"/>
      <c r="J2520" s="1764"/>
      <c r="K2520" s="1764"/>
      <c r="L2520" s="1766"/>
      <c r="M2520" s="1766"/>
      <c r="N2520" s="1766"/>
      <c r="O2520" s="1766"/>
      <c r="P2520" s="1766"/>
      <c r="W2520" t="s">
        <v>2089</v>
      </c>
    </row>
    <row r="2521" spans="1:23" ht="13.15" customHeight="1" x14ac:dyDescent="0.2">
      <c r="A2521" s="2" t="s">
        <v>2242</v>
      </c>
      <c r="B2521" s="2">
        <f t="shared" si="78"/>
        <v>2019</v>
      </c>
      <c r="C2521" s="2" t="str">
        <f t="shared" si="79"/>
        <v>EC101</v>
      </c>
      <c r="D2521" s="2">
        <v>903</v>
      </c>
      <c r="F2521" s="1764"/>
      <c r="G2521" s="1764"/>
      <c r="H2521" s="1764"/>
      <c r="I2521" s="1764"/>
      <c r="J2521" s="1764"/>
      <c r="K2521" s="1764"/>
      <c r="L2521" s="1766"/>
      <c r="M2521" s="1766"/>
      <c r="N2521" s="1766"/>
      <c r="O2521" s="1766"/>
      <c r="P2521" s="1766"/>
      <c r="W2521" t="s">
        <v>2089</v>
      </c>
    </row>
    <row r="2522" spans="1:23" ht="13.15" customHeight="1" x14ac:dyDescent="0.2">
      <c r="A2522" s="2" t="s">
        <v>2242</v>
      </c>
      <c r="B2522" s="2">
        <f t="shared" si="78"/>
        <v>2019</v>
      </c>
      <c r="C2522" s="2" t="str">
        <f t="shared" si="79"/>
        <v>EC101</v>
      </c>
      <c r="D2522" s="2">
        <v>904</v>
      </c>
      <c r="F2522" s="1764"/>
      <c r="G2522" s="1764"/>
      <c r="H2522" s="1764"/>
      <c r="I2522" s="1764"/>
      <c r="J2522" s="1764"/>
      <c r="K2522" s="1764"/>
      <c r="L2522" s="1766"/>
      <c r="M2522" s="1766"/>
      <c r="N2522" s="1766"/>
      <c r="O2522" s="1766"/>
      <c r="P2522" s="1766"/>
      <c r="W2522" t="s">
        <v>2089</v>
      </c>
    </row>
    <row r="2523" spans="1:23" ht="13.15" customHeight="1" x14ac:dyDescent="0.2">
      <c r="A2523" s="2" t="s">
        <v>2242</v>
      </c>
      <c r="B2523" s="2">
        <f t="shared" si="78"/>
        <v>2019</v>
      </c>
      <c r="C2523" s="2" t="str">
        <f t="shared" si="79"/>
        <v>EC101</v>
      </c>
      <c r="D2523" s="2">
        <v>905</v>
      </c>
      <c r="F2523" s="1764"/>
      <c r="G2523" s="1764"/>
      <c r="H2523" s="1764"/>
      <c r="I2523" s="1764"/>
      <c r="J2523" s="1764"/>
      <c r="K2523" s="1764"/>
      <c r="L2523" s="1766"/>
      <c r="M2523" s="1766"/>
      <c r="N2523" s="1766"/>
      <c r="O2523" s="1766"/>
      <c r="P2523" s="1766"/>
      <c r="W2523" t="s">
        <v>2089</v>
      </c>
    </row>
    <row r="2524" spans="1:23" ht="13.15" customHeight="1" x14ac:dyDescent="0.2">
      <c r="A2524" s="2" t="s">
        <v>2242</v>
      </c>
      <c r="B2524" s="2">
        <f t="shared" si="78"/>
        <v>2019</v>
      </c>
      <c r="C2524" s="2" t="str">
        <f t="shared" si="79"/>
        <v>EC101</v>
      </c>
      <c r="D2524" s="2">
        <v>906</v>
      </c>
      <c r="F2524" s="1764"/>
      <c r="G2524" s="1764"/>
      <c r="H2524" s="1764"/>
      <c r="I2524" s="1764"/>
      <c r="J2524" s="1764"/>
      <c r="K2524" s="1764"/>
      <c r="L2524" s="1766"/>
      <c r="M2524" s="1766"/>
      <c r="N2524" s="1766"/>
      <c r="O2524" s="1766"/>
      <c r="P2524" s="1766"/>
      <c r="W2524" t="s">
        <v>2089</v>
      </c>
    </row>
    <row r="2525" spans="1:23" ht="13.15" customHeight="1" x14ac:dyDescent="0.2">
      <c r="A2525" s="2" t="s">
        <v>2242</v>
      </c>
      <c r="B2525" s="2">
        <f t="shared" si="78"/>
        <v>2019</v>
      </c>
      <c r="C2525" s="2" t="str">
        <f t="shared" si="79"/>
        <v>EC101</v>
      </c>
      <c r="D2525" s="2">
        <v>907</v>
      </c>
      <c r="F2525" s="1764"/>
      <c r="G2525" s="1764"/>
      <c r="H2525" s="1764"/>
      <c r="I2525" s="1764"/>
      <c r="J2525" s="1764"/>
      <c r="K2525" s="1764"/>
      <c r="L2525" s="1766"/>
      <c r="M2525" s="1766"/>
      <c r="N2525" s="1766"/>
      <c r="O2525" s="1766"/>
      <c r="P2525" s="1766"/>
      <c r="W2525" t="s">
        <v>2089</v>
      </c>
    </row>
    <row r="2526" spans="1:23" ht="13.15" customHeight="1" x14ac:dyDescent="0.2">
      <c r="A2526" s="2" t="s">
        <v>2242</v>
      </c>
      <c r="B2526" s="2">
        <f t="shared" si="78"/>
        <v>2019</v>
      </c>
      <c r="C2526" s="2" t="str">
        <f t="shared" si="79"/>
        <v>EC101</v>
      </c>
      <c r="D2526" s="2">
        <v>908</v>
      </c>
      <c r="F2526" s="1764"/>
      <c r="G2526" s="1764"/>
      <c r="H2526" s="1764"/>
      <c r="I2526" s="1764"/>
      <c r="J2526" s="1764"/>
      <c r="K2526" s="1764"/>
      <c r="L2526" s="1766"/>
      <c r="M2526" s="1766"/>
      <c r="N2526" s="1766"/>
      <c r="O2526" s="1766"/>
      <c r="P2526" s="1766"/>
      <c r="W2526" t="s">
        <v>2089</v>
      </c>
    </row>
    <row r="2527" spans="1:23" ht="13.15" customHeight="1" x14ac:dyDescent="0.2">
      <c r="A2527" s="2" t="s">
        <v>2242</v>
      </c>
      <c r="B2527" s="2">
        <f t="shared" si="78"/>
        <v>2019</v>
      </c>
      <c r="C2527" s="2" t="str">
        <f t="shared" si="79"/>
        <v>EC101</v>
      </c>
      <c r="D2527" s="2">
        <v>909</v>
      </c>
      <c r="F2527" s="1764"/>
      <c r="G2527" s="1764"/>
      <c r="H2527" s="1764"/>
      <c r="I2527" s="1764"/>
      <c r="J2527" s="1764"/>
      <c r="K2527" s="1764"/>
      <c r="L2527" s="1766"/>
      <c r="M2527" s="1766"/>
      <c r="N2527" s="1766"/>
      <c r="O2527" s="1766"/>
      <c r="P2527" s="1766"/>
      <c r="W2527" t="s">
        <v>2089</v>
      </c>
    </row>
    <row r="2528" spans="1:23" ht="13.15" customHeight="1" x14ac:dyDescent="0.2">
      <c r="A2528" s="2" t="s">
        <v>2242</v>
      </c>
      <c r="B2528" s="2">
        <f t="shared" si="78"/>
        <v>2019</v>
      </c>
      <c r="C2528" s="2" t="str">
        <f t="shared" si="79"/>
        <v>EC101</v>
      </c>
      <c r="D2528" s="2">
        <v>910</v>
      </c>
      <c r="F2528" s="1764"/>
      <c r="G2528" s="1764"/>
      <c r="H2528" s="1764"/>
      <c r="I2528" s="1764"/>
      <c r="J2528" s="1764"/>
      <c r="K2528" s="1764"/>
      <c r="L2528" s="1766"/>
      <c r="M2528" s="1766"/>
      <c r="N2528" s="1766"/>
      <c r="O2528" s="1766"/>
      <c r="P2528" s="1766"/>
      <c r="W2528" t="s">
        <v>2089</v>
      </c>
    </row>
    <row r="2529" spans="1:23" ht="13.15" customHeight="1" x14ac:dyDescent="0.2">
      <c r="A2529" s="2" t="s">
        <v>2242</v>
      </c>
      <c r="B2529" s="2">
        <f t="shared" si="78"/>
        <v>2019</v>
      </c>
      <c r="C2529" s="2" t="str">
        <f t="shared" si="79"/>
        <v>EC101</v>
      </c>
      <c r="D2529" s="2">
        <v>911</v>
      </c>
      <c r="F2529" s="1764"/>
      <c r="G2529" s="1764"/>
      <c r="H2529" s="1764"/>
      <c r="I2529" s="1764"/>
      <c r="J2529" s="1764"/>
      <c r="K2529" s="1764"/>
      <c r="L2529" s="1766"/>
      <c r="M2529" s="1766"/>
      <c r="N2529" s="1766"/>
      <c r="O2529" s="1766"/>
      <c r="P2529" s="1766"/>
      <c r="W2529" t="s">
        <v>2089</v>
      </c>
    </row>
    <row r="2530" spans="1:23" ht="13.15" customHeight="1" x14ac:dyDescent="0.2">
      <c r="A2530" s="2" t="s">
        <v>2242</v>
      </c>
      <c r="B2530" s="2">
        <f t="shared" si="78"/>
        <v>2019</v>
      </c>
      <c r="C2530" s="2" t="str">
        <f t="shared" si="79"/>
        <v>EC101</v>
      </c>
      <c r="D2530" s="2">
        <v>912</v>
      </c>
      <c r="F2530" s="1764"/>
      <c r="G2530" s="1764"/>
      <c r="H2530" s="1764"/>
      <c r="I2530" s="1764"/>
      <c r="J2530" s="1764"/>
      <c r="K2530" s="1764"/>
      <c r="L2530" s="1766"/>
      <c r="M2530" s="1766"/>
      <c r="N2530" s="1766"/>
      <c r="O2530" s="1766"/>
      <c r="P2530" s="1766"/>
      <c r="W2530" t="s">
        <v>2089</v>
      </c>
    </row>
    <row r="2531" spans="1:23" ht="13.15" customHeight="1" x14ac:dyDescent="0.2">
      <c r="A2531" s="2" t="s">
        <v>2242</v>
      </c>
      <c r="B2531" s="2">
        <f t="shared" si="78"/>
        <v>2019</v>
      </c>
      <c r="C2531" s="2" t="str">
        <f t="shared" si="79"/>
        <v>EC101</v>
      </c>
      <c r="D2531" s="2">
        <v>913</v>
      </c>
      <c r="F2531" s="1764"/>
      <c r="G2531" s="1764"/>
      <c r="H2531" s="1764"/>
      <c r="I2531" s="1764"/>
      <c r="J2531" s="1764"/>
      <c r="K2531" s="1764"/>
      <c r="L2531" s="1766"/>
      <c r="M2531" s="1766"/>
      <c r="N2531" s="1766"/>
      <c r="O2531" s="1766"/>
      <c r="P2531" s="1766"/>
      <c r="W2531" t="s">
        <v>2089</v>
      </c>
    </row>
    <row r="2532" spans="1:23" ht="13.15" customHeight="1" x14ac:dyDescent="0.2">
      <c r="A2532" s="2" t="s">
        <v>2242</v>
      </c>
      <c r="B2532" s="2">
        <f t="shared" si="78"/>
        <v>2019</v>
      </c>
      <c r="C2532" s="2" t="str">
        <f t="shared" si="79"/>
        <v>EC101</v>
      </c>
      <c r="D2532" s="2">
        <v>914</v>
      </c>
      <c r="F2532" s="1764"/>
      <c r="G2532" s="1764"/>
      <c r="H2532" s="1764"/>
      <c r="I2532" s="1764"/>
      <c r="J2532" s="1764"/>
      <c r="K2532" s="1764"/>
      <c r="L2532" s="1766"/>
      <c r="M2532" s="1766"/>
      <c r="N2532" s="1766"/>
      <c r="O2532" s="1766"/>
      <c r="P2532" s="1766"/>
      <c r="W2532" t="s">
        <v>2089</v>
      </c>
    </row>
    <row r="2533" spans="1:23" ht="13.15" customHeight="1" x14ac:dyDescent="0.2">
      <c r="A2533" s="2" t="s">
        <v>2242</v>
      </c>
      <c r="B2533" s="2">
        <f t="shared" si="78"/>
        <v>2019</v>
      </c>
      <c r="C2533" s="2" t="str">
        <f t="shared" si="79"/>
        <v>EC101</v>
      </c>
      <c r="D2533" s="2">
        <v>915</v>
      </c>
      <c r="F2533" s="1764"/>
      <c r="G2533" s="1764"/>
      <c r="H2533" s="1764"/>
      <c r="I2533" s="1764"/>
      <c r="J2533" s="1764"/>
      <c r="K2533" s="1764"/>
      <c r="L2533" s="1766"/>
      <c r="M2533" s="1766"/>
      <c r="N2533" s="1766"/>
      <c r="O2533" s="1766"/>
      <c r="P2533" s="1766"/>
      <c r="W2533" t="s">
        <v>2089</v>
      </c>
    </row>
    <row r="2534" spans="1:23" ht="13.15" customHeight="1" x14ac:dyDescent="0.2">
      <c r="A2534" s="2" t="s">
        <v>2242</v>
      </c>
      <c r="B2534" s="2">
        <f t="shared" si="78"/>
        <v>2019</v>
      </c>
      <c r="C2534" s="2" t="str">
        <f t="shared" si="79"/>
        <v>EC101</v>
      </c>
      <c r="D2534" s="2">
        <v>916</v>
      </c>
      <c r="F2534" s="1764"/>
      <c r="G2534" s="1764"/>
      <c r="H2534" s="1764"/>
      <c r="I2534" s="1764"/>
      <c r="J2534" s="1764"/>
      <c r="K2534" s="1764"/>
      <c r="L2534" s="1766"/>
      <c r="M2534" s="1766"/>
      <c r="N2534" s="1766"/>
      <c r="O2534" s="1766"/>
      <c r="P2534" s="1766"/>
      <c r="W2534" t="s">
        <v>2089</v>
      </c>
    </row>
    <row r="2535" spans="1:23" ht="13.15" customHeight="1" x14ac:dyDescent="0.2">
      <c r="A2535" s="2" t="s">
        <v>2242</v>
      </c>
      <c r="B2535" s="2">
        <f t="shared" si="78"/>
        <v>2019</v>
      </c>
      <c r="C2535" s="2" t="str">
        <f t="shared" si="79"/>
        <v>EC101</v>
      </c>
      <c r="D2535" s="2">
        <v>917</v>
      </c>
      <c r="F2535" s="1764"/>
      <c r="G2535" s="1764"/>
      <c r="H2535" s="1764"/>
      <c r="I2535" s="1764"/>
      <c r="J2535" s="1764"/>
      <c r="K2535" s="1764"/>
      <c r="L2535" s="1766"/>
      <c r="M2535" s="1766"/>
      <c r="N2535" s="1766"/>
      <c r="O2535" s="1766"/>
      <c r="P2535" s="1766"/>
      <c r="W2535" t="s">
        <v>2089</v>
      </c>
    </row>
    <row r="2536" spans="1:23" ht="13.15" customHeight="1" x14ac:dyDescent="0.2">
      <c r="A2536" s="2" t="s">
        <v>2242</v>
      </c>
      <c r="B2536" s="2">
        <f t="shared" si="78"/>
        <v>2019</v>
      </c>
      <c r="C2536" s="2" t="str">
        <f t="shared" si="79"/>
        <v>EC101</v>
      </c>
      <c r="D2536" s="2">
        <v>918</v>
      </c>
      <c r="F2536" s="1764"/>
      <c r="G2536" s="1764"/>
      <c r="H2536" s="1764"/>
      <c r="I2536" s="1764"/>
      <c r="J2536" s="1764"/>
      <c r="K2536" s="1764"/>
      <c r="L2536" s="1766"/>
      <c r="M2536" s="1766"/>
      <c r="N2536" s="1766"/>
      <c r="O2536" s="1766"/>
      <c r="P2536" s="1766"/>
      <c r="W2536" t="s">
        <v>2089</v>
      </c>
    </row>
    <row r="2537" spans="1:23" ht="13.15" customHeight="1" x14ac:dyDescent="0.2">
      <c r="A2537" s="2" t="s">
        <v>2242</v>
      </c>
      <c r="B2537" s="2">
        <f t="shared" si="78"/>
        <v>2019</v>
      </c>
      <c r="C2537" s="2" t="str">
        <f t="shared" si="79"/>
        <v>EC101</v>
      </c>
      <c r="D2537" s="2">
        <v>919</v>
      </c>
      <c r="F2537" s="1764"/>
      <c r="G2537" s="1764"/>
      <c r="H2537" s="1764"/>
      <c r="I2537" s="1764"/>
      <c r="J2537" s="1764"/>
      <c r="K2537" s="1764"/>
      <c r="L2537" s="1766"/>
      <c r="M2537" s="1766"/>
      <c r="N2537" s="1766"/>
      <c r="O2537" s="1766"/>
      <c r="P2537" s="1766"/>
      <c r="W2537" t="s">
        <v>2089</v>
      </c>
    </row>
    <row r="2538" spans="1:23" ht="13.15" customHeight="1" x14ac:dyDescent="0.2">
      <c r="A2538" s="2" t="s">
        <v>2242</v>
      </c>
      <c r="B2538" s="2">
        <f t="shared" si="78"/>
        <v>2019</v>
      </c>
      <c r="C2538" s="2" t="str">
        <f t="shared" si="79"/>
        <v>EC101</v>
      </c>
      <c r="D2538" s="2">
        <v>920</v>
      </c>
      <c r="F2538" s="1764"/>
      <c r="G2538" s="1764"/>
      <c r="H2538" s="1764"/>
      <c r="I2538" s="1764"/>
      <c r="J2538" s="1764"/>
      <c r="K2538" s="1764"/>
      <c r="L2538" s="1766"/>
      <c r="M2538" s="1766"/>
      <c r="N2538" s="1766"/>
      <c r="O2538" s="1766"/>
      <c r="P2538" s="1766"/>
      <c r="W2538" t="s">
        <v>2089</v>
      </c>
    </row>
    <row r="2539" spans="1:23" ht="13.15" customHeight="1" x14ac:dyDescent="0.2">
      <c r="A2539" s="2" t="s">
        <v>2242</v>
      </c>
      <c r="B2539" s="2">
        <f t="shared" si="78"/>
        <v>2019</v>
      </c>
      <c r="C2539" s="2" t="str">
        <f t="shared" si="79"/>
        <v>EC101</v>
      </c>
      <c r="D2539" s="2">
        <v>921</v>
      </c>
      <c r="F2539" s="1764"/>
      <c r="G2539" s="1764"/>
      <c r="H2539" s="1764"/>
      <c r="I2539" s="1764"/>
      <c r="J2539" s="1764"/>
      <c r="K2539" s="1764"/>
      <c r="L2539" s="1766"/>
      <c r="M2539" s="1766"/>
      <c r="N2539" s="1766"/>
      <c r="O2539" s="1766"/>
      <c r="P2539" s="1766"/>
      <c r="W2539" t="s">
        <v>2089</v>
      </c>
    </row>
    <row r="2540" spans="1:23" ht="13.15" customHeight="1" x14ac:dyDescent="0.2">
      <c r="A2540" s="2" t="s">
        <v>2242</v>
      </c>
      <c r="B2540" s="2">
        <f t="shared" si="78"/>
        <v>2019</v>
      </c>
      <c r="C2540" s="2" t="str">
        <f t="shared" si="79"/>
        <v>EC101</v>
      </c>
      <c r="D2540" s="2">
        <v>922</v>
      </c>
      <c r="F2540" s="1764"/>
      <c r="G2540" s="1764"/>
      <c r="H2540" s="1764"/>
      <c r="I2540" s="1764"/>
      <c r="J2540" s="1764"/>
      <c r="K2540" s="1764"/>
      <c r="L2540" s="1766"/>
      <c r="M2540" s="1766"/>
      <c r="N2540" s="1766"/>
      <c r="O2540" s="1766"/>
      <c r="P2540" s="1766"/>
      <c r="W2540" t="s">
        <v>2089</v>
      </c>
    </row>
    <row r="2541" spans="1:23" ht="13.15" customHeight="1" x14ac:dyDescent="0.2">
      <c r="A2541" s="2" t="s">
        <v>2242</v>
      </c>
      <c r="B2541" s="2">
        <f t="shared" si="78"/>
        <v>2019</v>
      </c>
      <c r="C2541" s="2" t="str">
        <f t="shared" si="79"/>
        <v>EC101</v>
      </c>
      <c r="D2541" s="2">
        <v>923</v>
      </c>
      <c r="F2541" s="1764"/>
      <c r="G2541" s="1764"/>
      <c r="H2541" s="1764"/>
      <c r="I2541" s="1764"/>
      <c r="J2541" s="1764"/>
      <c r="K2541" s="1764"/>
      <c r="L2541" s="1766"/>
      <c r="M2541" s="1766"/>
      <c r="N2541" s="1766"/>
      <c r="O2541" s="1766"/>
      <c r="P2541" s="1766"/>
      <c r="W2541" t="s">
        <v>2089</v>
      </c>
    </row>
    <row r="2542" spans="1:23" ht="13.15" customHeight="1" x14ac:dyDescent="0.2">
      <c r="A2542" s="2" t="s">
        <v>2242</v>
      </c>
      <c r="B2542" s="2">
        <f t="shared" si="78"/>
        <v>2019</v>
      </c>
      <c r="C2542" s="2" t="str">
        <f t="shared" si="79"/>
        <v>EC101</v>
      </c>
      <c r="D2542" s="2">
        <v>924</v>
      </c>
      <c r="F2542" s="1764"/>
      <c r="G2542" s="1764"/>
      <c r="H2542" s="1764"/>
      <c r="I2542" s="1764"/>
      <c r="J2542" s="1764"/>
      <c r="K2542" s="1764"/>
      <c r="L2542" s="1766"/>
      <c r="M2542" s="1766"/>
      <c r="N2542" s="1766"/>
      <c r="O2542" s="1766"/>
      <c r="P2542" s="1766"/>
      <c r="W2542" t="s">
        <v>2089</v>
      </c>
    </row>
    <row r="2543" spans="1:23" ht="13.15" customHeight="1" x14ac:dyDescent="0.2">
      <c r="A2543" s="2" t="s">
        <v>2242</v>
      </c>
      <c r="B2543" s="2">
        <f t="shared" si="78"/>
        <v>2019</v>
      </c>
      <c r="C2543" s="2" t="str">
        <f t="shared" si="79"/>
        <v>EC101</v>
      </c>
      <c r="D2543" s="2">
        <v>925</v>
      </c>
      <c r="F2543" s="1764"/>
      <c r="G2543" s="1764"/>
      <c r="H2543" s="1764"/>
      <c r="I2543" s="1764"/>
      <c r="J2543" s="1764"/>
      <c r="K2543" s="1764"/>
      <c r="L2543" s="1766"/>
      <c r="M2543" s="1766"/>
      <c r="N2543" s="1766"/>
      <c r="O2543" s="1766"/>
      <c r="P2543" s="1766"/>
      <c r="W2543" t="s">
        <v>2089</v>
      </c>
    </row>
    <row r="2544" spans="1:23" ht="13.15" customHeight="1" x14ac:dyDescent="0.2">
      <c r="A2544" s="2" t="s">
        <v>2242</v>
      </c>
      <c r="B2544" s="2">
        <f t="shared" si="78"/>
        <v>2019</v>
      </c>
      <c r="C2544" s="2" t="str">
        <f t="shared" si="79"/>
        <v>EC101</v>
      </c>
      <c r="D2544" s="2">
        <v>926</v>
      </c>
      <c r="F2544" s="1764"/>
      <c r="G2544" s="1764"/>
      <c r="H2544" s="1764"/>
      <c r="I2544" s="1764"/>
      <c r="J2544" s="1764"/>
      <c r="K2544" s="1764"/>
      <c r="L2544" s="1766"/>
      <c r="M2544" s="1766"/>
      <c r="N2544" s="1766"/>
      <c r="O2544" s="1766"/>
      <c r="P2544" s="1766"/>
      <c r="W2544" t="s">
        <v>2089</v>
      </c>
    </row>
    <row r="2545" spans="1:23" ht="13.15" customHeight="1" x14ac:dyDescent="0.2">
      <c r="A2545" s="2" t="s">
        <v>2242</v>
      </c>
      <c r="B2545" s="2">
        <f t="shared" si="78"/>
        <v>2019</v>
      </c>
      <c r="C2545" s="2" t="str">
        <f t="shared" si="79"/>
        <v>EC101</v>
      </c>
      <c r="D2545" s="2">
        <v>927</v>
      </c>
      <c r="F2545" s="1764"/>
      <c r="G2545" s="1764"/>
      <c r="H2545" s="1764"/>
      <c r="I2545" s="1764"/>
      <c r="J2545" s="1764"/>
      <c r="K2545" s="1764"/>
      <c r="L2545" s="1766"/>
      <c r="M2545" s="1766"/>
      <c r="N2545" s="1766"/>
      <c r="O2545" s="1766"/>
      <c r="P2545" s="1766"/>
      <c r="W2545" t="s">
        <v>2089</v>
      </c>
    </row>
    <row r="2546" spans="1:23" ht="13.15" customHeight="1" x14ac:dyDescent="0.2">
      <c r="A2546" s="2" t="s">
        <v>2242</v>
      </c>
      <c r="B2546" s="2">
        <f t="shared" si="78"/>
        <v>2019</v>
      </c>
      <c r="C2546" s="2" t="str">
        <f t="shared" si="79"/>
        <v>EC101</v>
      </c>
      <c r="D2546" s="2">
        <v>928</v>
      </c>
      <c r="F2546" s="1764"/>
      <c r="G2546" s="1764"/>
      <c r="H2546" s="1764"/>
      <c r="I2546" s="1764"/>
      <c r="J2546" s="1764"/>
      <c r="K2546" s="1764"/>
      <c r="L2546" s="1766"/>
      <c r="M2546" s="1766"/>
      <c r="N2546" s="1766"/>
      <c r="O2546" s="1766"/>
      <c r="P2546" s="1766"/>
      <c r="W2546" t="s">
        <v>2089</v>
      </c>
    </row>
    <row r="2547" spans="1:23" ht="13.15" customHeight="1" x14ac:dyDescent="0.2">
      <c r="A2547" s="2" t="s">
        <v>2242</v>
      </c>
      <c r="B2547" s="2">
        <f t="shared" si="78"/>
        <v>2019</v>
      </c>
      <c r="C2547" s="2" t="str">
        <f t="shared" si="79"/>
        <v>EC101</v>
      </c>
      <c r="D2547" s="2">
        <v>929</v>
      </c>
      <c r="F2547" s="1764"/>
      <c r="G2547" s="1764"/>
      <c r="H2547" s="1764"/>
      <c r="I2547" s="1764"/>
      <c r="J2547" s="1764"/>
      <c r="K2547" s="1764"/>
      <c r="L2547" s="1766"/>
      <c r="M2547" s="1766"/>
      <c r="N2547" s="1766"/>
      <c r="O2547" s="1766"/>
      <c r="P2547" s="1766"/>
      <c r="W2547" t="s">
        <v>2089</v>
      </c>
    </row>
    <row r="2548" spans="1:23" ht="13.15" customHeight="1" x14ac:dyDescent="0.2">
      <c r="A2548" s="2" t="s">
        <v>2242</v>
      </c>
      <c r="B2548" s="2">
        <f t="shared" si="78"/>
        <v>2019</v>
      </c>
      <c r="C2548" s="2" t="str">
        <f t="shared" si="79"/>
        <v>EC101</v>
      </c>
      <c r="D2548" s="2">
        <v>930</v>
      </c>
      <c r="F2548" s="1764"/>
      <c r="G2548" s="1764"/>
      <c r="H2548" s="1764"/>
      <c r="I2548" s="1764"/>
      <c r="J2548" s="1764"/>
      <c r="K2548" s="1764"/>
      <c r="L2548" s="1766"/>
      <c r="M2548" s="1766"/>
      <c r="N2548" s="1766"/>
      <c r="O2548" s="1766"/>
      <c r="P2548" s="1766"/>
      <c r="W2548" t="s">
        <v>2089</v>
      </c>
    </row>
    <row r="2549" spans="1:23" ht="13.15" customHeight="1" x14ac:dyDescent="0.2">
      <c r="A2549" s="2" t="s">
        <v>2242</v>
      </c>
      <c r="B2549" s="2">
        <f t="shared" si="78"/>
        <v>2019</v>
      </c>
      <c r="C2549" s="2" t="str">
        <f t="shared" si="79"/>
        <v>EC101</v>
      </c>
      <c r="D2549" s="2">
        <v>931</v>
      </c>
      <c r="F2549" s="1764"/>
      <c r="G2549" s="1764"/>
      <c r="H2549" s="1764"/>
      <c r="I2549" s="1764"/>
      <c r="J2549" s="1764"/>
      <c r="K2549" s="1764"/>
      <c r="L2549" s="1766"/>
      <c r="M2549" s="1766"/>
      <c r="N2549" s="1766"/>
      <c r="O2549" s="1766"/>
      <c r="P2549" s="1766"/>
      <c r="W2549" t="s">
        <v>2089</v>
      </c>
    </row>
    <row r="2550" spans="1:23" ht="13.15" customHeight="1" x14ac:dyDescent="0.2">
      <c r="A2550" s="2" t="s">
        <v>2242</v>
      </c>
      <c r="B2550" s="2">
        <f t="shared" si="78"/>
        <v>2019</v>
      </c>
      <c r="C2550" s="2" t="str">
        <f t="shared" si="79"/>
        <v>EC101</v>
      </c>
      <c r="D2550" s="2">
        <v>932</v>
      </c>
      <c r="F2550" s="1764"/>
      <c r="G2550" s="1764"/>
      <c r="H2550" s="1764"/>
      <c r="I2550" s="1764"/>
      <c r="J2550" s="1764"/>
      <c r="K2550" s="1764"/>
      <c r="L2550" s="1766"/>
      <c r="M2550" s="1766"/>
      <c r="N2550" s="1766"/>
      <c r="O2550" s="1766"/>
      <c r="P2550" s="1766"/>
      <c r="W2550" t="s">
        <v>2089</v>
      </c>
    </row>
    <row r="2551" spans="1:23" ht="13.15" customHeight="1" x14ac:dyDescent="0.2">
      <c r="A2551" s="2" t="s">
        <v>2242</v>
      </c>
      <c r="B2551" s="2">
        <f t="shared" si="78"/>
        <v>2019</v>
      </c>
      <c r="C2551" s="2" t="str">
        <f t="shared" si="79"/>
        <v>EC101</v>
      </c>
      <c r="D2551" s="2">
        <v>933</v>
      </c>
      <c r="F2551" s="1764"/>
      <c r="G2551" s="1764"/>
      <c r="H2551" s="1764"/>
      <c r="I2551" s="1764"/>
      <c r="J2551" s="1764"/>
      <c r="K2551" s="1764"/>
      <c r="L2551" s="1766"/>
      <c r="M2551" s="1766"/>
      <c r="N2551" s="1766"/>
      <c r="O2551" s="1766"/>
      <c r="P2551" s="1766"/>
      <c r="W2551" t="s">
        <v>2089</v>
      </c>
    </row>
    <row r="2552" spans="1:23" ht="13.15" customHeight="1" x14ac:dyDescent="0.2">
      <c r="A2552" s="2" t="s">
        <v>2242</v>
      </c>
      <c r="B2552" s="2">
        <f t="shared" si="78"/>
        <v>2019</v>
      </c>
      <c r="C2552" s="2" t="str">
        <f t="shared" si="79"/>
        <v>EC101</v>
      </c>
      <c r="D2552" s="2">
        <v>934</v>
      </c>
      <c r="F2552" s="1764"/>
      <c r="G2552" s="1764"/>
      <c r="H2552" s="1764"/>
      <c r="I2552" s="1764"/>
      <c r="J2552" s="1764"/>
      <c r="K2552" s="1764"/>
      <c r="L2552" s="1766"/>
      <c r="M2552" s="1766"/>
      <c r="N2552" s="1766"/>
      <c r="O2552" s="1766"/>
      <c r="P2552" s="1766"/>
      <c r="W2552" t="s">
        <v>2089</v>
      </c>
    </row>
    <row r="2553" spans="1:23" ht="13.15" customHeight="1" x14ac:dyDescent="0.2">
      <c r="A2553" s="2" t="s">
        <v>2242</v>
      </c>
      <c r="B2553" s="2">
        <f t="shared" si="78"/>
        <v>2019</v>
      </c>
      <c r="C2553" s="2" t="str">
        <f t="shared" si="79"/>
        <v>EC101</v>
      </c>
      <c r="D2553" s="2">
        <v>935</v>
      </c>
      <c r="F2553" s="1764"/>
      <c r="G2553" s="1764"/>
      <c r="H2553" s="1764"/>
      <c r="I2553" s="1764"/>
      <c r="J2553" s="1764"/>
      <c r="K2553" s="1764"/>
      <c r="L2553" s="1766"/>
      <c r="M2553" s="1766"/>
      <c r="N2553" s="1766"/>
      <c r="O2553" s="1766"/>
      <c r="P2553" s="1766"/>
      <c r="W2553" t="s">
        <v>2089</v>
      </c>
    </row>
    <row r="2554" spans="1:23" ht="13.15" customHeight="1" x14ac:dyDescent="0.2">
      <c r="A2554" s="2" t="s">
        <v>2242</v>
      </c>
      <c r="B2554" s="2">
        <f t="shared" si="78"/>
        <v>2019</v>
      </c>
      <c r="C2554" s="2" t="str">
        <f t="shared" si="79"/>
        <v>EC101</v>
      </c>
      <c r="D2554" s="2">
        <v>936</v>
      </c>
      <c r="F2554" s="1764"/>
      <c r="G2554" s="1764"/>
      <c r="H2554" s="1764"/>
      <c r="I2554" s="1764"/>
      <c r="J2554" s="1764"/>
      <c r="K2554" s="1764"/>
      <c r="L2554" s="1766"/>
      <c r="M2554" s="1766"/>
      <c r="N2554" s="1766"/>
      <c r="O2554" s="1766"/>
      <c r="P2554" s="1766"/>
      <c r="W2554" t="s">
        <v>2089</v>
      </c>
    </row>
    <row r="2555" spans="1:23" ht="13.15" customHeight="1" x14ac:dyDescent="0.2">
      <c r="A2555" s="2" t="s">
        <v>2242</v>
      </c>
      <c r="B2555" s="2">
        <f t="shared" si="78"/>
        <v>2019</v>
      </c>
      <c r="C2555" s="2" t="str">
        <f t="shared" si="79"/>
        <v>EC101</v>
      </c>
      <c r="D2555" s="2">
        <v>937</v>
      </c>
      <c r="F2555" s="1764"/>
      <c r="G2555" s="1764"/>
      <c r="H2555" s="1764"/>
      <c r="I2555" s="1764"/>
      <c r="J2555" s="1764"/>
      <c r="K2555" s="1764"/>
      <c r="L2555" s="1766"/>
      <c r="M2555" s="1766"/>
      <c r="N2555" s="1766"/>
      <c r="O2555" s="1766"/>
      <c r="P2555" s="1766"/>
      <c r="W2555" t="s">
        <v>2089</v>
      </c>
    </row>
    <row r="2556" spans="1:23" ht="13.15" customHeight="1" x14ac:dyDescent="0.2">
      <c r="A2556" s="2" t="s">
        <v>2242</v>
      </c>
      <c r="B2556" s="2">
        <f t="shared" si="78"/>
        <v>2019</v>
      </c>
      <c r="C2556" s="2" t="str">
        <f t="shared" si="79"/>
        <v>EC101</v>
      </c>
      <c r="D2556" s="2">
        <v>938</v>
      </c>
      <c r="F2556" s="1764"/>
      <c r="G2556" s="1764"/>
      <c r="H2556" s="1764"/>
      <c r="I2556" s="1764"/>
      <c r="J2556" s="1764"/>
      <c r="K2556" s="1764"/>
      <c r="L2556" s="1766"/>
      <c r="M2556" s="1766"/>
      <c r="N2556" s="1766"/>
      <c r="O2556" s="1766"/>
      <c r="P2556" s="1766"/>
      <c r="W2556" t="s">
        <v>2089</v>
      </c>
    </row>
    <row r="2557" spans="1:23" ht="13.15" customHeight="1" x14ac:dyDescent="0.2">
      <c r="A2557" s="2" t="s">
        <v>2242</v>
      </c>
      <c r="B2557" s="2">
        <f t="shared" si="78"/>
        <v>2019</v>
      </c>
      <c r="C2557" s="2" t="str">
        <f t="shared" si="79"/>
        <v>EC101</v>
      </c>
      <c r="D2557" s="2">
        <v>939</v>
      </c>
      <c r="F2557" s="1764"/>
      <c r="G2557" s="1764"/>
      <c r="H2557" s="1764"/>
      <c r="I2557" s="1764"/>
      <c r="J2557" s="1764"/>
      <c r="K2557" s="1764"/>
      <c r="L2557" s="1766"/>
      <c r="M2557" s="1766"/>
      <c r="N2557" s="1766"/>
      <c r="O2557" s="1766"/>
      <c r="P2557" s="1766"/>
      <c r="W2557" t="s">
        <v>2089</v>
      </c>
    </row>
    <row r="2558" spans="1:23" ht="13.15" customHeight="1" x14ac:dyDescent="0.2">
      <c r="A2558" s="2" t="s">
        <v>2242</v>
      </c>
      <c r="B2558" s="2">
        <f t="shared" si="78"/>
        <v>2019</v>
      </c>
      <c r="C2558" s="2" t="str">
        <f t="shared" si="79"/>
        <v>EC101</v>
      </c>
      <c r="D2558" s="2">
        <v>940</v>
      </c>
      <c r="F2558" s="1764"/>
      <c r="G2558" s="1764"/>
      <c r="H2558" s="1764"/>
      <c r="I2558" s="1764"/>
      <c r="J2558" s="1764"/>
      <c r="K2558" s="1764"/>
      <c r="L2558" s="1766"/>
      <c r="M2558" s="1766"/>
      <c r="N2558" s="1766"/>
      <c r="O2558" s="1766"/>
      <c r="P2558" s="1766"/>
      <c r="W2558" t="s">
        <v>2089</v>
      </c>
    </row>
    <row r="2559" spans="1:23" ht="13.15" customHeight="1" x14ac:dyDescent="0.2">
      <c r="A2559" s="2" t="s">
        <v>2242</v>
      </c>
      <c r="B2559" s="2">
        <f t="shared" si="78"/>
        <v>2019</v>
      </c>
      <c r="C2559" s="2" t="str">
        <f t="shared" si="79"/>
        <v>EC101</v>
      </c>
      <c r="D2559" s="2">
        <v>941</v>
      </c>
      <c r="F2559" s="1764"/>
      <c r="G2559" s="1764"/>
      <c r="H2559" s="1764"/>
      <c r="I2559" s="1764"/>
      <c r="J2559" s="1764"/>
      <c r="K2559" s="1764"/>
      <c r="L2559" s="1766"/>
      <c r="M2559" s="1766"/>
      <c r="N2559" s="1766"/>
      <c r="O2559" s="1766"/>
      <c r="P2559" s="1766"/>
      <c r="W2559" t="s">
        <v>2089</v>
      </c>
    </row>
    <row r="2560" spans="1:23" ht="13.15" customHeight="1" x14ac:dyDescent="0.2">
      <c r="A2560" s="2" t="s">
        <v>2242</v>
      </c>
      <c r="B2560" s="2">
        <f t="shared" si="78"/>
        <v>2019</v>
      </c>
      <c r="C2560" s="2" t="str">
        <f t="shared" si="79"/>
        <v>EC101</v>
      </c>
      <c r="D2560" s="2">
        <v>942</v>
      </c>
      <c r="F2560" s="1764"/>
      <c r="G2560" s="1764"/>
      <c r="H2560" s="1764"/>
      <c r="I2560" s="1764"/>
      <c r="J2560" s="1764"/>
      <c r="K2560" s="1764"/>
      <c r="L2560" s="1766"/>
      <c r="M2560" s="1766"/>
      <c r="N2560" s="1766"/>
      <c r="O2560" s="1766"/>
      <c r="P2560" s="1766"/>
      <c r="W2560" t="s">
        <v>2089</v>
      </c>
    </row>
    <row r="2561" spans="1:23" ht="13.15" customHeight="1" x14ac:dyDescent="0.2">
      <c r="A2561" s="2" t="s">
        <v>2242</v>
      </c>
      <c r="B2561" s="2">
        <f t="shared" si="78"/>
        <v>2019</v>
      </c>
      <c r="C2561" s="2" t="str">
        <f t="shared" si="79"/>
        <v>EC101</v>
      </c>
      <c r="D2561" s="2">
        <v>943</v>
      </c>
      <c r="F2561" s="1764"/>
      <c r="G2561" s="1764"/>
      <c r="H2561" s="1764"/>
      <c r="I2561" s="1764"/>
      <c r="J2561" s="1764"/>
      <c r="K2561" s="1764"/>
      <c r="L2561" s="1766"/>
      <c r="M2561" s="1766"/>
      <c r="N2561" s="1766"/>
      <c r="O2561" s="1766"/>
      <c r="P2561" s="1766"/>
      <c r="W2561" t="s">
        <v>2089</v>
      </c>
    </row>
    <row r="2562" spans="1:23" ht="13.15" customHeight="1" x14ac:dyDescent="0.2">
      <c r="A2562" s="2" t="s">
        <v>2242</v>
      </c>
      <c r="B2562" s="2">
        <f t="shared" ref="B2562:B2625" si="80">+MTREF</f>
        <v>2019</v>
      </c>
      <c r="C2562" s="2" t="str">
        <f t="shared" ref="C2562:C2625" si="81">LEFT(muni,(FIND(" ",muni,1)-1))</f>
        <v>EC101</v>
      </c>
      <c r="D2562" s="2">
        <v>944</v>
      </c>
      <c r="F2562" s="1764"/>
      <c r="G2562" s="1764"/>
      <c r="H2562" s="1764"/>
      <c r="I2562" s="1764"/>
      <c r="J2562" s="1764"/>
      <c r="K2562" s="1764"/>
      <c r="L2562" s="1766"/>
      <c r="M2562" s="1766"/>
      <c r="N2562" s="1766"/>
      <c r="O2562" s="1766"/>
      <c r="P2562" s="1766"/>
      <c r="W2562" t="s">
        <v>2089</v>
      </c>
    </row>
    <row r="2563" spans="1:23" ht="13.15" customHeight="1" x14ac:dyDescent="0.2">
      <c r="A2563" s="2" t="s">
        <v>2242</v>
      </c>
      <c r="B2563" s="2">
        <f t="shared" si="80"/>
        <v>2019</v>
      </c>
      <c r="C2563" s="2" t="str">
        <f t="shared" si="81"/>
        <v>EC101</v>
      </c>
      <c r="D2563" s="2">
        <v>945</v>
      </c>
      <c r="F2563" s="1764"/>
      <c r="G2563" s="1764"/>
      <c r="H2563" s="1764"/>
      <c r="I2563" s="1764"/>
      <c r="J2563" s="1764"/>
      <c r="K2563" s="1764"/>
      <c r="L2563" s="1766"/>
      <c r="M2563" s="1766"/>
      <c r="N2563" s="1766"/>
      <c r="O2563" s="1766"/>
      <c r="P2563" s="1766"/>
      <c r="W2563" t="s">
        <v>2089</v>
      </c>
    </row>
    <row r="2564" spans="1:23" ht="13.15" customHeight="1" x14ac:dyDescent="0.2">
      <c r="A2564" s="2" t="s">
        <v>2242</v>
      </c>
      <c r="B2564" s="2">
        <f t="shared" si="80"/>
        <v>2019</v>
      </c>
      <c r="C2564" s="2" t="str">
        <f t="shared" si="81"/>
        <v>EC101</v>
      </c>
      <c r="D2564" s="2">
        <v>946</v>
      </c>
      <c r="F2564" s="1764"/>
      <c r="G2564" s="1764"/>
      <c r="H2564" s="1764"/>
      <c r="I2564" s="1764"/>
      <c r="J2564" s="1764"/>
      <c r="K2564" s="1764"/>
      <c r="L2564" s="1766"/>
      <c r="M2564" s="1766"/>
      <c r="N2564" s="1766"/>
      <c r="O2564" s="1766"/>
      <c r="P2564" s="1766"/>
      <c r="W2564" t="s">
        <v>2089</v>
      </c>
    </row>
    <row r="2565" spans="1:23" ht="13.15" customHeight="1" x14ac:dyDescent="0.2">
      <c r="A2565" s="2" t="s">
        <v>2242</v>
      </c>
      <c r="B2565" s="2">
        <f t="shared" si="80"/>
        <v>2019</v>
      </c>
      <c r="C2565" s="2" t="str">
        <f t="shared" si="81"/>
        <v>EC101</v>
      </c>
      <c r="D2565" s="2">
        <v>947</v>
      </c>
      <c r="F2565" s="1764"/>
      <c r="G2565" s="1764"/>
      <c r="H2565" s="1764"/>
      <c r="I2565" s="1764"/>
      <c r="J2565" s="1764"/>
      <c r="K2565" s="1764"/>
      <c r="L2565" s="1766"/>
      <c r="M2565" s="1766"/>
      <c r="N2565" s="1766"/>
      <c r="O2565" s="1766"/>
      <c r="P2565" s="1766"/>
      <c r="W2565" t="s">
        <v>2089</v>
      </c>
    </row>
    <row r="2566" spans="1:23" ht="13.15" customHeight="1" x14ac:dyDescent="0.2">
      <c r="A2566" s="2" t="s">
        <v>2242</v>
      </c>
      <c r="B2566" s="2">
        <f t="shared" si="80"/>
        <v>2019</v>
      </c>
      <c r="C2566" s="2" t="str">
        <f t="shared" si="81"/>
        <v>EC101</v>
      </c>
      <c r="D2566" s="2">
        <v>948</v>
      </c>
      <c r="F2566" s="1764"/>
      <c r="G2566" s="1764"/>
      <c r="H2566" s="1764"/>
      <c r="I2566" s="1764"/>
      <c r="J2566" s="1764"/>
      <c r="K2566" s="1764"/>
      <c r="L2566" s="1766"/>
      <c r="M2566" s="1766"/>
      <c r="N2566" s="1766"/>
      <c r="O2566" s="1766"/>
      <c r="P2566" s="1766"/>
      <c r="W2566" t="s">
        <v>2089</v>
      </c>
    </row>
    <row r="2567" spans="1:23" ht="13.15" customHeight="1" x14ac:dyDescent="0.2">
      <c r="A2567" s="2" t="s">
        <v>2242</v>
      </c>
      <c r="B2567" s="2">
        <f t="shared" si="80"/>
        <v>2019</v>
      </c>
      <c r="C2567" s="2" t="str">
        <f t="shared" si="81"/>
        <v>EC101</v>
      </c>
      <c r="D2567" s="2">
        <v>949</v>
      </c>
      <c r="F2567" s="1764"/>
      <c r="G2567" s="1764"/>
      <c r="H2567" s="1764"/>
      <c r="I2567" s="1764"/>
      <c r="J2567" s="1764"/>
      <c r="K2567" s="1764"/>
      <c r="L2567" s="1766"/>
      <c r="M2567" s="1766"/>
      <c r="N2567" s="1766"/>
      <c r="O2567" s="1766"/>
      <c r="P2567" s="1766"/>
      <c r="W2567" t="s">
        <v>2089</v>
      </c>
    </row>
    <row r="2568" spans="1:23" ht="13.15" customHeight="1" x14ac:dyDescent="0.2">
      <c r="A2568" s="2" t="s">
        <v>2242</v>
      </c>
      <c r="B2568" s="2">
        <f t="shared" si="80"/>
        <v>2019</v>
      </c>
      <c r="C2568" s="2" t="str">
        <f t="shared" si="81"/>
        <v>EC101</v>
      </c>
      <c r="D2568" s="2">
        <v>950</v>
      </c>
      <c r="F2568" s="1764"/>
      <c r="G2568" s="1764"/>
      <c r="H2568" s="1764"/>
      <c r="I2568" s="1764"/>
      <c r="J2568" s="1764"/>
      <c r="K2568" s="1764"/>
      <c r="L2568" s="1766"/>
      <c r="M2568" s="1766"/>
      <c r="N2568" s="1766"/>
      <c r="O2568" s="1766"/>
      <c r="P2568" s="1766"/>
      <c r="W2568" t="s">
        <v>2089</v>
      </c>
    </row>
    <row r="2569" spans="1:23" ht="13.15" customHeight="1" x14ac:dyDescent="0.2">
      <c r="A2569" s="2" t="s">
        <v>2242</v>
      </c>
      <c r="B2569" s="2">
        <f t="shared" si="80"/>
        <v>2019</v>
      </c>
      <c r="C2569" s="2" t="str">
        <f t="shared" si="81"/>
        <v>EC101</v>
      </c>
      <c r="D2569" s="2">
        <v>951</v>
      </c>
      <c r="F2569" s="1764"/>
      <c r="G2569" s="1764"/>
      <c r="H2569" s="1764"/>
      <c r="I2569" s="1764"/>
      <c r="J2569" s="1764"/>
      <c r="K2569" s="1764"/>
      <c r="L2569" s="1766"/>
      <c r="M2569" s="1766"/>
      <c r="N2569" s="1766"/>
      <c r="O2569" s="1766"/>
      <c r="P2569" s="1766"/>
      <c r="W2569" t="s">
        <v>2089</v>
      </c>
    </row>
    <row r="2570" spans="1:23" ht="13.15" customHeight="1" x14ac:dyDescent="0.2">
      <c r="A2570" s="2" t="s">
        <v>2242</v>
      </c>
      <c r="B2570" s="2">
        <f t="shared" si="80"/>
        <v>2019</v>
      </c>
      <c r="C2570" s="2" t="str">
        <f t="shared" si="81"/>
        <v>EC101</v>
      </c>
      <c r="D2570" s="2">
        <v>952</v>
      </c>
      <c r="F2570" s="1764"/>
      <c r="G2570" s="1764"/>
      <c r="H2570" s="1764"/>
      <c r="I2570" s="1764"/>
      <c r="J2570" s="1764"/>
      <c r="K2570" s="1764"/>
      <c r="L2570" s="1766"/>
      <c r="M2570" s="1766"/>
      <c r="N2570" s="1766"/>
      <c r="O2570" s="1766"/>
      <c r="P2570" s="1766"/>
      <c r="W2570" t="s">
        <v>2089</v>
      </c>
    </row>
    <row r="2571" spans="1:23" ht="13.15" customHeight="1" x14ac:dyDescent="0.2">
      <c r="A2571" s="2" t="s">
        <v>2242</v>
      </c>
      <c r="B2571" s="2">
        <f t="shared" si="80"/>
        <v>2019</v>
      </c>
      <c r="C2571" s="2" t="str">
        <f t="shared" si="81"/>
        <v>EC101</v>
      </c>
      <c r="D2571" s="2">
        <v>953</v>
      </c>
      <c r="F2571" s="1764"/>
      <c r="G2571" s="1764"/>
      <c r="H2571" s="1764"/>
      <c r="I2571" s="1764"/>
      <c r="J2571" s="1764"/>
      <c r="K2571" s="1764"/>
      <c r="L2571" s="1766"/>
      <c r="M2571" s="1766"/>
      <c r="N2571" s="1766"/>
      <c r="O2571" s="1766"/>
      <c r="P2571" s="1766"/>
      <c r="W2571" t="s">
        <v>2089</v>
      </c>
    </row>
    <row r="2572" spans="1:23" ht="13.15" customHeight="1" x14ac:dyDescent="0.2">
      <c r="A2572" s="2" t="s">
        <v>2242</v>
      </c>
      <c r="B2572" s="2">
        <f t="shared" si="80"/>
        <v>2019</v>
      </c>
      <c r="C2572" s="2" t="str">
        <f t="shared" si="81"/>
        <v>EC101</v>
      </c>
      <c r="D2572" s="2">
        <v>954</v>
      </c>
      <c r="F2572" s="1764"/>
      <c r="G2572" s="1764"/>
      <c r="H2572" s="1764"/>
      <c r="I2572" s="1764"/>
      <c r="J2572" s="1764"/>
      <c r="K2572" s="1764"/>
      <c r="L2572" s="1766"/>
      <c r="M2572" s="1766"/>
      <c r="N2572" s="1766"/>
      <c r="O2572" s="1766"/>
      <c r="P2572" s="1766"/>
      <c r="W2572" t="s">
        <v>2089</v>
      </c>
    </row>
    <row r="2573" spans="1:23" ht="13.15" customHeight="1" x14ac:dyDescent="0.2">
      <c r="A2573" s="2" t="s">
        <v>2242</v>
      </c>
      <c r="B2573" s="2">
        <f t="shared" si="80"/>
        <v>2019</v>
      </c>
      <c r="C2573" s="2" t="str">
        <f t="shared" si="81"/>
        <v>EC101</v>
      </c>
      <c r="D2573" s="2">
        <v>955</v>
      </c>
      <c r="F2573" s="1764"/>
      <c r="G2573" s="1764"/>
      <c r="H2573" s="1764"/>
      <c r="I2573" s="1764"/>
      <c r="J2573" s="1764"/>
      <c r="K2573" s="1764"/>
      <c r="L2573" s="1766"/>
      <c r="M2573" s="1766"/>
      <c r="N2573" s="1766"/>
      <c r="O2573" s="1766"/>
      <c r="P2573" s="1766"/>
      <c r="W2573" t="s">
        <v>2089</v>
      </c>
    </row>
    <row r="2574" spans="1:23" ht="13.15" customHeight="1" x14ac:dyDescent="0.2">
      <c r="A2574" s="2" t="s">
        <v>2242</v>
      </c>
      <c r="B2574" s="2">
        <f t="shared" si="80"/>
        <v>2019</v>
      </c>
      <c r="C2574" s="2" t="str">
        <f t="shared" si="81"/>
        <v>EC101</v>
      </c>
      <c r="D2574" s="2">
        <v>956</v>
      </c>
      <c r="F2574" s="1764"/>
      <c r="G2574" s="1764"/>
      <c r="H2574" s="1764"/>
      <c r="I2574" s="1764"/>
      <c r="J2574" s="1764"/>
      <c r="K2574" s="1764"/>
      <c r="L2574" s="1766"/>
      <c r="M2574" s="1766"/>
      <c r="N2574" s="1766"/>
      <c r="O2574" s="1766"/>
      <c r="P2574" s="1766"/>
      <c r="W2574" t="s">
        <v>2089</v>
      </c>
    </row>
    <row r="2575" spans="1:23" ht="13.15" customHeight="1" x14ac:dyDescent="0.2">
      <c r="A2575" s="2" t="s">
        <v>2242</v>
      </c>
      <c r="B2575" s="2">
        <f t="shared" si="80"/>
        <v>2019</v>
      </c>
      <c r="C2575" s="2" t="str">
        <f t="shared" si="81"/>
        <v>EC101</v>
      </c>
      <c r="D2575" s="2">
        <v>957</v>
      </c>
      <c r="F2575" s="1764"/>
      <c r="G2575" s="1764"/>
      <c r="H2575" s="1764"/>
      <c r="I2575" s="1764"/>
      <c r="J2575" s="1764"/>
      <c r="K2575" s="1764"/>
      <c r="L2575" s="1766"/>
      <c r="M2575" s="1766"/>
      <c r="N2575" s="1766"/>
      <c r="O2575" s="1766"/>
      <c r="P2575" s="1766"/>
      <c r="W2575" t="s">
        <v>2089</v>
      </c>
    </row>
    <row r="2576" spans="1:23" ht="13.15" customHeight="1" x14ac:dyDescent="0.2">
      <c r="A2576" s="2" t="s">
        <v>2242</v>
      </c>
      <c r="B2576" s="2">
        <f t="shared" si="80"/>
        <v>2019</v>
      </c>
      <c r="C2576" s="2" t="str">
        <f t="shared" si="81"/>
        <v>EC101</v>
      </c>
      <c r="D2576" s="2">
        <v>958</v>
      </c>
      <c r="F2576" s="1764"/>
      <c r="G2576" s="1764"/>
      <c r="H2576" s="1764"/>
      <c r="I2576" s="1764"/>
      <c r="J2576" s="1764"/>
      <c r="K2576" s="1764"/>
      <c r="L2576" s="1766"/>
      <c r="M2576" s="1766"/>
      <c r="N2576" s="1766"/>
      <c r="O2576" s="1766"/>
      <c r="P2576" s="1766"/>
      <c r="W2576" t="s">
        <v>2089</v>
      </c>
    </row>
    <row r="2577" spans="1:23" ht="13.15" customHeight="1" x14ac:dyDescent="0.2">
      <c r="A2577" s="2" t="s">
        <v>2242</v>
      </c>
      <c r="B2577" s="2">
        <f t="shared" si="80"/>
        <v>2019</v>
      </c>
      <c r="C2577" s="2" t="str">
        <f t="shared" si="81"/>
        <v>EC101</v>
      </c>
      <c r="D2577" s="2">
        <v>959</v>
      </c>
      <c r="F2577" s="1764"/>
      <c r="G2577" s="1764"/>
      <c r="H2577" s="1764"/>
      <c r="I2577" s="1764"/>
      <c r="J2577" s="1764"/>
      <c r="K2577" s="1764"/>
      <c r="L2577" s="1766"/>
      <c r="M2577" s="1766"/>
      <c r="N2577" s="1766"/>
      <c r="O2577" s="1766"/>
      <c r="P2577" s="1766"/>
      <c r="W2577" t="s">
        <v>2089</v>
      </c>
    </row>
    <row r="2578" spans="1:23" ht="13.15" customHeight="1" x14ac:dyDescent="0.2">
      <c r="A2578" s="2" t="s">
        <v>2242</v>
      </c>
      <c r="B2578" s="2">
        <f t="shared" si="80"/>
        <v>2019</v>
      </c>
      <c r="C2578" s="2" t="str">
        <f t="shared" si="81"/>
        <v>EC101</v>
      </c>
      <c r="D2578" s="2">
        <v>960</v>
      </c>
      <c r="F2578" s="1764"/>
      <c r="G2578" s="1764"/>
      <c r="H2578" s="1764"/>
      <c r="I2578" s="1764"/>
      <c r="J2578" s="1764"/>
      <c r="K2578" s="1764"/>
      <c r="L2578" s="1766"/>
      <c r="M2578" s="1766"/>
      <c r="N2578" s="1766"/>
      <c r="O2578" s="1766"/>
      <c r="P2578" s="1766"/>
      <c r="W2578" t="s">
        <v>2089</v>
      </c>
    </row>
    <row r="2579" spans="1:23" ht="13.15" customHeight="1" x14ac:dyDescent="0.2">
      <c r="A2579" s="2" t="s">
        <v>2242</v>
      </c>
      <c r="B2579" s="2">
        <f t="shared" si="80"/>
        <v>2019</v>
      </c>
      <c r="C2579" s="2" t="str">
        <f t="shared" si="81"/>
        <v>EC101</v>
      </c>
      <c r="D2579" s="2">
        <v>961</v>
      </c>
      <c r="F2579" s="1764"/>
      <c r="G2579" s="1764"/>
      <c r="H2579" s="1764"/>
      <c r="I2579" s="1764"/>
      <c r="J2579" s="1764"/>
      <c r="K2579" s="1764"/>
      <c r="L2579" s="1766"/>
      <c r="M2579" s="1766"/>
      <c r="N2579" s="1766"/>
      <c r="O2579" s="1766"/>
      <c r="P2579" s="1766"/>
      <c r="W2579" t="s">
        <v>2089</v>
      </c>
    </row>
    <row r="2580" spans="1:23" ht="13.15" customHeight="1" x14ac:dyDescent="0.2">
      <c r="A2580" s="2" t="s">
        <v>2242</v>
      </c>
      <c r="B2580" s="2">
        <f t="shared" si="80"/>
        <v>2019</v>
      </c>
      <c r="C2580" s="2" t="str">
        <f t="shared" si="81"/>
        <v>EC101</v>
      </c>
      <c r="D2580" s="2">
        <v>962</v>
      </c>
      <c r="F2580" s="1764"/>
      <c r="G2580" s="1764"/>
      <c r="H2580" s="1764"/>
      <c r="I2580" s="1764"/>
      <c r="J2580" s="1764"/>
      <c r="K2580" s="1764"/>
      <c r="L2580" s="1766"/>
      <c r="M2580" s="1766"/>
      <c r="N2580" s="1766"/>
      <c r="O2580" s="1766"/>
      <c r="P2580" s="1766"/>
      <c r="W2580" t="s">
        <v>2089</v>
      </c>
    </row>
    <row r="2581" spans="1:23" ht="13.15" customHeight="1" x14ac:dyDescent="0.2">
      <c r="A2581" s="2" t="s">
        <v>2242</v>
      </c>
      <c r="B2581" s="2">
        <f t="shared" si="80"/>
        <v>2019</v>
      </c>
      <c r="C2581" s="2" t="str">
        <f t="shared" si="81"/>
        <v>EC101</v>
      </c>
      <c r="D2581" s="2">
        <v>963</v>
      </c>
      <c r="F2581" s="1764"/>
      <c r="G2581" s="1764"/>
      <c r="H2581" s="1764"/>
      <c r="I2581" s="1764"/>
      <c r="J2581" s="1764"/>
      <c r="K2581" s="1764"/>
      <c r="L2581" s="1766"/>
      <c r="M2581" s="1766"/>
      <c r="N2581" s="1766"/>
      <c r="O2581" s="1766"/>
      <c r="P2581" s="1766"/>
      <c r="W2581" t="s">
        <v>2089</v>
      </c>
    </row>
    <row r="2582" spans="1:23" ht="13.15" customHeight="1" x14ac:dyDescent="0.2">
      <c r="A2582" s="2" t="s">
        <v>2242</v>
      </c>
      <c r="B2582" s="2">
        <f t="shared" si="80"/>
        <v>2019</v>
      </c>
      <c r="C2582" s="2" t="str">
        <f t="shared" si="81"/>
        <v>EC101</v>
      </c>
      <c r="D2582" s="2">
        <v>964</v>
      </c>
      <c r="F2582" s="1764"/>
      <c r="G2582" s="1764"/>
      <c r="H2582" s="1764"/>
      <c r="I2582" s="1764"/>
      <c r="J2582" s="1764"/>
      <c r="K2582" s="1764"/>
      <c r="L2582" s="1766"/>
      <c r="M2582" s="1766"/>
      <c r="N2582" s="1766"/>
      <c r="O2582" s="1766"/>
      <c r="P2582" s="1766"/>
      <c r="W2582" t="s">
        <v>2089</v>
      </c>
    </row>
    <row r="2583" spans="1:23" ht="13.15" customHeight="1" x14ac:dyDescent="0.2">
      <c r="A2583" s="2" t="s">
        <v>2242</v>
      </c>
      <c r="B2583" s="2">
        <f t="shared" si="80"/>
        <v>2019</v>
      </c>
      <c r="C2583" s="2" t="str">
        <f t="shared" si="81"/>
        <v>EC101</v>
      </c>
      <c r="D2583" s="2">
        <v>965</v>
      </c>
      <c r="F2583" s="1764"/>
      <c r="G2583" s="1764"/>
      <c r="H2583" s="1764"/>
      <c r="I2583" s="1764"/>
      <c r="J2583" s="1764"/>
      <c r="K2583" s="1764"/>
      <c r="L2583" s="1766"/>
      <c r="M2583" s="1766"/>
      <c r="N2583" s="1766"/>
      <c r="O2583" s="1766"/>
      <c r="P2583" s="1766"/>
      <c r="W2583" t="s">
        <v>2089</v>
      </c>
    </row>
    <row r="2584" spans="1:23" ht="13.15" customHeight="1" x14ac:dyDescent="0.2">
      <c r="A2584" s="2" t="s">
        <v>2242</v>
      </c>
      <c r="B2584" s="2">
        <f t="shared" si="80"/>
        <v>2019</v>
      </c>
      <c r="C2584" s="2" t="str">
        <f t="shared" si="81"/>
        <v>EC101</v>
      </c>
      <c r="D2584" s="2">
        <v>966</v>
      </c>
      <c r="F2584" s="1764"/>
      <c r="G2584" s="1764"/>
      <c r="H2584" s="1764"/>
      <c r="I2584" s="1764"/>
      <c r="J2584" s="1764"/>
      <c r="K2584" s="1764"/>
      <c r="L2584" s="1766"/>
      <c r="M2584" s="1766"/>
      <c r="N2584" s="1766"/>
      <c r="O2584" s="1766"/>
      <c r="P2584" s="1766"/>
      <c r="W2584" t="s">
        <v>2089</v>
      </c>
    </row>
    <row r="2585" spans="1:23" ht="13.15" customHeight="1" x14ac:dyDescent="0.2">
      <c r="A2585" s="2" t="s">
        <v>2242</v>
      </c>
      <c r="B2585" s="2">
        <f t="shared" si="80"/>
        <v>2019</v>
      </c>
      <c r="C2585" s="2" t="str">
        <f t="shared" si="81"/>
        <v>EC101</v>
      </c>
      <c r="D2585" s="2">
        <v>967</v>
      </c>
      <c r="F2585" s="1764"/>
      <c r="G2585" s="1764"/>
      <c r="H2585" s="1764"/>
      <c r="I2585" s="1764"/>
      <c r="J2585" s="1764"/>
      <c r="K2585" s="1764"/>
      <c r="L2585" s="1766"/>
      <c r="M2585" s="1766"/>
      <c r="N2585" s="1766"/>
      <c r="O2585" s="1766"/>
      <c r="P2585" s="1766"/>
      <c r="W2585" t="s">
        <v>2089</v>
      </c>
    </row>
    <row r="2586" spans="1:23" ht="13.15" customHeight="1" x14ac:dyDescent="0.2">
      <c r="A2586" s="2" t="s">
        <v>2242</v>
      </c>
      <c r="B2586" s="2">
        <f t="shared" si="80"/>
        <v>2019</v>
      </c>
      <c r="C2586" s="2" t="str">
        <f t="shared" si="81"/>
        <v>EC101</v>
      </c>
      <c r="D2586" s="2">
        <v>968</v>
      </c>
      <c r="F2586" s="1764"/>
      <c r="G2586" s="1764"/>
      <c r="H2586" s="1764"/>
      <c r="I2586" s="1764"/>
      <c r="J2586" s="1764"/>
      <c r="K2586" s="1764"/>
      <c r="L2586" s="1766"/>
      <c r="M2586" s="1766"/>
      <c r="N2586" s="1766"/>
      <c r="O2586" s="1766"/>
      <c r="P2586" s="1766"/>
      <c r="W2586" t="s">
        <v>2089</v>
      </c>
    </row>
    <row r="2587" spans="1:23" ht="13.15" customHeight="1" x14ac:dyDescent="0.2">
      <c r="A2587" s="2" t="s">
        <v>2242</v>
      </c>
      <c r="B2587" s="2">
        <f t="shared" si="80"/>
        <v>2019</v>
      </c>
      <c r="C2587" s="2" t="str">
        <f t="shared" si="81"/>
        <v>EC101</v>
      </c>
      <c r="D2587" s="2">
        <v>969</v>
      </c>
      <c r="F2587" s="1764"/>
      <c r="G2587" s="1764"/>
      <c r="H2587" s="1764"/>
      <c r="I2587" s="1764"/>
      <c r="J2587" s="1764"/>
      <c r="K2587" s="1764"/>
      <c r="L2587" s="1766"/>
      <c r="M2587" s="1766"/>
      <c r="N2587" s="1766"/>
      <c r="O2587" s="1766"/>
      <c r="P2587" s="1766"/>
      <c r="W2587" t="s">
        <v>2089</v>
      </c>
    </row>
    <row r="2588" spans="1:23" ht="13.15" customHeight="1" x14ac:dyDescent="0.2">
      <c r="A2588" s="2" t="s">
        <v>2242</v>
      </c>
      <c r="B2588" s="2">
        <f t="shared" si="80"/>
        <v>2019</v>
      </c>
      <c r="C2588" s="2" t="str">
        <f t="shared" si="81"/>
        <v>EC101</v>
      </c>
      <c r="D2588" s="2">
        <v>970</v>
      </c>
      <c r="F2588" s="1764"/>
      <c r="G2588" s="1764"/>
      <c r="H2588" s="1764"/>
      <c r="I2588" s="1764"/>
      <c r="J2588" s="1764"/>
      <c r="K2588" s="1764"/>
      <c r="L2588" s="1766"/>
      <c r="M2588" s="1766"/>
      <c r="N2588" s="1766"/>
      <c r="O2588" s="1766"/>
      <c r="P2588" s="1766"/>
      <c r="W2588" t="s">
        <v>2089</v>
      </c>
    </row>
    <row r="2589" spans="1:23" ht="13.15" customHeight="1" x14ac:dyDescent="0.2">
      <c r="A2589" s="2" t="s">
        <v>2242</v>
      </c>
      <c r="B2589" s="2">
        <f t="shared" si="80"/>
        <v>2019</v>
      </c>
      <c r="C2589" s="2" t="str">
        <f t="shared" si="81"/>
        <v>EC101</v>
      </c>
      <c r="D2589" s="2">
        <v>971</v>
      </c>
      <c r="F2589" s="1764"/>
      <c r="G2589" s="1764"/>
      <c r="H2589" s="1764"/>
      <c r="I2589" s="1764"/>
      <c r="J2589" s="1764"/>
      <c r="K2589" s="1764"/>
      <c r="L2589" s="1766"/>
      <c r="M2589" s="1766"/>
      <c r="N2589" s="1766"/>
      <c r="O2589" s="1766"/>
      <c r="P2589" s="1766"/>
      <c r="W2589" t="s">
        <v>2089</v>
      </c>
    </row>
    <row r="2590" spans="1:23" ht="13.15" customHeight="1" x14ac:dyDescent="0.2">
      <c r="A2590" s="2" t="s">
        <v>2242</v>
      </c>
      <c r="B2590" s="2">
        <f t="shared" si="80"/>
        <v>2019</v>
      </c>
      <c r="C2590" s="2" t="str">
        <f t="shared" si="81"/>
        <v>EC101</v>
      </c>
      <c r="D2590" s="2">
        <v>972</v>
      </c>
      <c r="F2590" s="1764"/>
      <c r="G2590" s="1764"/>
      <c r="H2590" s="1764"/>
      <c r="I2590" s="1764"/>
      <c r="J2590" s="1764"/>
      <c r="K2590" s="1764"/>
      <c r="L2590" s="1766"/>
      <c r="M2590" s="1766"/>
      <c r="N2590" s="1766"/>
      <c r="O2590" s="1766"/>
      <c r="P2590" s="1766"/>
      <c r="W2590" t="s">
        <v>2089</v>
      </c>
    </row>
    <row r="2591" spans="1:23" ht="13.15" customHeight="1" x14ac:dyDescent="0.2">
      <c r="A2591" s="2" t="s">
        <v>2242</v>
      </c>
      <c r="B2591" s="2">
        <f t="shared" si="80"/>
        <v>2019</v>
      </c>
      <c r="C2591" s="2" t="str">
        <f t="shared" si="81"/>
        <v>EC101</v>
      </c>
      <c r="D2591" s="2">
        <v>973</v>
      </c>
      <c r="F2591" s="1764"/>
      <c r="G2591" s="1764"/>
      <c r="H2591" s="1764"/>
      <c r="I2591" s="1764"/>
      <c r="J2591" s="1764"/>
      <c r="K2591" s="1764"/>
      <c r="L2591" s="1766"/>
      <c r="M2591" s="1766"/>
      <c r="N2591" s="1766"/>
      <c r="O2591" s="1766"/>
      <c r="P2591" s="1766"/>
      <c r="W2591" t="s">
        <v>2089</v>
      </c>
    </row>
    <row r="2592" spans="1:23" ht="13.15" customHeight="1" x14ac:dyDescent="0.2">
      <c r="A2592" s="2" t="s">
        <v>2242</v>
      </c>
      <c r="B2592" s="2">
        <f t="shared" si="80"/>
        <v>2019</v>
      </c>
      <c r="C2592" s="2" t="str">
        <f t="shared" si="81"/>
        <v>EC101</v>
      </c>
      <c r="D2592" s="2">
        <v>974</v>
      </c>
      <c r="F2592" s="1764"/>
      <c r="G2592" s="1764"/>
      <c r="H2592" s="1764"/>
      <c r="I2592" s="1764"/>
      <c r="J2592" s="1764"/>
      <c r="K2592" s="1764"/>
      <c r="L2592" s="1766"/>
      <c r="M2592" s="1766"/>
      <c r="N2592" s="1766"/>
      <c r="O2592" s="1766"/>
      <c r="P2592" s="1766"/>
      <c r="W2592" t="s">
        <v>2089</v>
      </c>
    </row>
    <row r="2593" spans="1:23" ht="13.15" customHeight="1" x14ac:dyDescent="0.2">
      <c r="A2593" s="2" t="s">
        <v>2242</v>
      </c>
      <c r="B2593" s="2">
        <f t="shared" si="80"/>
        <v>2019</v>
      </c>
      <c r="C2593" s="2" t="str">
        <f t="shared" si="81"/>
        <v>EC101</v>
      </c>
      <c r="D2593" s="2">
        <v>975</v>
      </c>
      <c r="F2593" s="1764"/>
      <c r="G2593" s="1764"/>
      <c r="H2593" s="1764"/>
      <c r="I2593" s="1764"/>
      <c r="J2593" s="1764"/>
      <c r="K2593" s="1764"/>
      <c r="L2593" s="1766"/>
      <c r="M2593" s="1766"/>
      <c r="N2593" s="1766"/>
      <c r="O2593" s="1766"/>
      <c r="P2593" s="1766"/>
      <c r="W2593" t="s">
        <v>2089</v>
      </c>
    </row>
    <row r="2594" spans="1:23" ht="13.15" customHeight="1" x14ac:dyDescent="0.2">
      <c r="A2594" s="2" t="s">
        <v>2242</v>
      </c>
      <c r="B2594" s="2">
        <f t="shared" si="80"/>
        <v>2019</v>
      </c>
      <c r="C2594" s="2" t="str">
        <f t="shared" si="81"/>
        <v>EC101</v>
      </c>
      <c r="D2594" s="2">
        <v>976</v>
      </c>
      <c r="F2594" s="1764"/>
      <c r="G2594" s="1764"/>
      <c r="H2594" s="1764"/>
      <c r="I2594" s="1764"/>
      <c r="J2594" s="1764"/>
      <c r="K2594" s="1764"/>
      <c r="L2594" s="1766"/>
      <c r="M2594" s="1766"/>
      <c r="N2594" s="1766"/>
      <c r="O2594" s="1766"/>
      <c r="P2594" s="1766"/>
      <c r="W2594" t="s">
        <v>2089</v>
      </c>
    </row>
    <row r="2595" spans="1:23" ht="13.15" customHeight="1" x14ac:dyDescent="0.2">
      <c r="A2595" s="2" t="s">
        <v>2242</v>
      </c>
      <c r="B2595" s="2">
        <f t="shared" si="80"/>
        <v>2019</v>
      </c>
      <c r="C2595" s="2" t="str">
        <f t="shared" si="81"/>
        <v>EC101</v>
      </c>
      <c r="D2595" s="2">
        <v>977</v>
      </c>
      <c r="F2595" s="1764"/>
      <c r="G2595" s="1764"/>
      <c r="H2595" s="1764"/>
      <c r="I2595" s="1764"/>
      <c r="J2595" s="1764"/>
      <c r="K2595" s="1764"/>
      <c r="L2595" s="1766"/>
      <c r="M2595" s="1766"/>
      <c r="N2595" s="1766"/>
      <c r="O2595" s="1766"/>
      <c r="P2595" s="1766"/>
      <c r="W2595" t="s">
        <v>2089</v>
      </c>
    </row>
    <row r="2596" spans="1:23" ht="13.15" customHeight="1" x14ac:dyDescent="0.2">
      <c r="A2596" s="2" t="s">
        <v>2242</v>
      </c>
      <c r="B2596" s="2">
        <f t="shared" si="80"/>
        <v>2019</v>
      </c>
      <c r="C2596" s="2" t="str">
        <f t="shared" si="81"/>
        <v>EC101</v>
      </c>
      <c r="D2596" s="2">
        <v>978</v>
      </c>
      <c r="F2596" s="1764"/>
      <c r="G2596" s="1764"/>
      <c r="H2596" s="1764"/>
      <c r="I2596" s="1764"/>
      <c r="J2596" s="1764"/>
      <c r="K2596" s="1764"/>
      <c r="L2596" s="1766"/>
      <c r="M2596" s="1766"/>
      <c r="N2596" s="1766"/>
      <c r="O2596" s="1766"/>
      <c r="P2596" s="1766"/>
      <c r="W2596" t="s">
        <v>2089</v>
      </c>
    </row>
    <row r="2597" spans="1:23" ht="13.15" customHeight="1" x14ac:dyDescent="0.2">
      <c r="A2597" s="2" t="s">
        <v>2242</v>
      </c>
      <c r="B2597" s="2">
        <f t="shared" si="80"/>
        <v>2019</v>
      </c>
      <c r="C2597" s="2" t="str">
        <f t="shared" si="81"/>
        <v>EC101</v>
      </c>
      <c r="D2597" s="2">
        <v>979</v>
      </c>
      <c r="F2597" s="1764"/>
      <c r="G2597" s="1764"/>
      <c r="H2597" s="1764"/>
      <c r="I2597" s="1764"/>
      <c r="J2597" s="1764"/>
      <c r="K2597" s="1764"/>
      <c r="L2597" s="1766"/>
      <c r="M2597" s="1766"/>
      <c r="N2597" s="1766"/>
      <c r="O2597" s="1766"/>
      <c r="P2597" s="1766"/>
      <c r="W2597" t="s">
        <v>2089</v>
      </c>
    </row>
    <row r="2598" spans="1:23" ht="13.15" customHeight="1" x14ac:dyDescent="0.2">
      <c r="A2598" s="2" t="s">
        <v>2242</v>
      </c>
      <c r="B2598" s="2">
        <f t="shared" si="80"/>
        <v>2019</v>
      </c>
      <c r="C2598" s="2" t="str">
        <f t="shared" si="81"/>
        <v>EC101</v>
      </c>
      <c r="D2598" s="2">
        <v>980</v>
      </c>
      <c r="F2598" s="1764"/>
      <c r="G2598" s="1764"/>
      <c r="H2598" s="1764"/>
      <c r="I2598" s="1764"/>
      <c r="J2598" s="1764"/>
      <c r="K2598" s="1764"/>
      <c r="L2598" s="1766"/>
      <c r="M2598" s="1766"/>
      <c r="N2598" s="1766"/>
      <c r="O2598" s="1766"/>
      <c r="P2598" s="1766"/>
      <c r="W2598" t="s">
        <v>2089</v>
      </c>
    </row>
    <row r="2599" spans="1:23" ht="13.15" customHeight="1" x14ac:dyDescent="0.2">
      <c r="A2599" s="2" t="s">
        <v>2242</v>
      </c>
      <c r="B2599" s="2">
        <f t="shared" si="80"/>
        <v>2019</v>
      </c>
      <c r="C2599" s="2" t="str">
        <f t="shared" si="81"/>
        <v>EC101</v>
      </c>
      <c r="D2599" s="2">
        <v>981</v>
      </c>
      <c r="F2599" s="1764"/>
      <c r="G2599" s="1764"/>
      <c r="H2599" s="1764"/>
      <c r="I2599" s="1764"/>
      <c r="J2599" s="1764"/>
      <c r="K2599" s="1764"/>
      <c r="L2599" s="1766"/>
      <c r="M2599" s="1766"/>
      <c r="N2599" s="1766"/>
      <c r="O2599" s="1766"/>
      <c r="P2599" s="1766"/>
      <c r="W2599" t="s">
        <v>2089</v>
      </c>
    </row>
    <row r="2600" spans="1:23" ht="13.15" customHeight="1" x14ac:dyDescent="0.2">
      <c r="A2600" s="2" t="s">
        <v>2242</v>
      </c>
      <c r="B2600" s="2">
        <f t="shared" si="80"/>
        <v>2019</v>
      </c>
      <c r="C2600" s="2" t="str">
        <f t="shared" si="81"/>
        <v>EC101</v>
      </c>
      <c r="D2600" s="2">
        <v>982</v>
      </c>
      <c r="F2600" s="1764"/>
      <c r="G2600" s="1764"/>
      <c r="H2600" s="1764"/>
      <c r="I2600" s="1764"/>
      <c r="J2600" s="1764"/>
      <c r="K2600" s="1764"/>
      <c r="L2600" s="1766"/>
      <c r="M2600" s="1766"/>
      <c r="N2600" s="1766"/>
      <c r="O2600" s="1766"/>
      <c r="P2600" s="1766"/>
      <c r="W2600" t="s">
        <v>2089</v>
      </c>
    </row>
    <row r="2601" spans="1:23" ht="13.15" customHeight="1" x14ac:dyDescent="0.2">
      <c r="A2601" s="2" t="s">
        <v>2242</v>
      </c>
      <c r="B2601" s="2">
        <f t="shared" si="80"/>
        <v>2019</v>
      </c>
      <c r="C2601" s="2" t="str">
        <f t="shared" si="81"/>
        <v>EC101</v>
      </c>
      <c r="D2601" s="2">
        <v>983</v>
      </c>
      <c r="F2601" s="1764"/>
      <c r="G2601" s="1764"/>
      <c r="H2601" s="1764"/>
      <c r="I2601" s="1764"/>
      <c r="J2601" s="1764"/>
      <c r="K2601" s="1764"/>
      <c r="L2601" s="1766"/>
      <c r="M2601" s="1766"/>
      <c r="N2601" s="1766"/>
      <c r="O2601" s="1766"/>
      <c r="P2601" s="1766"/>
      <c r="W2601" t="s">
        <v>2089</v>
      </c>
    </row>
    <row r="2602" spans="1:23" ht="13.15" customHeight="1" x14ac:dyDescent="0.2">
      <c r="A2602" s="2" t="s">
        <v>2242</v>
      </c>
      <c r="B2602" s="2">
        <f t="shared" si="80"/>
        <v>2019</v>
      </c>
      <c r="C2602" s="2" t="str">
        <f t="shared" si="81"/>
        <v>EC101</v>
      </c>
      <c r="D2602" s="2">
        <v>984</v>
      </c>
      <c r="F2602" s="1764"/>
      <c r="G2602" s="1764"/>
      <c r="H2602" s="1764"/>
      <c r="I2602" s="1764"/>
      <c r="J2602" s="1764"/>
      <c r="K2602" s="1764"/>
      <c r="L2602" s="1766"/>
      <c r="M2602" s="1766"/>
      <c r="N2602" s="1766"/>
      <c r="O2602" s="1766"/>
      <c r="P2602" s="1766"/>
      <c r="W2602" t="s">
        <v>2089</v>
      </c>
    </row>
    <row r="2603" spans="1:23" ht="13.15" customHeight="1" x14ac:dyDescent="0.2">
      <c r="A2603" s="2" t="s">
        <v>2242</v>
      </c>
      <c r="B2603" s="2">
        <f t="shared" si="80"/>
        <v>2019</v>
      </c>
      <c r="C2603" s="2" t="str">
        <f t="shared" si="81"/>
        <v>EC101</v>
      </c>
      <c r="D2603" s="2">
        <v>985</v>
      </c>
      <c r="F2603" s="1764"/>
      <c r="G2603" s="1764"/>
      <c r="H2603" s="1764"/>
      <c r="I2603" s="1764"/>
      <c r="J2603" s="1764"/>
      <c r="K2603" s="1764"/>
      <c r="L2603" s="1766"/>
      <c r="M2603" s="1766"/>
      <c r="N2603" s="1766"/>
      <c r="O2603" s="1766"/>
      <c r="P2603" s="1766"/>
      <c r="W2603" t="s">
        <v>2089</v>
      </c>
    </row>
    <row r="2604" spans="1:23" ht="13.15" customHeight="1" x14ac:dyDescent="0.2">
      <c r="A2604" s="2" t="s">
        <v>2242</v>
      </c>
      <c r="B2604" s="2">
        <f t="shared" si="80"/>
        <v>2019</v>
      </c>
      <c r="C2604" s="2" t="str">
        <f t="shared" si="81"/>
        <v>EC101</v>
      </c>
      <c r="D2604" s="2">
        <v>986</v>
      </c>
      <c r="F2604" s="1764"/>
      <c r="G2604" s="1764"/>
      <c r="H2604" s="1764"/>
      <c r="I2604" s="1764"/>
      <c r="J2604" s="1764"/>
      <c r="K2604" s="1764"/>
      <c r="L2604" s="1766"/>
      <c r="M2604" s="1766"/>
      <c r="N2604" s="1766"/>
      <c r="O2604" s="1766"/>
      <c r="P2604" s="1766"/>
      <c r="W2604" t="s">
        <v>2089</v>
      </c>
    </row>
    <row r="2605" spans="1:23" ht="13.15" customHeight="1" x14ac:dyDescent="0.2">
      <c r="A2605" s="2" t="s">
        <v>2242</v>
      </c>
      <c r="B2605" s="2">
        <f t="shared" si="80"/>
        <v>2019</v>
      </c>
      <c r="C2605" s="2" t="str">
        <f t="shared" si="81"/>
        <v>EC101</v>
      </c>
      <c r="D2605" s="2">
        <v>987</v>
      </c>
      <c r="F2605" s="1764"/>
      <c r="G2605" s="1764"/>
      <c r="H2605" s="1764"/>
      <c r="I2605" s="1764"/>
      <c r="J2605" s="1764"/>
      <c r="K2605" s="1764"/>
      <c r="L2605" s="1766"/>
      <c r="M2605" s="1766"/>
      <c r="N2605" s="1766"/>
      <c r="O2605" s="1766"/>
      <c r="P2605" s="1766"/>
      <c r="W2605" t="s">
        <v>2089</v>
      </c>
    </row>
    <row r="2606" spans="1:23" ht="13.15" customHeight="1" x14ac:dyDescent="0.2">
      <c r="A2606" s="2" t="s">
        <v>2242</v>
      </c>
      <c r="B2606" s="2">
        <f t="shared" si="80"/>
        <v>2019</v>
      </c>
      <c r="C2606" s="2" t="str">
        <f t="shared" si="81"/>
        <v>EC101</v>
      </c>
      <c r="D2606" s="2">
        <v>988</v>
      </c>
      <c r="F2606" s="1764"/>
      <c r="G2606" s="1764"/>
      <c r="H2606" s="1764"/>
      <c r="I2606" s="1764"/>
      <c r="J2606" s="1764"/>
      <c r="K2606" s="1764"/>
      <c r="L2606" s="1766"/>
      <c r="M2606" s="1766"/>
      <c r="N2606" s="1766"/>
      <c r="O2606" s="1766"/>
      <c r="P2606" s="1766"/>
      <c r="W2606" t="s">
        <v>2089</v>
      </c>
    </row>
    <row r="2607" spans="1:23" ht="13.15" customHeight="1" x14ac:dyDescent="0.2">
      <c r="A2607" s="2" t="s">
        <v>2242</v>
      </c>
      <c r="B2607" s="2">
        <f t="shared" si="80"/>
        <v>2019</v>
      </c>
      <c r="C2607" s="2" t="str">
        <f t="shared" si="81"/>
        <v>EC101</v>
      </c>
      <c r="D2607" s="2">
        <v>989</v>
      </c>
      <c r="F2607" s="1764"/>
      <c r="G2607" s="1764"/>
      <c r="H2607" s="1764"/>
      <c r="I2607" s="1764"/>
      <c r="J2607" s="1764"/>
      <c r="K2607" s="1764"/>
      <c r="L2607" s="1766"/>
      <c r="M2607" s="1766"/>
      <c r="N2607" s="1766"/>
      <c r="O2607" s="1766"/>
      <c r="P2607" s="1766"/>
      <c r="W2607" t="s">
        <v>2089</v>
      </c>
    </row>
    <row r="2608" spans="1:23" ht="13.15" customHeight="1" x14ac:dyDescent="0.2">
      <c r="A2608" s="2" t="s">
        <v>2242</v>
      </c>
      <c r="B2608" s="2">
        <f t="shared" si="80"/>
        <v>2019</v>
      </c>
      <c r="C2608" s="2" t="str">
        <f t="shared" si="81"/>
        <v>EC101</v>
      </c>
      <c r="D2608" s="2">
        <v>990</v>
      </c>
      <c r="F2608" s="1764"/>
      <c r="G2608" s="1764"/>
      <c r="H2608" s="1764"/>
      <c r="I2608" s="1764"/>
      <c r="J2608" s="1764"/>
      <c r="K2608" s="1764"/>
      <c r="L2608" s="1766"/>
      <c r="M2608" s="1766"/>
      <c r="N2608" s="1766"/>
      <c r="O2608" s="1766"/>
      <c r="P2608" s="1766"/>
      <c r="W2608" t="s">
        <v>2089</v>
      </c>
    </row>
    <row r="2609" spans="1:23" ht="13.15" customHeight="1" x14ac:dyDescent="0.2">
      <c r="A2609" s="2" t="s">
        <v>2242</v>
      </c>
      <c r="B2609" s="2">
        <f t="shared" si="80"/>
        <v>2019</v>
      </c>
      <c r="C2609" s="2" t="str">
        <f t="shared" si="81"/>
        <v>EC101</v>
      </c>
      <c r="D2609" s="2">
        <v>991</v>
      </c>
      <c r="F2609" s="1764"/>
      <c r="G2609" s="1764"/>
      <c r="H2609" s="1764"/>
      <c r="I2609" s="1764"/>
      <c r="J2609" s="1764"/>
      <c r="K2609" s="1764"/>
      <c r="L2609" s="1766"/>
      <c r="M2609" s="1766"/>
      <c r="N2609" s="1766"/>
      <c r="O2609" s="1766"/>
      <c r="P2609" s="1766"/>
      <c r="W2609" t="s">
        <v>2089</v>
      </c>
    </row>
    <row r="2610" spans="1:23" ht="13.15" customHeight="1" x14ac:dyDescent="0.2">
      <c r="A2610" s="2" t="s">
        <v>2242</v>
      </c>
      <c r="B2610" s="2">
        <f t="shared" si="80"/>
        <v>2019</v>
      </c>
      <c r="C2610" s="2" t="str">
        <f t="shared" si="81"/>
        <v>EC101</v>
      </c>
      <c r="D2610" s="2">
        <v>992</v>
      </c>
      <c r="F2610" s="1764"/>
      <c r="G2610" s="1764"/>
      <c r="H2610" s="1764"/>
      <c r="I2610" s="1764"/>
      <c r="J2610" s="1764"/>
      <c r="K2610" s="1764"/>
      <c r="L2610" s="1766"/>
      <c r="M2610" s="1766"/>
      <c r="N2610" s="1766"/>
      <c r="O2610" s="1766"/>
      <c r="P2610" s="1766"/>
      <c r="W2610" t="s">
        <v>2089</v>
      </c>
    </row>
    <row r="2611" spans="1:23" ht="13.15" customHeight="1" x14ac:dyDescent="0.2">
      <c r="A2611" s="2" t="s">
        <v>2242</v>
      </c>
      <c r="B2611" s="2">
        <f t="shared" si="80"/>
        <v>2019</v>
      </c>
      <c r="C2611" s="2" t="str">
        <f t="shared" si="81"/>
        <v>EC101</v>
      </c>
      <c r="D2611" s="2">
        <v>993</v>
      </c>
      <c r="F2611" s="1764"/>
      <c r="G2611" s="1764"/>
      <c r="H2611" s="1764"/>
      <c r="I2611" s="1764"/>
      <c r="J2611" s="1764"/>
      <c r="K2611" s="1764"/>
      <c r="L2611" s="1766"/>
      <c r="M2611" s="1766"/>
      <c r="N2611" s="1766"/>
      <c r="O2611" s="1766"/>
      <c r="P2611" s="1766"/>
      <c r="W2611" t="s">
        <v>2089</v>
      </c>
    </row>
    <row r="2612" spans="1:23" ht="13.15" customHeight="1" x14ac:dyDescent="0.2">
      <c r="A2612" s="2" t="s">
        <v>2242</v>
      </c>
      <c r="B2612" s="2">
        <f t="shared" si="80"/>
        <v>2019</v>
      </c>
      <c r="C2612" s="2" t="str">
        <f t="shared" si="81"/>
        <v>EC101</v>
      </c>
      <c r="D2612" s="2">
        <v>994</v>
      </c>
      <c r="F2612" s="1764"/>
      <c r="G2612" s="1764"/>
      <c r="H2612" s="1764"/>
      <c r="I2612" s="1764"/>
      <c r="J2612" s="1764"/>
      <c r="K2612" s="1764"/>
      <c r="L2612" s="1766"/>
      <c r="M2612" s="1766"/>
      <c r="N2612" s="1766"/>
      <c r="O2612" s="1766"/>
      <c r="P2612" s="1766"/>
      <c r="W2612" t="s">
        <v>2089</v>
      </c>
    </row>
    <row r="2613" spans="1:23" ht="13.15" customHeight="1" x14ac:dyDescent="0.2">
      <c r="A2613" s="2" t="s">
        <v>2242</v>
      </c>
      <c r="B2613" s="2">
        <f t="shared" si="80"/>
        <v>2019</v>
      </c>
      <c r="C2613" s="2" t="str">
        <f t="shared" si="81"/>
        <v>EC101</v>
      </c>
      <c r="D2613" s="2">
        <v>995</v>
      </c>
      <c r="F2613" s="1764"/>
      <c r="G2613" s="1764"/>
      <c r="H2613" s="1764"/>
      <c r="I2613" s="1764"/>
      <c r="J2613" s="1764"/>
      <c r="K2613" s="1764"/>
      <c r="L2613" s="1766"/>
      <c r="M2613" s="1766"/>
      <c r="N2613" s="1766"/>
      <c r="O2613" s="1766"/>
      <c r="P2613" s="1766"/>
      <c r="W2613" t="s">
        <v>2089</v>
      </c>
    </row>
    <row r="2614" spans="1:23" ht="13.15" customHeight="1" x14ac:dyDescent="0.2">
      <c r="A2614" s="2" t="s">
        <v>2242</v>
      </c>
      <c r="B2614" s="2">
        <f t="shared" si="80"/>
        <v>2019</v>
      </c>
      <c r="C2614" s="2" t="str">
        <f t="shared" si="81"/>
        <v>EC101</v>
      </c>
      <c r="D2614" s="2">
        <v>996</v>
      </c>
      <c r="F2614" s="1764"/>
      <c r="G2614" s="1764"/>
      <c r="H2614" s="1764"/>
      <c r="I2614" s="1764"/>
      <c r="J2614" s="1764"/>
      <c r="K2614" s="1764"/>
      <c r="L2614" s="1766"/>
      <c r="M2614" s="1766"/>
      <c r="N2614" s="1766"/>
      <c r="O2614" s="1766"/>
      <c r="P2614" s="1766"/>
      <c r="W2614" t="s">
        <v>2089</v>
      </c>
    </row>
    <row r="2615" spans="1:23" ht="13.15" customHeight="1" x14ac:dyDescent="0.2">
      <c r="A2615" s="2" t="s">
        <v>2242</v>
      </c>
      <c r="B2615" s="2">
        <f t="shared" si="80"/>
        <v>2019</v>
      </c>
      <c r="C2615" s="2" t="str">
        <f t="shared" si="81"/>
        <v>EC101</v>
      </c>
      <c r="D2615" s="2">
        <v>997</v>
      </c>
      <c r="F2615" s="1764"/>
      <c r="G2615" s="1764"/>
      <c r="H2615" s="1764"/>
      <c r="I2615" s="1764"/>
      <c r="J2615" s="1764"/>
      <c r="K2615" s="1764"/>
      <c r="L2615" s="1766"/>
      <c r="M2615" s="1766"/>
      <c r="N2615" s="1766"/>
      <c r="O2615" s="1766"/>
      <c r="P2615" s="1766"/>
      <c r="W2615" t="s">
        <v>2089</v>
      </c>
    </row>
    <row r="2616" spans="1:23" ht="13.15" customHeight="1" x14ac:dyDescent="0.2">
      <c r="A2616" s="2" t="s">
        <v>2242</v>
      </c>
      <c r="B2616" s="2">
        <f t="shared" si="80"/>
        <v>2019</v>
      </c>
      <c r="C2616" s="2" t="str">
        <f t="shared" si="81"/>
        <v>EC101</v>
      </c>
      <c r="D2616" s="2">
        <v>998</v>
      </c>
      <c r="F2616" s="1764"/>
      <c r="G2616" s="1764"/>
      <c r="H2616" s="1764"/>
      <c r="I2616" s="1764"/>
      <c r="J2616" s="1764"/>
      <c r="K2616" s="1764"/>
      <c r="L2616" s="1766"/>
      <c r="M2616" s="1766"/>
      <c r="N2616" s="1766"/>
      <c r="O2616" s="1766"/>
      <c r="P2616" s="1766"/>
      <c r="W2616" t="s">
        <v>2089</v>
      </c>
    </row>
    <row r="2617" spans="1:23" ht="13.15" customHeight="1" x14ac:dyDescent="0.2">
      <c r="A2617" s="2" t="s">
        <v>2242</v>
      </c>
      <c r="B2617" s="2">
        <f t="shared" si="80"/>
        <v>2019</v>
      </c>
      <c r="C2617" s="2" t="str">
        <f t="shared" si="81"/>
        <v>EC101</v>
      </c>
      <c r="D2617" s="2">
        <v>999</v>
      </c>
      <c r="F2617" s="1764"/>
      <c r="G2617" s="1764"/>
      <c r="H2617" s="1764"/>
      <c r="I2617" s="1764"/>
      <c r="J2617" s="1764"/>
      <c r="K2617" s="1764"/>
      <c r="L2617" s="1766"/>
      <c r="M2617" s="1766"/>
      <c r="N2617" s="1766"/>
      <c r="O2617" s="1766"/>
      <c r="P2617" s="1766"/>
      <c r="W2617" t="s">
        <v>2089</v>
      </c>
    </row>
    <row r="2618" spans="1:23" ht="13.15" customHeight="1" x14ac:dyDescent="0.2">
      <c r="A2618" s="2" t="s">
        <v>2242</v>
      </c>
      <c r="B2618" s="2">
        <f t="shared" si="80"/>
        <v>2019</v>
      </c>
      <c r="C2618" s="2" t="str">
        <f t="shared" si="81"/>
        <v>EC101</v>
      </c>
      <c r="D2618" s="2">
        <v>1000</v>
      </c>
      <c r="F2618" s="1764"/>
      <c r="G2618" s="1764"/>
      <c r="H2618" s="1764"/>
      <c r="I2618" s="1764"/>
      <c r="J2618" s="1764"/>
      <c r="K2618" s="1764"/>
      <c r="L2618" s="1766"/>
      <c r="M2618" s="1766"/>
      <c r="N2618" s="1766"/>
      <c r="O2618" s="1766"/>
      <c r="P2618" s="1766"/>
      <c r="W2618" t="s">
        <v>2089</v>
      </c>
    </row>
    <row r="2619" spans="1:23" ht="13.15" customHeight="1" x14ac:dyDescent="0.2">
      <c r="A2619" s="2" t="s">
        <v>2243</v>
      </c>
      <c r="B2619" s="2">
        <f t="shared" si="80"/>
        <v>2019</v>
      </c>
      <c r="C2619" s="2" t="str">
        <f t="shared" si="81"/>
        <v>EC101</v>
      </c>
      <c r="D2619" s="2">
        <v>1</v>
      </c>
      <c r="F2619" s="1774"/>
      <c r="G2619" s="1774"/>
      <c r="H2619" s="1774"/>
      <c r="I2619" s="1774"/>
      <c r="J2619" s="1774"/>
      <c r="K2619" s="1774"/>
      <c r="L2619" s="1774"/>
      <c r="M2619" s="1774"/>
      <c r="N2619" s="1774"/>
      <c r="O2619" s="1774"/>
      <c r="P2619" s="1774"/>
      <c r="Q2619" s="1774"/>
      <c r="R2619" s="1774"/>
      <c r="S2619" s="1774"/>
      <c r="T2619" s="1774"/>
      <c r="U2619" s="1774"/>
      <c r="V2619" s="1774"/>
      <c r="W2619" t="s">
        <v>2089</v>
      </c>
    </row>
    <row r="2620" spans="1:23" ht="13.15" customHeight="1" x14ac:dyDescent="0.2">
      <c r="A2620" s="2" t="s">
        <v>2243</v>
      </c>
      <c r="B2620" s="2">
        <f t="shared" si="80"/>
        <v>2019</v>
      </c>
      <c r="C2620" s="2" t="str">
        <f t="shared" si="81"/>
        <v>EC101</v>
      </c>
      <c r="D2620" s="2">
        <v>2</v>
      </c>
      <c r="F2620" s="1774"/>
      <c r="G2620" s="1774"/>
      <c r="H2620" s="1774"/>
      <c r="I2620" s="1774"/>
      <c r="J2620" s="1774"/>
      <c r="K2620" s="1774"/>
      <c r="L2620" s="1774"/>
      <c r="M2620" s="1774"/>
      <c r="N2620" s="1774"/>
      <c r="O2620" s="1774"/>
      <c r="P2620" s="1774"/>
      <c r="Q2620" s="1774"/>
      <c r="R2620" s="1774"/>
      <c r="S2620" s="1774"/>
      <c r="T2620" s="1774"/>
      <c r="U2620" s="1774"/>
      <c r="V2620" s="1774"/>
      <c r="W2620" t="s">
        <v>2089</v>
      </c>
    </row>
    <row r="2621" spans="1:23" ht="13.15" customHeight="1" x14ac:dyDescent="0.2">
      <c r="A2621" s="2" t="s">
        <v>2243</v>
      </c>
      <c r="B2621" s="2">
        <f t="shared" si="80"/>
        <v>2019</v>
      </c>
      <c r="C2621" s="2" t="str">
        <f t="shared" si="81"/>
        <v>EC101</v>
      </c>
      <c r="D2621" s="2">
        <v>3</v>
      </c>
      <c r="F2621" s="1774"/>
      <c r="G2621" s="1774"/>
      <c r="H2621" s="1774"/>
      <c r="I2621" s="1774"/>
      <c r="J2621" s="1774"/>
      <c r="K2621" s="1774"/>
      <c r="L2621" s="1774"/>
      <c r="M2621" s="1774"/>
      <c r="N2621" s="1774"/>
      <c r="O2621" s="1774"/>
      <c r="P2621" s="1774"/>
      <c r="Q2621" s="1774"/>
      <c r="R2621" s="1774"/>
      <c r="S2621" s="1774"/>
      <c r="T2621" s="1774"/>
      <c r="U2621" s="1774"/>
      <c r="V2621" s="1774"/>
      <c r="W2621" t="s">
        <v>2089</v>
      </c>
    </row>
    <row r="2622" spans="1:23" ht="13.15" customHeight="1" x14ac:dyDescent="0.2">
      <c r="A2622" s="2" t="s">
        <v>2243</v>
      </c>
      <c r="B2622" s="2">
        <f t="shared" si="80"/>
        <v>2019</v>
      </c>
      <c r="C2622" s="2" t="str">
        <f t="shared" si="81"/>
        <v>EC101</v>
      </c>
      <c r="D2622" s="2">
        <v>4</v>
      </c>
      <c r="F2622" s="1774"/>
      <c r="G2622" s="1774"/>
      <c r="H2622" s="1774"/>
      <c r="I2622" s="1774"/>
      <c r="J2622" s="1774"/>
      <c r="K2622" s="1774"/>
      <c r="L2622" s="1774"/>
      <c r="M2622" s="1774"/>
      <c r="N2622" s="1774"/>
      <c r="O2622" s="1774"/>
      <c r="P2622" s="1774"/>
      <c r="Q2622" s="1774"/>
      <c r="R2622" s="1774"/>
      <c r="S2622" s="1774"/>
      <c r="T2622" s="1774"/>
      <c r="U2622" s="1774"/>
      <c r="V2622" s="1774"/>
      <c r="W2622" t="s">
        <v>2089</v>
      </c>
    </row>
    <row r="2623" spans="1:23" ht="13.15" customHeight="1" x14ac:dyDescent="0.2">
      <c r="A2623" s="2" t="s">
        <v>2243</v>
      </c>
      <c r="B2623" s="2">
        <f t="shared" si="80"/>
        <v>2019</v>
      </c>
      <c r="C2623" s="2" t="str">
        <f t="shared" si="81"/>
        <v>EC101</v>
      </c>
      <c r="D2623" s="2">
        <v>5</v>
      </c>
      <c r="F2623" s="1774"/>
      <c r="G2623" s="1774"/>
      <c r="H2623" s="1774"/>
      <c r="I2623" s="1774"/>
      <c r="J2623" s="1774"/>
      <c r="K2623" s="1774"/>
      <c r="L2623" s="1774"/>
      <c r="M2623" s="1774"/>
      <c r="N2623" s="1774"/>
      <c r="O2623" s="1774"/>
      <c r="P2623" s="1774"/>
      <c r="Q2623" s="1774"/>
      <c r="R2623" s="1774"/>
      <c r="S2623" s="1774"/>
      <c r="T2623" s="1774"/>
      <c r="U2623" s="1774"/>
      <c r="V2623" s="1774"/>
      <c r="W2623" t="s">
        <v>2089</v>
      </c>
    </row>
    <row r="2624" spans="1:23" ht="13.15" customHeight="1" x14ac:dyDescent="0.2">
      <c r="A2624" s="2" t="s">
        <v>2243</v>
      </c>
      <c r="B2624" s="2">
        <f t="shared" si="80"/>
        <v>2019</v>
      </c>
      <c r="C2624" s="2" t="str">
        <f t="shared" si="81"/>
        <v>EC101</v>
      </c>
      <c r="D2624" s="2">
        <v>6</v>
      </c>
      <c r="F2624" s="1774"/>
      <c r="G2624" s="1774"/>
      <c r="H2624" s="1774"/>
      <c r="I2624" s="1774"/>
      <c r="J2624" s="1774"/>
      <c r="K2624" s="1774"/>
      <c r="L2624" s="1774"/>
      <c r="M2624" s="1774"/>
      <c r="N2624" s="1774"/>
      <c r="O2624" s="1774"/>
      <c r="P2624" s="1774"/>
      <c r="Q2624" s="1774"/>
      <c r="R2624" s="1774"/>
      <c r="S2624" s="1774"/>
      <c r="T2624" s="1774"/>
      <c r="U2624" s="1774"/>
      <c r="V2624" s="1774"/>
      <c r="W2624" t="s">
        <v>2089</v>
      </c>
    </row>
    <row r="2625" spans="1:23" ht="13.15" customHeight="1" x14ac:dyDescent="0.2">
      <c r="A2625" s="2" t="s">
        <v>2243</v>
      </c>
      <c r="B2625" s="2">
        <f t="shared" si="80"/>
        <v>2019</v>
      </c>
      <c r="C2625" s="2" t="str">
        <f t="shared" si="81"/>
        <v>EC101</v>
      </c>
      <c r="D2625" s="2">
        <v>7</v>
      </c>
      <c r="F2625" s="1774"/>
      <c r="G2625" s="1774"/>
      <c r="H2625" s="1774"/>
      <c r="I2625" s="1774"/>
      <c r="J2625" s="1774"/>
      <c r="K2625" s="1774"/>
      <c r="L2625" s="1774"/>
      <c r="M2625" s="1774"/>
      <c r="N2625" s="1774"/>
      <c r="O2625" s="1774"/>
      <c r="P2625" s="1774"/>
      <c r="Q2625" s="1774"/>
      <c r="R2625" s="1774"/>
      <c r="S2625" s="1774"/>
      <c r="T2625" s="1774"/>
      <c r="U2625" s="1774"/>
      <c r="V2625" s="1774"/>
      <c r="W2625" t="s">
        <v>2089</v>
      </c>
    </row>
    <row r="2626" spans="1:23" ht="13.15" customHeight="1" x14ac:dyDescent="0.2">
      <c r="A2626" s="2" t="s">
        <v>2243</v>
      </c>
      <c r="B2626" s="2">
        <f t="shared" ref="B2626:B2689" si="82">+MTREF</f>
        <v>2019</v>
      </c>
      <c r="C2626" s="2" t="str">
        <f t="shared" ref="C2626:C2689" si="83">LEFT(muni,(FIND(" ",muni,1)-1))</f>
        <v>EC101</v>
      </c>
      <c r="D2626" s="2">
        <v>8</v>
      </c>
      <c r="F2626" s="1774"/>
      <c r="G2626" s="1774"/>
      <c r="H2626" s="1774"/>
      <c r="I2626" s="1774"/>
      <c r="J2626" s="1774"/>
      <c r="K2626" s="1774"/>
      <c r="L2626" s="1774"/>
      <c r="M2626" s="1774"/>
      <c r="N2626" s="1774"/>
      <c r="O2626" s="1774"/>
      <c r="P2626" s="1774"/>
      <c r="Q2626" s="1774"/>
      <c r="R2626" s="1774"/>
      <c r="S2626" s="1774"/>
      <c r="T2626" s="1774"/>
      <c r="U2626" s="1774"/>
      <c r="V2626" s="1774"/>
      <c r="W2626" t="s">
        <v>2089</v>
      </c>
    </row>
    <row r="2627" spans="1:23" ht="13.15" customHeight="1" x14ac:dyDescent="0.2">
      <c r="A2627" s="2" t="s">
        <v>2243</v>
      </c>
      <c r="B2627" s="2">
        <f t="shared" si="82"/>
        <v>2019</v>
      </c>
      <c r="C2627" s="2" t="str">
        <f t="shared" si="83"/>
        <v>EC101</v>
      </c>
      <c r="D2627" s="2">
        <v>9</v>
      </c>
      <c r="F2627" s="1774"/>
      <c r="G2627" s="1774"/>
      <c r="H2627" s="1774"/>
      <c r="I2627" s="1774"/>
      <c r="J2627" s="1774"/>
      <c r="K2627" s="1774"/>
      <c r="L2627" s="1774"/>
      <c r="M2627" s="1774"/>
      <c r="N2627" s="1774"/>
      <c r="O2627" s="1774"/>
      <c r="P2627" s="1774"/>
      <c r="Q2627" s="1774"/>
      <c r="R2627" s="1774"/>
      <c r="S2627" s="1774"/>
      <c r="T2627" s="1774"/>
      <c r="U2627" s="1774"/>
      <c r="V2627" s="1774"/>
      <c r="W2627" t="s">
        <v>2089</v>
      </c>
    </row>
    <row r="2628" spans="1:23" ht="13.15" customHeight="1" x14ac:dyDescent="0.2">
      <c r="A2628" s="2" t="s">
        <v>2243</v>
      </c>
      <c r="B2628" s="2">
        <f t="shared" si="82"/>
        <v>2019</v>
      </c>
      <c r="C2628" s="2" t="str">
        <f t="shared" si="83"/>
        <v>EC101</v>
      </c>
      <c r="D2628" s="2">
        <v>10</v>
      </c>
      <c r="F2628" s="1774"/>
      <c r="G2628" s="1774"/>
      <c r="H2628" s="1774"/>
      <c r="I2628" s="1774"/>
      <c r="J2628" s="1774"/>
      <c r="K2628" s="1774"/>
      <c r="L2628" s="1774"/>
      <c r="M2628" s="1774"/>
      <c r="N2628" s="1774"/>
      <c r="O2628" s="1774"/>
      <c r="P2628" s="1774"/>
      <c r="Q2628" s="1774"/>
      <c r="R2628" s="1774"/>
      <c r="S2628" s="1774"/>
      <c r="T2628" s="1774"/>
      <c r="U2628" s="1774"/>
      <c r="V2628" s="1774"/>
      <c r="W2628" t="s">
        <v>2089</v>
      </c>
    </row>
    <row r="2629" spans="1:23" ht="13.15" customHeight="1" x14ac:dyDescent="0.2">
      <c r="A2629" s="2" t="s">
        <v>2243</v>
      </c>
      <c r="B2629" s="2">
        <f t="shared" si="82"/>
        <v>2019</v>
      </c>
      <c r="C2629" s="2" t="str">
        <f t="shared" si="83"/>
        <v>EC101</v>
      </c>
      <c r="D2629" s="2">
        <v>11</v>
      </c>
      <c r="F2629" s="1774"/>
      <c r="G2629" s="1774"/>
      <c r="H2629" s="1774"/>
      <c r="I2629" s="1774"/>
      <c r="J2629" s="1774"/>
      <c r="K2629" s="1774"/>
      <c r="L2629" s="1774"/>
      <c r="M2629" s="1774"/>
      <c r="N2629" s="1774"/>
      <c r="O2629" s="1774"/>
      <c r="P2629" s="1774"/>
      <c r="Q2629" s="1774"/>
      <c r="R2629" s="1774"/>
      <c r="S2629" s="1774"/>
      <c r="T2629" s="1774"/>
      <c r="U2629" s="1774"/>
      <c r="V2629" s="1774"/>
      <c r="W2629" t="s">
        <v>2089</v>
      </c>
    </row>
    <row r="2630" spans="1:23" ht="13.15" customHeight="1" x14ac:dyDescent="0.2">
      <c r="A2630" s="2" t="s">
        <v>2243</v>
      </c>
      <c r="B2630" s="2">
        <f t="shared" si="82"/>
        <v>2019</v>
      </c>
      <c r="C2630" s="2" t="str">
        <f t="shared" si="83"/>
        <v>EC101</v>
      </c>
      <c r="D2630" s="2">
        <v>12</v>
      </c>
      <c r="F2630" s="1774"/>
      <c r="G2630" s="1774"/>
      <c r="H2630" s="1774"/>
      <c r="I2630" s="1774"/>
      <c r="J2630" s="1774"/>
      <c r="K2630" s="1774"/>
      <c r="L2630" s="1774"/>
      <c r="M2630" s="1774"/>
      <c r="N2630" s="1774"/>
      <c r="O2630" s="1774"/>
      <c r="P2630" s="1774"/>
      <c r="Q2630" s="1774"/>
      <c r="R2630" s="1774"/>
      <c r="S2630" s="1774"/>
      <c r="T2630" s="1774"/>
      <c r="U2630" s="1774"/>
      <c r="V2630" s="1774"/>
      <c r="W2630" t="s">
        <v>2089</v>
      </c>
    </row>
    <row r="2631" spans="1:23" ht="13.15" customHeight="1" x14ac:dyDescent="0.2">
      <c r="A2631" s="2" t="s">
        <v>2243</v>
      </c>
      <c r="B2631" s="2">
        <f t="shared" si="82"/>
        <v>2019</v>
      </c>
      <c r="C2631" s="2" t="str">
        <f t="shared" si="83"/>
        <v>EC101</v>
      </c>
      <c r="D2631" s="2">
        <v>13</v>
      </c>
      <c r="F2631" s="1774"/>
      <c r="G2631" s="1774"/>
      <c r="H2631" s="1774"/>
      <c r="I2631" s="1774"/>
      <c r="J2631" s="1774"/>
      <c r="K2631" s="1774"/>
      <c r="L2631" s="1774"/>
      <c r="M2631" s="1774"/>
      <c r="N2631" s="1774"/>
      <c r="O2631" s="1774"/>
      <c r="P2631" s="1774"/>
      <c r="Q2631" s="1774"/>
      <c r="R2631" s="1774"/>
      <c r="S2631" s="1774"/>
      <c r="T2631" s="1774"/>
      <c r="U2631" s="1774"/>
      <c r="V2631" s="1774"/>
      <c r="W2631" t="s">
        <v>2089</v>
      </c>
    </row>
    <row r="2632" spans="1:23" ht="13.15" customHeight="1" x14ac:dyDescent="0.2">
      <c r="A2632" s="2" t="s">
        <v>2243</v>
      </c>
      <c r="B2632" s="2">
        <f t="shared" si="82"/>
        <v>2019</v>
      </c>
      <c r="C2632" s="2" t="str">
        <f t="shared" si="83"/>
        <v>EC101</v>
      </c>
      <c r="D2632" s="2">
        <v>14</v>
      </c>
      <c r="F2632" s="1774"/>
      <c r="G2632" s="1774"/>
      <c r="H2632" s="1774"/>
      <c r="I2632" s="1774"/>
      <c r="J2632" s="1774"/>
      <c r="K2632" s="1774"/>
      <c r="L2632" s="1774"/>
      <c r="M2632" s="1774"/>
      <c r="N2632" s="1774"/>
      <c r="O2632" s="1774"/>
      <c r="P2632" s="1774"/>
      <c r="Q2632" s="1774"/>
      <c r="R2632" s="1774"/>
      <c r="S2632" s="1774"/>
      <c r="T2632" s="1774"/>
      <c r="U2632" s="1774"/>
      <c r="V2632" s="1774"/>
      <c r="W2632" t="s">
        <v>2089</v>
      </c>
    </row>
    <row r="2633" spans="1:23" ht="13.15" customHeight="1" x14ac:dyDescent="0.2">
      <c r="A2633" s="2" t="s">
        <v>2243</v>
      </c>
      <c r="B2633" s="2">
        <f t="shared" si="82"/>
        <v>2019</v>
      </c>
      <c r="C2633" s="2" t="str">
        <f t="shared" si="83"/>
        <v>EC101</v>
      </c>
      <c r="D2633" s="2">
        <v>15</v>
      </c>
      <c r="F2633" s="1774"/>
      <c r="G2633" s="1774"/>
      <c r="H2633" s="1774"/>
      <c r="I2633" s="1774"/>
      <c r="J2633" s="1774"/>
      <c r="K2633" s="1774"/>
      <c r="L2633" s="1774"/>
      <c r="M2633" s="1774"/>
      <c r="N2633" s="1774"/>
      <c r="O2633" s="1774"/>
      <c r="P2633" s="1774"/>
      <c r="Q2633" s="1774"/>
      <c r="R2633" s="1774"/>
      <c r="S2633" s="1774"/>
      <c r="T2633" s="1774"/>
      <c r="U2633" s="1774"/>
      <c r="V2633" s="1774"/>
      <c r="W2633" t="s">
        <v>2089</v>
      </c>
    </row>
    <row r="2634" spans="1:23" ht="13.15" customHeight="1" x14ac:dyDescent="0.2">
      <c r="A2634" s="2" t="s">
        <v>2243</v>
      </c>
      <c r="B2634" s="2">
        <f t="shared" si="82"/>
        <v>2019</v>
      </c>
      <c r="C2634" s="2" t="str">
        <f t="shared" si="83"/>
        <v>EC101</v>
      </c>
      <c r="D2634" s="2">
        <v>16</v>
      </c>
      <c r="F2634" s="1774"/>
      <c r="G2634" s="1774"/>
      <c r="H2634" s="1774"/>
      <c r="I2634" s="1774"/>
      <c r="J2634" s="1774"/>
      <c r="K2634" s="1774"/>
      <c r="L2634" s="1774"/>
      <c r="M2634" s="1774"/>
      <c r="N2634" s="1774"/>
      <c r="O2634" s="1774"/>
      <c r="P2634" s="1774"/>
      <c r="Q2634" s="1774"/>
      <c r="R2634" s="1774"/>
      <c r="S2634" s="1774"/>
      <c r="T2634" s="1774"/>
      <c r="U2634" s="1774"/>
      <c r="V2634" s="1774"/>
      <c r="W2634" t="s">
        <v>2089</v>
      </c>
    </row>
    <row r="2635" spans="1:23" ht="13.15" customHeight="1" x14ac:dyDescent="0.2">
      <c r="A2635" s="2" t="s">
        <v>2243</v>
      </c>
      <c r="B2635" s="2">
        <f t="shared" si="82"/>
        <v>2019</v>
      </c>
      <c r="C2635" s="2" t="str">
        <f t="shared" si="83"/>
        <v>EC101</v>
      </c>
      <c r="D2635" s="2">
        <v>17</v>
      </c>
      <c r="F2635" s="1774"/>
      <c r="G2635" s="1774"/>
      <c r="H2635" s="1774"/>
      <c r="I2635" s="1774"/>
      <c r="J2635" s="1774"/>
      <c r="K2635" s="1774"/>
      <c r="L2635" s="1774"/>
      <c r="M2635" s="1774"/>
      <c r="N2635" s="1774"/>
      <c r="O2635" s="1774"/>
      <c r="P2635" s="1774"/>
      <c r="Q2635" s="1774"/>
      <c r="R2635" s="1774"/>
      <c r="S2635" s="1774"/>
      <c r="T2635" s="1774"/>
      <c r="U2635" s="1774"/>
      <c r="V2635" s="1774"/>
      <c r="W2635" t="s">
        <v>2089</v>
      </c>
    </row>
    <row r="2636" spans="1:23" ht="13.15" customHeight="1" x14ac:dyDescent="0.2">
      <c r="A2636" s="2" t="s">
        <v>2243</v>
      </c>
      <c r="B2636" s="2">
        <f t="shared" si="82"/>
        <v>2019</v>
      </c>
      <c r="C2636" s="2" t="str">
        <f t="shared" si="83"/>
        <v>EC101</v>
      </c>
      <c r="D2636" s="2">
        <v>18</v>
      </c>
      <c r="F2636" s="1774"/>
      <c r="G2636" s="1774"/>
      <c r="H2636" s="1774"/>
      <c r="I2636" s="1774"/>
      <c r="J2636" s="1774"/>
      <c r="K2636" s="1774"/>
      <c r="L2636" s="1774"/>
      <c r="M2636" s="1774"/>
      <c r="N2636" s="1774"/>
      <c r="O2636" s="1774"/>
      <c r="P2636" s="1774"/>
      <c r="Q2636" s="1774"/>
      <c r="R2636" s="1774"/>
      <c r="S2636" s="1774"/>
      <c r="T2636" s="1774"/>
      <c r="U2636" s="1774"/>
      <c r="V2636" s="1774"/>
      <c r="W2636" t="s">
        <v>2089</v>
      </c>
    </row>
    <row r="2637" spans="1:23" ht="13.15" customHeight="1" x14ac:dyDescent="0.2">
      <c r="A2637" s="2" t="s">
        <v>2243</v>
      </c>
      <c r="B2637" s="2">
        <f t="shared" si="82"/>
        <v>2019</v>
      </c>
      <c r="C2637" s="2" t="str">
        <f t="shared" si="83"/>
        <v>EC101</v>
      </c>
      <c r="D2637" s="2">
        <v>19</v>
      </c>
      <c r="F2637" s="1774"/>
      <c r="G2637" s="1774"/>
      <c r="H2637" s="1774"/>
      <c r="I2637" s="1774"/>
      <c r="J2637" s="1774"/>
      <c r="K2637" s="1774"/>
      <c r="L2637" s="1774"/>
      <c r="M2637" s="1774"/>
      <c r="N2637" s="1774"/>
      <c r="O2637" s="1774"/>
      <c r="P2637" s="1774"/>
      <c r="Q2637" s="1774"/>
      <c r="R2637" s="1774"/>
      <c r="S2637" s="1774"/>
      <c r="T2637" s="1774"/>
      <c r="U2637" s="1774"/>
      <c r="V2637" s="1774"/>
      <c r="W2637" t="s">
        <v>2089</v>
      </c>
    </row>
    <row r="2638" spans="1:23" ht="13.15" customHeight="1" x14ac:dyDescent="0.2">
      <c r="A2638" s="2" t="s">
        <v>2243</v>
      </c>
      <c r="B2638" s="2">
        <f t="shared" si="82"/>
        <v>2019</v>
      </c>
      <c r="C2638" s="2" t="str">
        <f t="shared" si="83"/>
        <v>EC101</v>
      </c>
      <c r="D2638" s="2">
        <v>20</v>
      </c>
      <c r="F2638" s="1774"/>
      <c r="G2638" s="1774"/>
      <c r="H2638" s="1774"/>
      <c r="I2638" s="1774"/>
      <c r="J2638" s="1774"/>
      <c r="K2638" s="1774"/>
      <c r="L2638" s="1774"/>
      <c r="M2638" s="1774"/>
      <c r="N2638" s="1774"/>
      <c r="O2638" s="1774"/>
      <c r="P2638" s="1774"/>
      <c r="Q2638" s="1774"/>
      <c r="R2638" s="1774"/>
      <c r="S2638" s="1774"/>
      <c r="T2638" s="1774"/>
      <c r="U2638" s="1774"/>
      <c r="V2638" s="1774"/>
      <c r="W2638" t="s">
        <v>2089</v>
      </c>
    </row>
    <row r="2639" spans="1:23" ht="13.15" customHeight="1" x14ac:dyDescent="0.2">
      <c r="A2639" s="2" t="s">
        <v>2243</v>
      </c>
      <c r="B2639" s="2">
        <f t="shared" si="82"/>
        <v>2019</v>
      </c>
      <c r="C2639" s="2" t="str">
        <f t="shared" si="83"/>
        <v>EC101</v>
      </c>
      <c r="D2639" s="2">
        <v>21</v>
      </c>
      <c r="F2639" s="1774"/>
      <c r="G2639" s="1774"/>
      <c r="H2639" s="1774"/>
      <c r="I2639" s="1774"/>
      <c r="J2639" s="1774"/>
      <c r="K2639" s="1774"/>
      <c r="L2639" s="1774"/>
      <c r="M2639" s="1774"/>
      <c r="N2639" s="1774"/>
      <c r="O2639" s="1774"/>
      <c r="P2639" s="1774"/>
      <c r="Q2639" s="1774"/>
      <c r="R2639" s="1774"/>
      <c r="S2639" s="1774"/>
      <c r="T2639" s="1774"/>
      <c r="U2639" s="1774"/>
      <c r="V2639" s="1774"/>
      <c r="W2639" t="s">
        <v>2089</v>
      </c>
    </row>
    <row r="2640" spans="1:23" ht="13.15" customHeight="1" x14ac:dyDescent="0.2">
      <c r="A2640" s="2" t="s">
        <v>2243</v>
      </c>
      <c r="B2640" s="2">
        <f t="shared" si="82"/>
        <v>2019</v>
      </c>
      <c r="C2640" s="2" t="str">
        <f t="shared" si="83"/>
        <v>EC101</v>
      </c>
      <c r="D2640" s="2">
        <v>22</v>
      </c>
      <c r="F2640" s="1774"/>
      <c r="G2640" s="1774"/>
      <c r="H2640" s="1774"/>
      <c r="I2640" s="1774"/>
      <c r="J2640" s="1774"/>
      <c r="K2640" s="1774"/>
      <c r="L2640" s="1774"/>
      <c r="M2640" s="1774"/>
      <c r="N2640" s="1774"/>
      <c r="O2640" s="1774"/>
      <c r="P2640" s="1774"/>
      <c r="Q2640" s="1774"/>
      <c r="R2640" s="1774"/>
      <c r="S2640" s="1774"/>
      <c r="T2640" s="1774"/>
      <c r="U2640" s="1774"/>
      <c r="V2640" s="1774"/>
      <c r="W2640" t="s">
        <v>2089</v>
      </c>
    </row>
    <row r="2641" spans="1:23" ht="13.15" customHeight="1" x14ac:dyDescent="0.2">
      <c r="A2641" s="2" t="s">
        <v>2243</v>
      </c>
      <c r="B2641" s="2">
        <f t="shared" si="82"/>
        <v>2019</v>
      </c>
      <c r="C2641" s="2" t="str">
        <f t="shared" si="83"/>
        <v>EC101</v>
      </c>
      <c r="D2641" s="2">
        <v>23</v>
      </c>
      <c r="F2641" s="1774"/>
      <c r="G2641" s="1774"/>
      <c r="H2641" s="1774"/>
      <c r="I2641" s="1774"/>
      <c r="J2641" s="1774"/>
      <c r="K2641" s="1774"/>
      <c r="L2641" s="1774"/>
      <c r="M2641" s="1774"/>
      <c r="N2641" s="1774"/>
      <c r="O2641" s="1774"/>
      <c r="P2641" s="1774"/>
      <c r="Q2641" s="1774"/>
      <c r="R2641" s="1774"/>
      <c r="S2641" s="1774"/>
      <c r="T2641" s="1774"/>
      <c r="U2641" s="1774"/>
      <c r="V2641" s="1774"/>
      <c r="W2641" t="s">
        <v>2089</v>
      </c>
    </row>
    <row r="2642" spans="1:23" ht="13.15" customHeight="1" x14ac:dyDescent="0.2">
      <c r="A2642" s="2" t="s">
        <v>2243</v>
      </c>
      <c r="B2642" s="2">
        <f t="shared" si="82"/>
        <v>2019</v>
      </c>
      <c r="C2642" s="2" t="str">
        <f t="shared" si="83"/>
        <v>EC101</v>
      </c>
      <c r="D2642" s="2">
        <v>24</v>
      </c>
      <c r="F2642" s="1774"/>
      <c r="G2642" s="1774"/>
      <c r="H2642" s="1774"/>
      <c r="I2642" s="1774"/>
      <c r="J2642" s="1774"/>
      <c r="K2642" s="1774"/>
      <c r="L2642" s="1774"/>
      <c r="M2642" s="1774"/>
      <c r="N2642" s="1774"/>
      <c r="O2642" s="1774"/>
      <c r="P2642" s="1774"/>
      <c r="Q2642" s="1774"/>
      <c r="R2642" s="1774"/>
      <c r="S2642" s="1774"/>
      <c r="T2642" s="1774"/>
      <c r="U2642" s="1774"/>
      <c r="V2642" s="1774"/>
      <c r="W2642" t="s">
        <v>2089</v>
      </c>
    </row>
    <row r="2643" spans="1:23" ht="13.15" customHeight="1" x14ac:dyDescent="0.2">
      <c r="A2643" s="2" t="s">
        <v>2243</v>
      </c>
      <c r="B2643" s="2">
        <f t="shared" si="82"/>
        <v>2019</v>
      </c>
      <c r="C2643" s="2" t="str">
        <f t="shared" si="83"/>
        <v>EC101</v>
      </c>
      <c r="D2643" s="2">
        <v>25</v>
      </c>
      <c r="F2643" s="1774"/>
      <c r="G2643" s="1774"/>
      <c r="H2643" s="1774"/>
      <c r="I2643" s="1774"/>
      <c r="J2643" s="1774"/>
      <c r="K2643" s="1774"/>
      <c r="L2643" s="1774"/>
      <c r="M2643" s="1774"/>
      <c r="N2643" s="1774"/>
      <c r="O2643" s="1774"/>
      <c r="P2643" s="1774"/>
      <c r="Q2643" s="1774"/>
      <c r="R2643" s="1774"/>
      <c r="S2643" s="1774"/>
      <c r="T2643" s="1774"/>
      <c r="U2643" s="1774"/>
      <c r="V2643" s="1774"/>
      <c r="W2643" t="s">
        <v>2089</v>
      </c>
    </row>
    <row r="2644" spans="1:23" ht="13.15" customHeight="1" x14ac:dyDescent="0.2">
      <c r="A2644" s="2" t="s">
        <v>2243</v>
      </c>
      <c r="B2644" s="2">
        <f t="shared" si="82"/>
        <v>2019</v>
      </c>
      <c r="C2644" s="2" t="str">
        <f t="shared" si="83"/>
        <v>EC101</v>
      </c>
      <c r="D2644" s="2">
        <v>26</v>
      </c>
      <c r="F2644" s="1774"/>
      <c r="G2644" s="1774"/>
      <c r="H2644" s="1774"/>
      <c r="I2644" s="1774"/>
      <c r="J2644" s="1774"/>
      <c r="K2644" s="1774"/>
      <c r="L2644" s="1774"/>
      <c r="M2644" s="1774"/>
      <c r="N2644" s="1774"/>
      <c r="O2644" s="1774"/>
      <c r="P2644" s="1774"/>
      <c r="Q2644" s="1774"/>
      <c r="R2644" s="1774"/>
      <c r="S2644" s="1774"/>
      <c r="T2644" s="1774"/>
      <c r="U2644" s="1774"/>
      <c r="V2644" s="1774"/>
      <c r="W2644" t="s">
        <v>2089</v>
      </c>
    </row>
    <row r="2645" spans="1:23" ht="13.15" customHeight="1" x14ac:dyDescent="0.2">
      <c r="A2645" s="2" t="s">
        <v>2243</v>
      </c>
      <c r="B2645" s="2">
        <f t="shared" si="82"/>
        <v>2019</v>
      </c>
      <c r="C2645" s="2" t="str">
        <f t="shared" si="83"/>
        <v>EC101</v>
      </c>
      <c r="D2645" s="2">
        <v>27</v>
      </c>
      <c r="F2645" s="1774"/>
      <c r="G2645" s="1774"/>
      <c r="H2645" s="1774"/>
      <c r="I2645" s="1774"/>
      <c r="J2645" s="1774"/>
      <c r="K2645" s="1774"/>
      <c r="L2645" s="1774"/>
      <c r="M2645" s="1774"/>
      <c r="N2645" s="1774"/>
      <c r="O2645" s="1774"/>
      <c r="P2645" s="1774"/>
      <c r="Q2645" s="1774"/>
      <c r="R2645" s="1774"/>
      <c r="S2645" s="1774"/>
      <c r="T2645" s="1774"/>
      <c r="U2645" s="1774"/>
      <c r="V2645" s="1774"/>
      <c r="W2645" t="s">
        <v>2089</v>
      </c>
    </row>
    <row r="2646" spans="1:23" ht="13.15" customHeight="1" x14ac:dyDescent="0.2">
      <c r="A2646" s="2" t="s">
        <v>2243</v>
      </c>
      <c r="B2646" s="2">
        <f t="shared" si="82"/>
        <v>2019</v>
      </c>
      <c r="C2646" s="2" t="str">
        <f t="shared" si="83"/>
        <v>EC101</v>
      </c>
      <c r="D2646" s="2">
        <v>28</v>
      </c>
      <c r="F2646" s="1774"/>
      <c r="G2646" s="1774"/>
      <c r="H2646" s="1774"/>
      <c r="I2646" s="1774"/>
      <c r="J2646" s="1774"/>
      <c r="K2646" s="1774"/>
      <c r="L2646" s="1774"/>
      <c r="M2646" s="1774"/>
      <c r="N2646" s="1774"/>
      <c r="O2646" s="1774"/>
      <c r="P2646" s="1774"/>
      <c r="Q2646" s="1774"/>
      <c r="R2646" s="1774"/>
      <c r="S2646" s="1774"/>
      <c r="T2646" s="1774"/>
      <c r="U2646" s="1774"/>
      <c r="V2646" s="1774"/>
      <c r="W2646" t="s">
        <v>2089</v>
      </c>
    </row>
    <row r="2647" spans="1:23" ht="13.15" customHeight="1" x14ac:dyDescent="0.2">
      <c r="A2647" s="2" t="s">
        <v>2243</v>
      </c>
      <c r="B2647" s="2">
        <f t="shared" si="82"/>
        <v>2019</v>
      </c>
      <c r="C2647" s="2" t="str">
        <f t="shared" si="83"/>
        <v>EC101</v>
      </c>
      <c r="D2647" s="2">
        <v>29</v>
      </c>
      <c r="F2647" s="1774"/>
      <c r="G2647" s="1774"/>
      <c r="H2647" s="1774"/>
      <c r="I2647" s="1774"/>
      <c r="J2647" s="1774"/>
      <c r="K2647" s="1774"/>
      <c r="L2647" s="1774"/>
      <c r="M2647" s="1774"/>
      <c r="N2647" s="1774"/>
      <c r="O2647" s="1774"/>
      <c r="P2647" s="1774"/>
      <c r="Q2647" s="1774"/>
      <c r="R2647" s="1774"/>
      <c r="S2647" s="1774"/>
      <c r="T2647" s="1774"/>
      <c r="U2647" s="1774"/>
      <c r="V2647" s="1774"/>
      <c r="W2647" t="s">
        <v>2089</v>
      </c>
    </row>
    <row r="2648" spans="1:23" ht="13.15" customHeight="1" x14ac:dyDescent="0.2">
      <c r="A2648" s="2" t="s">
        <v>2243</v>
      </c>
      <c r="B2648" s="2">
        <f t="shared" si="82"/>
        <v>2019</v>
      </c>
      <c r="C2648" s="2" t="str">
        <f t="shared" si="83"/>
        <v>EC101</v>
      </c>
      <c r="D2648" s="2">
        <v>30</v>
      </c>
      <c r="F2648" s="1774"/>
      <c r="G2648" s="1774"/>
      <c r="H2648" s="1774"/>
      <c r="I2648" s="1774"/>
      <c r="J2648" s="1774"/>
      <c r="K2648" s="1774"/>
      <c r="L2648" s="1774"/>
      <c r="M2648" s="1774"/>
      <c r="N2648" s="1774"/>
      <c r="O2648" s="1774"/>
      <c r="P2648" s="1774"/>
      <c r="Q2648" s="1774"/>
      <c r="R2648" s="1774"/>
      <c r="S2648" s="1774"/>
      <c r="T2648" s="1774"/>
      <c r="U2648" s="1774"/>
      <c r="V2648" s="1774"/>
      <c r="W2648" t="s">
        <v>2089</v>
      </c>
    </row>
    <row r="2649" spans="1:23" ht="13.15" customHeight="1" x14ac:dyDescent="0.2">
      <c r="A2649" s="2" t="s">
        <v>2243</v>
      </c>
      <c r="B2649" s="2">
        <f t="shared" si="82"/>
        <v>2019</v>
      </c>
      <c r="C2649" s="2" t="str">
        <f t="shared" si="83"/>
        <v>EC101</v>
      </c>
      <c r="D2649" s="2">
        <v>31</v>
      </c>
      <c r="F2649" s="1774"/>
      <c r="G2649" s="1774"/>
      <c r="H2649" s="1774"/>
      <c r="I2649" s="1774"/>
      <c r="J2649" s="1774"/>
      <c r="K2649" s="1774"/>
      <c r="L2649" s="1774"/>
      <c r="M2649" s="1774"/>
      <c r="N2649" s="1774"/>
      <c r="O2649" s="1774"/>
      <c r="P2649" s="1774"/>
      <c r="Q2649" s="1774"/>
      <c r="R2649" s="1774"/>
      <c r="S2649" s="1774"/>
      <c r="T2649" s="1774"/>
      <c r="U2649" s="1774"/>
      <c r="V2649" s="1774"/>
      <c r="W2649" t="s">
        <v>2089</v>
      </c>
    </row>
    <row r="2650" spans="1:23" ht="13.15" customHeight="1" x14ac:dyDescent="0.2">
      <c r="A2650" s="2" t="s">
        <v>2243</v>
      </c>
      <c r="B2650" s="2">
        <f t="shared" si="82"/>
        <v>2019</v>
      </c>
      <c r="C2650" s="2" t="str">
        <f t="shared" si="83"/>
        <v>EC101</v>
      </c>
      <c r="D2650" s="2">
        <v>32</v>
      </c>
      <c r="F2650" s="1774"/>
      <c r="G2650" s="1774"/>
      <c r="H2650" s="1774"/>
      <c r="I2650" s="1774"/>
      <c r="J2650" s="1774"/>
      <c r="K2650" s="1774"/>
      <c r="L2650" s="1774"/>
      <c r="M2650" s="1774"/>
      <c r="N2650" s="1774"/>
      <c r="O2650" s="1774"/>
      <c r="P2650" s="1774"/>
      <c r="Q2650" s="1774"/>
      <c r="R2650" s="1774"/>
      <c r="S2650" s="1774"/>
      <c r="T2650" s="1774"/>
      <c r="U2650" s="1774"/>
      <c r="V2650" s="1774"/>
      <c r="W2650" t="s">
        <v>2089</v>
      </c>
    </row>
    <row r="2651" spans="1:23" ht="13.15" customHeight="1" x14ac:dyDescent="0.2">
      <c r="A2651" s="2" t="s">
        <v>2243</v>
      </c>
      <c r="B2651" s="2">
        <f t="shared" si="82"/>
        <v>2019</v>
      </c>
      <c r="C2651" s="2" t="str">
        <f t="shared" si="83"/>
        <v>EC101</v>
      </c>
      <c r="D2651" s="2">
        <v>33</v>
      </c>
      <c r="F2651" s="1774"/>
      <c r="G2651" s="1774"/>
      <c r="H2651" s="1774"/>
      <c r="I2651" s="1774"/>
      <c r="J2651" s="1774"/>
      <c r="K2651" s="1774"/>
      <c r="L2651" s="1774"/>
      <c r="M2651" s="1774"/>
      <c r="N2651" s="1774"/>
      <c r="O2651" s="1774"/>
      <c r="P2651" s="1774"/>
      <c r="Q2651" s="1774"/>
      <c r="R2651" s="1774"/>
      <c r="S2651" s="1774"/>
      <c r="T2651" s="1774"/>
      <c r="U2651" s="1774"/>
      <c r="V2651" s="1774"/>
      <c r="W2651" t="s">
        <v>2089</v>
      </c>
    </row>
    <row r="2652" spans="1:23" ht="13.15" customHeight="1" x14ac:dyDescent="0.2">
      <c r="A2652" s="2" t="s">
        <v>2243</v>
      </c>
      <c r="B2652" s="2">
        <f t="shared" si="82"/>
        <v>2019</v>
      </c>
      <c r="C2652" s="2" t="str">
        <f t="shared" si="83"/>
        <v>EC101</v>
      </c>
      <c r="D2652" s="2">
        <v>34</v>
      </c>
      <c r="F2652" s="1774"/>
      <c r="G2652" s="1774"/>
      <c r="H2652" s="1774"/>
      <c r="I2652" s="1774"/>
      <c r="J2652" s="1774"/>
      <c r="K2652" s="1774"/>
      <c r="L2652" s="1774"/>
      <c r="M2652" s="1774"/>
      <c r="N2652" s="1774"/>
      <c r="O2652" s="1774"/>
      <c r="P2652" s="1774"/>
      <c r="Q2652" s="1774"/>
      <c r="R2652" s="1774"/>
      <c r="S2652" s="1774"/>
      <c r="T2652" s="1774"/>
      <c r="U2652" s="1774"/>
      <c r="V2652" s="1774"/>
      <c r="W2652" t="s">
        <v>2089</v>
      </c>
    </row>
    <row r="2653" spans="1:23" ht="13.15" customHeight="1" x14ac:dyDescent="0.2">
      <c r="A2653" s="2" t="s">
        <v>2243</v>
      </c>
      <c r="B2653" s="2">
        <f t="shared" si="82"/>
        <v>2019</v>
      </c>
      <c r="C2653" s="2" t="str">
        <f t="shared" si="83"/>
        <v>EC101</v>
      </c>
      <c r="D2653" s="2">
        <v>35</v>
      </c>
      <c r="F2653" s="1774"/>
      <c r="G2653" s="1774"/>
      <c r="H2653" s="1774"/>
      <c r="I2653" s="1774"/>
      <c r="J2653" s="1774"/>
      <c r="K2653" s="1774"/>
      <c r="L2653" s="1774"/>
      <c r="M2653" s="1774"/>
      <c r="N2653" s="1774"/>
      <c r="O2653" s="1774"/>
      <c r="P2653" s="1774"/>
      <c r="Q2653" s="1774"/>
      <c r="R2653" s="1774"/>
      <c r="S2653" s="1774"/>
      <c r="T2653" s="1774"/>
      <c r="U2653" s="1774"/>
      <c r="V2653" s="1774"/>
      <c r="W2653" t="s">
        <v>2089</v>
      </c>
    </row>
    <row r="2654" spans="1:23" ht="13.15" customHeight="1" x14ac:dyDescent="0.2">
      <c r="A2654" s="2" t="s">
        <v>2243</v>
      </c>
      <c r="B2654" s="2">
        <f t="shared" si="82"/>
        <v>2019</v>
      </c>
      <c r="C2654" s="2" t="str">
        <f t="shared" si="83"/>
        <v>EC101</v>
      </c>
      <c r="D2654" s="2">
        <v>36</v>
      </c>
      <c r="F2654" s="1774"/>
      <c r="G2654" s="1774"/>
      <c r="H2654" s="1774"/>
      <c r="I2654" s="1774"/>
      <c r="J2654" s="1774"/>
      <c r="K2654" s="1774"/>
      <c r="L2654" s="1774"/>
      <c r="M2654" s="1774"/>
      <c r="N2654" s="1774"/>
      <c r="O2654" s="1774"/>
      <c r="P2654" s="1774"/>
      <c r="Q2654" s="1774"/>
      <c r="R2654" s="1774"/>
      <c r="S2654" s="1774"/>
      <c r="T2654" s="1774"/>
      <c r="U2654" s="1774"/>
      <c r="V2654" s="1774"/>
      <c r="W2654" t="s">
        <v>2089</v>
      </c>
    </row>
    <row r="2655" spans="1:23" ht="13.15" customHeight="1" x14ac:dyDescent="0.2">
      <c r="A2655" s="2" t="s">
        <v>2243</v>
      </c>
      <c r="B2655" s="2">
        <f t="shared" si="82"/>
        <v>2019</v>
      </c>
      <c r="C2655" s="2" t="str">
        <f t="shared" si="83"/>
        <v>EC101</v>
      </c>
      <c r="D2655" s="2">
        <v>37</v>
      </c>
      <c r="F2655" s="1774"/>
      <c r="G2655" s="1774"/>
      <c r="H2655" s="1774"/>
      <c r="I2655" s="1774"/>
      <c r="J2655" s="1774"/>
      <c r="K2655" s="1774"/>
      <c r="L2655" s="1774"/>
      <c r="M2655" s="1774"/>
      <c r="N2655" s="1774"/>
      <c r="O2655" s="1774"/>
      <c r="P2655" s="1774"/>
      <c r="Q2655" s="1774"/>
      <c r="R2655" s="1774"/>
      <c r="S2655" s="1774"/>
      <c r="T2655" s="1774"/>
      <c r="U2655" s="1774"/>
      <c r="V2655" s="1774"/>
      <c r="W2655" t="s">
        <v>2089</v>
      </c>
    </row>
    <row r="2656" spans="1:23" ht="13.15" customHeight="1" x14ac:dyDescent="0.2">
      <c r="A2656" s="2" t="s">
        <v>2243</v>
      </c>
      <c r="B2656" s="2">
        <f t="shared" si="82"/>
        <v>2019</v>
      </c>
      <c r="C2656" s="2" t="str">
        <f t="shared" si="83"/>
        <v>EC101</v>
      </c>
      <c r="D2656" s="2">
        <v>38</v>
      </c>
      <c r="F2656" s="1774"/>
      <c r="G2656" s="1774"/>
      <c r="H2656" s="1774"/>
      <c r="I2656" s="1774"/>
      <c r="J2656" s="1774"/>
      <c r="K2656" s="1774"/>
      <c r="L2656" s="1774"/>
      <c r="M2656" s="1774"/>
      <c r="N2656" s="1774"/>
      <c r="O2656" s="1774"/>
      <c r="P2656" s="1774"/>
      <c r="Q2656" s="1774"/>
      <c r="R2656" s="1774"/>
      <c r="S2656" s="1774"/>
      <c r="T2656" s="1774"/>
      <c r="U2656" s="1774"/>
      <c r="V2656" s="1774"/>
      <c r="W2656" t="s">
        <v>2089</v>
      </c>
    </row>
    <row r="2657" spans="1:23" ht="13.15" customHeight="1" x14ac:dyDescent="0.2">
      <c r="A2657" s="2" t="s">
        <v>2243</v>
      </c>
      <c r="B2657" s="2">
        <f t="shared" si="82"/>
        <v>2019</v>
      </c>
      <c r="C2657" s="2" t="str">
        <f t="shared" si="83"/>
        <v>EC101</v>
      </c>
      <c r="D2657" s="2">
        <v>39</v>
      </c>
      <c r="F2657" s="1774"/>
      <c r="G2657" s="1774"/>
      <c r="H2657" s="1774"/>
      <c r="I2657" s="1774"/>
      <c r="J2657" s="1774"/>
      <c r="K2657" s="1774"/>
      <c r="L2657" s="1774"/>
      <c r="M2657" s="1774"/>
      <c r="N2657" s="1774"/>
      <c r="O2657" s="1774"/>
      <c r="P2657" s="1774"/>
      <c r="Q2657" s="1774"/>
      <c r="R2657" s="1774"/>
      <c r="S2657" s="1774"/>
      <c r="T2657" s="1774"/>
      <c r="U2657" s="1774"/>
      <c r="V2657" s="1774"/>
      <c r="W2657" t="s">
        <v>2089</v>
      </c>
    </row>
    <row r="2658" spans="1:23" ht="13.15" customHeight="1" x14ac:dyDescent="0.2">
      <c r="A2658" s="2" t="s">
        <v>2243</v>
      </c>
      <c r="B2658" s="2">
        <f t="shared" si="82"/>
        <v>2019</v>
      </c>
      <c r="C2658" s="2" t="str">
        <f t="shared" si="83"/>
        <v>EC101</v>
      </c>
      <c r="D2658" s="2">
        <v>40</v>
      </c>
      <c r="F2658" s="1774"/>
      <c r="G2658" s="1774"/>
      <c r="H2658" s="1774"/>
      <c r="I2658" s="1774"/>
      <c r="J2658" s="1774"/>
      <c r="K2658" s="1774"/>
      <c r="L2658" s="1774"/>
      <c r="M2658" s="1774"/>
      <c r="N2658" s="1774"/>
      <c r="O2658" s="1774"/>
      <c r="P2658" s="1774"/>
      <c r="Q2658" s="1774"/>
      <c r="R2658" s="1774"/>
      <c r="S2658" s="1774"/>
      <c r="T2658" s="1774"/>
      <c r="U2658" s="1774"/>
      <c r="V2658" s="1774"/>
      <c r="W2658" t="s">
        <v>2089</v>
      </c>
    </row>
    <row r="2659" spans="1:23" ht="13.15" customHeight="1" x14ac:dyDescent="0.2">
      <c r="A2659" s="2" t="s">
        <v>2243</v>
      </c>
      <c r="B2659" s="2">
        <f t="shared" si="82"/>
        <v>2019</v>
      </c>
      <c r="C2659" s="2" t="str">
        <f t="shared" si="83"/>
        <v>EC101</v>
      </c>
      <c r="D2659" s="2">
        <v>41</v>
      </c>
      <c r="F2659" s="1774"/>
      <c r="G2659" s="1774"/>
      <c r="H2659" s="1774"/>
      <c r="I2659" s="1774"/>
      <c r="J2659" s="1774"/>
      <c r="K2659" s="1774"/>
      <c r="L2659" s="1774"/>
      <c r="M2659" s="1774"/>
      <c r="N2659" s="1774"/>
      <c r="O2659" s="1774"/>
      <c r="P2659" s="1774"/>
      <c r="Q2659" s="1774"/>
      <c r="R2659" s="1774"/>
      <c r="S2659" s="1774"/>
      <c r="T2659" s="1774"/>
      <c r="U2659" s="1774"/>
      <c r="V2659" s="1774"/>
      <c r="W2659" t="s">
        <v>2089</v>
      </c>
    </row>
    <row r="2660" spans="1:23" ht="13.15" customHeight="1" x14ac:dyDescent="0.2">
      <c r="A2660" s="2" t="s">
        <v>2243</v>
      </c>
      <c r="B2660" s="2">
        <f t="shared" si="82"/>
        <v>2019</v>
      </c>
      <c r="C2660" s="2" t="str">
        <f t="shared" si="83"/>
        <v>EC101</v>
      </c>
      <c r="D2660" s="2">
        <v>42</v>
      </c>
      <c r="F2660" s="1774"/>
      <c r="G2660" s="1774"/>
      <c r="H2660" s="1774"/>
      <c r="I2660" s="1774"/>
      <c r="J2660" s="1774"/>
      <c r="K2660" s="1774"/>
      <c r="L2660" s="1774"/>
      <c r="M2660" s="1774"/>
      <c r="N2660" s="1774"/>
      <c r="O2660" s="1774"/>
      <c r="P2660" s="1774"/>
      <c r="Q2660" s="1774"/>
      <c r="R2660" s="1774"/>
      <c r="S2660" s="1774"/>
      <c r="T2660" s="1774"/>
      <c r="U2660" s="1774"/>
      <c r="V2660" s="1774"/>
      <c r="W2660" t="s">
        <v>2089</v>
      </c>
    </row>
    <row r="2661" spans="1:23" ht="13.15" customHeight="1" x14ac:dyDescent="0.2">
      <c r="A2661" s="2" t="s">
        <v>2243</v>
      </c>
      <c r="B2661" s="2">
        <f t="shared" si="82"/>
        <v>2019</v>
      </c>
      <c r="C2661" s="2" t="str">
        <f t="shared" si="83"/>
        <v>EC101</v>
      </c>
      <c r="D2661" s="2">
        <v>43</v>
      </c>
      <c r="F2661" s="1774"/>
      <c r="G2661" s="1774"/>
      <c r="H2661" s="1774"/>
      <c r="I2661" s="1774"/>
      <c r="J2661" s="1774"/>
      <c r="K2661" s="1774"/>
      <c r="L2661" s="1774"/>
      <c r="M2661" s="1774"/>
      <c r="N2661" s="1774"/>
      <c r="O2661" s="1774"/>
      <c r="P2661" s="1774"/>
      <c r="Q2661" s="1774"/>
      <c r="R2661" s="1774"/>
      <c r="S2661" s="1774"/>
      <c r="T2661" s="1774"/>
      <c r="U2661" s="1774"/>
      <c r="V2661" s="1774"/>
      <c r="W2661" t="s">
        <v>2089</v>
      </c>
    </row>
    <row r="2662" spans="1:23" ht="13.15" customHeight="1" x14ac:dyDescent="0.2">
      <c r="A2662" s="2" t="s">
        <v>2243</v>
      </c>
      <c r="B2662" s="2">
        <f t="shared" si="82"/>
        <v>2019</v>
      </c>
      <c r="C2662" s="2" t="str">
        <f t="shared" si="83"/>
        <v>EC101</v>
      </c>
      <c r="D2662" s="2">
        <v>44</v>
      </c>
      <c r="F2662" s="1774"/>
      <c r="G2662" s="1774"/>
      <c r="H2662" s="1774"/>
      <c r="I2662" s="1774"/>
      <c r="J2662" s="1774"/>
      <c r="K2662" s="1774"/>
      <c r="L2662" s="1774"/>
      <c r="M2662" s="1774"/>
      <c r="N2662" s="1774"/>
      <c r="O2662" s="1774"/>
      <c r="P2662" s="1774"/>
      <c r="Q2662" s="1774"/>
      <c r="R2662" s="1774"/>
      <c r="S2662" s="1774"/>
      <c r="T2662" s="1774"/>
      <c r="U2662" s="1774"/>
      <c r="V2662" s="1774"/>
      <c r="W2662" t="s">
        <v>2089</v>
      </c>
    </row>
    <row r="2663" spans="1:23" ht="13.15" customHeight="1" x14ac:dyDescent="0.2">
      <c r="A2663" s="2" t="s">
        <v>2243</v>
      </c>
      <c r="B2663" s="2">
        <f t="shared" si="82"/>
        <v>2019</v>
      </c>
      <c r="C2663" s="2" t="str">
        <f t="shared" si="83"/>
        <v>EC101</v>
      </c>
      <c r="D2663" s="2">
        <v>45</v>
      </c>
      <c r="F2663" s="1774"/>
      <c r="G2663" s="1774"/>
      <c r="H2663" s="1774"/>
      <c r="I2663" s="1774"/>
      <c r="J2663" s="1774"/>
      <c r="K2663" s="1774"/>
      <c r="L2663" s="1774"/>
      <c r="M2663" s="1774"/>
      <c r="N2663" s="1774"/>
      <c r="O2663" s="1774"/>
      <c r="P2663" s="1774"/>
      <c r="Q2663" s="1774"/>
      <c r="R2663" s="1774"/>
      <c r="S2663" s="1774"/>
      <c r="T2663" s="1774"/>
      <c r="U2663" s="1774"/>
      <c r="V2663" s="1774"/>
      <c r="W2663" t="s">
        <v>2089</v>
      </c>
    </row>
    <row r="2664" spans="1:23" ht="13.15" customHeight="1" x14ac:dyDescent="0.2">
      <c r="A2664" s="2" t="s">
        <v>2243</v>
      </c>
      <c r="B2664" s="2">
        <f t="shared" si="82"/>
        <v>2019</v>
      </c>
      <c r="C2664" s="2" t="str">
        <f t="shared" si="83"/>
        <v>EC101</v>
      </c>
      <c r="D2664" s="2">
        <v>46</v>
      </c>
      <c r="F2664" s="1774"/>
      <c r="G2664" s="1774"/>
      <c r="H2664" s="1774"/>
      <c r="I2664" s="1774"/>
      <c r="J2664" s="1774"/>
      <c r="K2664" s="1774"/>
      <c r="L2664" s="1774"/>
      <c r="M2664" s="1774"/>
      <c r="N2664" s="1774"/>
      <c r="O2664" s="1774"/>
      <c r="P2664" s="1774"/>
      <c r="Q2664" s="1774"/>
      <c r="R2664" s="1774"/>
      <c r="S2664" s="1774"/>
      <c r="T2664" s="1774"/>
      <c r="U2664" s="1774"/>
      <c r="V2664" s="1774"/>
      <c r="W2664" t="s">
        <v>2089</v>
      </c>
    </row>
    <row r="2665" spans="1:23" ht="13.15" customHeight="1" x14ac:dyDescent="0.2">
      <c r="A2665" s="2" t="s">
        <v>2243</v>
      </c>
      <c r="B2665" s="2">
        <f t="shared" si="82"/>
        <v>2019</v>
      </c>
      <c r="C2665" s="2" t="str">
        <f t="shared" si="83"/>
        <v>EC101</v>
      </c>
      <c r="D2665" s="2">
        <v>47</v>
      </c>
      <c r="F2665" s="1774"/>
      <c r="G2665" s="1774"/>
      <c r="H2665" s="1774"/>
      <c r="I2665" s="1774"/>
      <c r="J2665" s="1774"/>
      <c r="K2665" s="1774"/>
      <c r="L2665" s="1774"/>
      <c r="M2665" s="1774"/>
      <c r="N2665" s="1774"/>
      <c r="O2665" s="1774"/>
      <c r="P2665" s="1774"/>
      <c r="Q2665" s="1774"/>
      <c r="R2665" s="1774"/>
      <c r="S2665" s="1774"/>
      <c r="T2665" s="1774"/>
      <c r="U2665" s="1774"/>
      <c r="V2665" s="1774"/>
      <c r="W2665" t="s">
        <v>2089</v>
      </c>
    </row>
    <row r="2666" spans="1:23" ht="13.15" customHeight="1" x14ac:dyDescent="0.2">
      <c r="A2666" s="2" t="s">
        <v>2243</v>
      </c>
      <c r="B2666" s="2">
        <f t="shared" si="82"/>
        <v>2019</v>
      </c>
      <c r="C2666" s="2" t="str">
        <f t="shared" si="83"/>
        <v>EC101</v>
      </c>
      <c r="D2666" s="2">
        <v>48</v>
      </c>
      <c r="F2666" s="1774"/>
      <c r="G2666" s="1774"/>
      <c r="H2666" s="1774"/>
      <c r="I2666" s="1774"/>
      <c r="J2666" s="1774"/>
      <c r="K2666" s="1774"/>
      <c r="L2666" s="1774"/>
      <c r="M2666" s="1774"/>
      <c r="N2666" s="1774"/>
      <c r="O2666" s="1774"/>
      <c r="P2666" s="1774"/>
      <c r="Q2666" s="1774"/>
      <c r="R2666" s="1774"/>
      <c r="S2666" s="1774"/>
      <c r="T2666" s="1774"/>
      <c r="U2666" s="1774"/>
      <c r="V2666" s="1774"/>
      <c r="W2666" t="s">
        <v>2089</v>
      </c>
    </row>
    <row r="2667" spans="1:23" ht="13.15" customHeight="1" x14ac:dyDescent="0.2">
      <c r="A2667" s="2" t="s">
        <v>2243</v>
      </c>
      <c r="B2667" s="2">
        <f t="shared" si="82"/>
        <v>2019</v>
      </c>
      <c r="C2667" s="2" t="str">
        <f t="shared" si="83"/>
        <v>EC101</v>
      </c>
      <c r="D2667" s="2">
        <v>49</v>
      </c>
      <c r="F2667" s="1774"/>
      <c r="G2667" s="1774"/>
      <c r="H2667" s="1774"/>
      <c r="I2667" s="1774"/>
      <c r="J2667" s="1774"/>
      <c r="K2667" s="1774"/>
      <c r="L2667" s="1774"/>
      <c r="M2667" s="1774"/>
      <c r="N2667" s="1774"/>
      <c r="O2667" s="1774"/>
      <c r="P2667" s="1774"/>
      <c r="Q2667" s="1774"/>
      <c r="R2667" s="1774"/>
      <c r="S2667" s="1774"/>
      <c r="T2667" s="1774"/>
      <c r="U2667" s="1774"/>
      <c r="V2667" s="1774"/>
      <c r="W2667" t="s">
        <v>2089</v>
      </c>
    </row>
    <row r="2668" spans="1:23" ht="13.15" customHeight="1" x14ac:dyDescent="0.2">
      <c r="A2668" s="2" t="s">
        <v>2243</v>
      </c>
      <c r="B2668" s="2">
        <f t="shared" si="82"/>
        <v>2019</v>
      </c>
      <c r="C2668" s="2" t="str">
        <f t="shared" si="83"/>
        <v>EC101</v>
      </c>
      <c r="D2668" s="2">
        <v>50</v>
      </c>
      <c r="F2668" s="1774"/>
      <c r="G2668" s="1774"/>
      <c r="H2668" s="1774"/>
      <c r="I2668" s="1774"/>
      <c r="J2668" s="1774"/>
      <c r="K2668" s="1774"/>
      <c r="L2668" s="1774"/>
      <c r="M2668" s="1774"/>
      <c r="N2668" s="1774"/>
      <c r="O2668" s="1774"/>
      <c r="P2668" s="1774"/>
      <c r="Q2668" s="1774"/>
      <c r="R2668" s="1774"/>
      <c r="S2668" s="1774"/>
      <c r="T2668" s="1774"/>
      <c r="U2668" s="1774"/>
      <c r="V2668" s="1774"/>
      <c r="W2668" t="s">
        <v>2089</v>
      </c>
    </row>
    <row r="2669" spans="1:23" ht="13.15" customHeight="1" x14ac:dyDescent="0.2">
      <c r="A2669" s="2" t="s">
        <v>2243</v>
      </c>
      <c r="B2669" s="2">
        <f t="shared" si="82"/>
        <v>2019</v>
      </c>
      <c r="C2669" s="2" t="str">
        <f t="shared" si="83"/>
        <v>EC101</v>
      </c>
      <c r="D2669" s="2">
        <v>51</v>
      </c>
      <c r="F2669" s="1774"/>
      <c r="G2669" s="1774"/>
      <c r="H2669" s="1774"/>
      <c r="I2669" s="1774"/>
      <c r="J2669" s="1774"/>
      <c r="K2669" s="1774"/>
      <c r="L2669" s="1774"/>
      <c r="M2669" s="1774"/>
      <c r="N2669" s="1774"/>
      <c r="O2669" s="1774"/>
      <c r="P2669" s="1774"/>
      <c r="Q2669" s="1774"/>
      <c r="R2669" s="1774"/>
      <c r="S2669" s="1774"/>
      <c r="T2669" s="1774"/>
      <c r="U2669" s="1774"/>
      <c r="V2669" s="1774"/>
      <c r="W2669" t="s">
        <v>2089</v>
      </c>
    </row>
    <row r="2670" spans="1:23" ht="13.15" customHeight="1" x14ac:dyDescent="0.2">
      <c r="A2670" s="2" t="s">
        <v>2243</v>
      </c>
      <c r="B2670" s="2">
        <f t="shared" si="82"/>
        <v>2019</v>
      </c>
      <c r="C2670" s="2" t="str">
        <f t="shared" si="83"/>
        <v>EC101</v>
      </c>
      <c r="D2670" s="2">
        <v>52</v>
      </c>
      <c r="F2670" s="1774"/>
      <c r="G2670" s="1774"/>
      <c r="H2670" s="1774"/>
      <c r="I2670" s="1774"/>
      <c r="J2670" s="1774"/>
      <c r="K2670" s="1774"/>
      <c r="L2670" s="1774"/>
      <c r="M2670" s="1774"/>
      <c r="N2670" s="1774"/>
      <c r="O2670" s="1774"/>
      <c r="P2670" s="1774"/>
      <c r="Q2670" s="1774"/>
      <c r="R2670" s="1774"/>
      <c r="S2670" s="1774"/>
      <c r="T2670" s="1774"/>
      <c r="U2670" s="1774"/>
      <c r="V2670" s="1774"/>
      <c r="W2670" t="s">
        <v>2089</v>
      </c>
    </row>
    <row r="2671" spans="1:23" ht="13.15" customHeight="1" x14ac:dyDescent="0.2">
      <c r="A2671" s="2" t="s">
        <v>2243</v>
      </c>
      <c r="B2671" s="2">
        <f t="shared" si="82"/>
        <v>2019</v>
      </c>
      <c r="C2671" s="2" t="str">
        <f t="shared" si="83"/>
        <v>EC101</v>
      </c>
      <c r="D2671" s="2">
        <v>53</v>
      </c>
      <c r="F2671" s="1774"/>
      <c r="G2671" s="1774"/>
      <c r="H2671" s="1774"/>
      <c r="I2671" s="1774"/>
      <c r="J2671" s="1774"/>
      <c r="K2671" s="1774"/>
      <c r="L2671" s="1774"/>
      <c r="M2671" s="1774"/>
      <c r="N2671" s="1774"/>
      <c r="O2671" s="1774"/>
      <c r="P2671" s="1774"/>
      <c r="Q2671" s="1774"/>
      <c r="R2671" s="1774"/>
      <c r="S2671" s="1774"/>
      <c r="T2671" s="1774"/>
      <c r="U2671" s="1774"/>
      <c r="V2671" s="1774"/>
      <c r="W2671" t="s">
        <v>2089</v>
      </c>
    </row>
    <row r="2672" spans="1:23" ht="13.15" customHeight="1" x14ac:dyDescent="0.2">
      <c r="A2672" s="2" t="s">
        <v>2243</v>
      </c>
      <c r="B2672" s="2">
        <f t="shared" si="82"/>
        <v>2019</v>
      </c>
      <c r="C2672" s="2" t="str">
        <f t="shared" si="83"/>
        <v>EC101</v>
      </c>
      <c r="D2672" s="2">
        <v>54</v>
      </c>
      <c r="F2672" s="1774"/>
      <c r="G2672" s="1774"/>
      <c r="H2672" s="1774"/>
      <c r="I2672" s="1774"/>
      <c r="J2672" s="1774"/>
      <c r="K2672" s="1774"/>
      <c r="L2672" s="1774"/>
      <c r="M2672" s="1774"/>
      <c r="N2672" s="1774"/>
      <c r="O2672" s="1774"/>
      <c r="P2672" s="1774"/>
      <c r="Q2672" s="1774"/>
      <c r="R2672" s="1774"/>
      <c r="S2672" s="1774"/>
      <c r="T2672" s="1774"/>
      <c r="U2672" s="1774"/>
      <c r="V2672" s="1774"/>
      <c r="W2672" t="s">
        <v>2089</v>
      </c>
    </row>
    <row r="2673" spans="1:23" ht="13.15" customHeight="1" x14ac:dyDescent="0.2">
      <c r="A2673" s="2" t="s">
        <v>2243</v>
      </c>
      <c r="B2673" s="2">
        <f t="shared" si="82"/>
        <v>2019</v>
      </c>
      <c r="C2673" s="2" t="str">
        <f t="shared" si="83"/>
        <v>EC101</v>
      </c>
      <c r="D2673" s="2">
        <v>55</v>
      </c>
      <c r="F2673" s="1774"/>
      <c r="G2673" s="1774"/>
      <c r="H2673" s="1774"/>
      <c r="I2673" s="1774"/>
      <c r="J2673" s="1774"/>
      <c r="K2673" s="1774"/>
      <c r="L2673" s="1774"/>
      <c r="M2673" s="1774"/>
      <c r="N2673" s="1774"/>
      <c r="O2673" s="1774"/>
      <c r="P2673" s="1774"/>
      <c r="Q2673" s="1774"/>
      <c r="R2673" s="1774"/>
      <c r="S2673" s="1774"/>
      <c r="T2673" s="1774"/>
      <c r="U2673" s="1774"/>
      <c r="V2673" s="1774"/>
      <c r="W2673" t="s">
        <v>2089</v>
      </c>
    </row>
    <row r="2674" spans="1:23" ht="13.15" customHeight="1" x14ac:dyDescent="0.2">
      <c r="A2674" s="2" t="s">
        <v>2243</v>
      </c>
      <c r="B2674" s="2">
        <f t="shared" si="82"/>
        <v>2019</v>
      </c>
      <c r="C2674" s="2" t="str">
        <f t="shared" si="83"/>
        <v>EC101</v>
      </c>
      <c r="D2674" s="2">
        <v>56</v>
      </c>
      <c r="F2674" s="1774"/>
      <c r="G2674" s="1774"/>
      <c r="H2674" s="1774"/>
      <c r="I2674" s="1774"/>
      <c r="J2674" s="1774"/>
      <c r="K2674" s="1774"/>
      <c r="L2674" s="1774"/>
      <c r="M2674" s="1774"/>
      <c r="N2674" s="1774"/>
      <c r="O2674" s="1774"/>
      <c r="P2674" s="1774"/>
      <c r="Q2674" s="1774"/>
      <c r="R2674" s="1774"/>
      <c r="S2674" s="1774"/>
      <c r="T2674" s="1774"/>
      <c r="U2674" s="1774"/>
      <c r="V2674" s="1774"/>
      <c r="W2674" t="s">
        <v>2089</v>
      </c>
    </row>
    <row r="2675" spans="1:23" ht="13.15" customHeight="1" x14ac:dyDescent="0.2">
      <c r="A2675" s="2" t="s">
        <v>2243</v>
      </c>
      <c r="B2675" s="2">
        <f t="shared" si="82"/>
        <v>2019</v>
      </c>
      <c r="C2675" s="2" t="str">
        <f t="shared" si="83"/>
        <v>EC101</v>
      </c>
      <c r="D2675" s="2">
        <v>57</v>
      </c>
      <c r="F2675" s="1774"/>
      <c r="G2675" s="1774"/>
      <c r="H2675" s="1774"/>
      <c r="I2675" s="1774"/>
      <c r="J2675" s="1774"/>
      <c r="K2675" s="1774"/>
      <c r="L2675" s="1774"/>
      <c r="M2675" s="1774"/>
      <c r="N2675" s="1774"/>
      <c r="O2675" s="1774"/>
      <c r="P2675" s="1774"/>
      <c r="Q2675" s="1774"/>
      <c r="R2675" s="1774"/>
      <c r="S2675" s="1774"/>
      <c r="T2675" s="1774"/>
      <c r="U2675" s="1774"/>
      <c r="V2675" s="1774"/>
      <c r="W2675" t="s">
        <v>2089</v>
      </c>
    </row>
    <row r="2676" spans="1:23" ht="13.15" customHeight="1" x14ac:dyDescent="0.2">
      <c r="A2676" s="2" t="s">
        <v>2243</v>
      </c>
      <c r="B2676" s="2">
        <f t="shared" si="82"/>
        <v>2019</v>
      </c>
      <c r="C2676" s="2" t="str">
        <f t="shared" si="83"/>
        <v>EC101</v>
      </c>
      <c r="D2676" s="2">
        <v>58</v>
      </c>
      <c r="F2676" s="1774"/>
      <c r="G2676" s="1774"/>
      <c r="H2676" s="1774"/>
      <c r="I2676" s="1774"/>
      <c r="J2676" s="1774"/>
      <c r="K2676" s="1774"/>
      <c r="L2676" s="1774"/>
      <c r="M2676" s="1774"/>
      <c r="N2676" s="1774"/>
      <c r="O2676" s="1774"/>
      <c r="P2676" s="1774"/>
      <c r="Q2676" s="1774"/>
      <c r="R2676" s="1774"/>
      <c r="S2676" s="1774"/>
      <c r="T2676" s="1774"/>
      <c r="U2676" s="1774"/>
      <c r="V2676" s="1774"/>
      <c r="W2676" t="s">
        <v>2089</v>
      </c>
    </row>
    <row r="2677" spans="1:23" ht="13.15" customHeight="1" x14ac:dyDescent="0.2">
      <c r="A2677" s="2" t="s">
        <v>2243</v>
      </c>
      <c r="B2677" s="2">
        <f t="shared" si="82"/>
        <v>2019</v>
      </c>
      <c r="C2677" s="2" t="str">
        <f t="shared" si="83"/>
        <v>EC101</v>
      </c>
      <c r="D2677" s="2">
        <v>59</v>
      </c>
      <c r="F2677" s="1774"/>
      <c r="G2677" s="1774"/>
      <c r="H2677" s="1774"/>
      <c r="I2677" s="1774"/>
      <c r="J2677" s="1774"/>
      <c r="K2677" s="1774"/>
      <c r="L2677" s="1774"/>
      <c r="M2677" s="1774"/>
      <c r="N2677" s="1774"/>
      <c r="O2677" s="1774"/>
      <c r="P2677" s="1774"/>
      <c r="Q2677" s="1774"/>
      <c r="R2677" s="1774"/>
      <c r="S2677" s="1774"/>
      <c r="T2677" s="1774"/>
      <c r="U2677" s="1774"/>
      <c r="V2677" s="1774"/>
      <c r="W2677" t="s">
        <v>2089</v>
      </c>
    </row>
    <row r="2678" spans="1:23" ht="13.15" customHeight="1" x14ac:dyDescent="0.2">
      <c r="A2678" s="2" t="s">
        <v>2243</v>
      </c>
      <c r="B2678" s="2">
        <f t="shared" si="82"/>
        <v>2019</v>
      </c>
      <c r="C2678" s="2" t="str">
        <f t="shared" si="83"/>
        <v>EC101</v>
      </c>
      <c r="D2678" s="2">
        <v>60</v>
      </c>
      <c r="F2678" s="1774"/>
      <c r="G2678" s="1774"/>
      <c r="H2678" s="1774"/>
      <c r="I2678" s="1774"/>
      <c r="J2678" s="1774"/>
      <c r="K2678" s="1774"/>
      <c r="L2678" s="1774"/>
      <c r="M2678" s="1774"/>
      <c r="N2678" s="1774"/>
      <c r="O2678" s="1774"/>
      <c r="P2678" s="1774"/>
      <c r="Q2678" s="1774"/>
      <c r="R2678" s="1774"/>
      <c r="S2678" s="1774"/>
      <c r="T2678" s="1774"/>
      <c r="U2678" s="1774"/>
      <c r="V2678" s="1774"/>
      <c r="W2678" t="s">
        <v>2089</v>
      </c>
    </row>
    <row r="2679" spans="1:23" ht="13.15" customHeight="1" x14ac:dyDescent="0.2">
      <c r="A2679" s="2" t="s">
        <v>2243</v>
      </c>
      <c r="B2679" s="2">
        <f t="shared" si="82"/>
        <v>2019</v>
      </c>
      <c r="C2679" s="2" t="str">
        <f t="shared" si="83"/>
        <v>EC101</v>
      </c>
      <c r="D2679" s="2">
        <v>61</v>
      </c>
      <c r="F2679" s="1774"/>
      <c r="G2679" s="1774"/>
      <c r="H2679" s="1774"/>
      <c r="I2679" s="1774"/>
      <c r="J2679" s="1774"/>
      <c r="K2679" s="1774"/>
      <c r="L2679" s="1774"/>
      <c r="M2679" s="1774"/>
      <c r="N2679" s="1774"/>
      <c r="O2679" s="1774"/>
      <c r="P2679" s="1774"/>
      <c r="Q2679" s="1774"/>
      <c r="R2679" s="1774"/>
      <c r="S2679" s="1774"/>
      <c r="T2679" s="1774"/>
      <c r="U2679" s="1774"/>
      <c r="V2679" s="1774"/>
      <c r="W2679" t="s">
        <v>2089</v>
      </c>
    </row>
    <row r="2680" spans="1:23" ht="13.15" customHeight="1" x14ac:dyDescent="0.2">
      <c r="A2680" s="2" t="s">
        <v>2243</v>
      </c>
      <c r="B2680" s="2">
        <f t="shared" si="82"/>
        <v>2019</v>
      </c>
      <c r="C2680" s="2" t="str">
        <f t="shared" si="83"/>
        <v>EC101</v>
      </c>
      <c r="D2680" s="2">
        <v>62</v>
      </c>
      <c r="F2680" s="1774"/>
      <c r="G2680" s="1774"/>
      <c r="H2680" s="1774"/>
      <c r="I2680" s="1774"/>
      <c r="J2680" s="1774"/>
      <c r="K2680" s="1774"/>
      <c r="L2680" s="1774"/>
      <c r="M2680" s="1774"/>
      <c r="N2680" s="1774"/>
      <c r="O2680" s="1774"/>
      <c r="P2680" s="1774"/>
      <c r="Q2680" s="1774"/>
      <c r="R2680" s="1774"/>
      <c r="S2680" s="1774"/>
      <c r="T2680" s="1774"/>
      <c r="U2680" s="1774"/>
      <c r="V2680" s="1774"/>
      <c r="W2680" t="s">
        <v>2089</v>
      </c>
    </row>
    <row r="2681" spans="1:23" ht="13.15" customHeight="1" x14ac:dyDescent="0.2">
      <c r="A2681" s="2" t="s">
        <v>2243</v>
      </c>
      <c r="B2681" s="2">
        <f t="shared" si="82"/>
        <v>2019</v>
      </c>
      <c r="C2681" s="2" t="str">
        <f t="shared" si="83"/>
        <v>EC101</v>
      </c>
      <c r="D2681" s="2">
        <v>63</v>
      </c>
      <c r="F2681" s="1774"/>
      <c r="G2681" s="1774"/>
      <c r="H2681" s="1774"/>
      <c r="I2681" s="1774"/>
      <c r="J2681" s="1774"/>
      <c r="K2681" s="1774"/>
      <c r="L2681" s="1774"/>
      <c r="M2681" s="1774"/>
      <c r="N2681" s="1774"/>
      <c r="O2681" s="1774"/>
      <c r="P2681" s="1774"/>
      <c r="Q2681" s="1774"/>
      <c r="R2681" s="1774"/>
      <c r="S2681" s="1774"/>
      <c r="T2681" s="1774"/>
      <c r="U2681" s="1774"/>
      <c r="V2681" s="1774"/>
      <c r="W2681" t="s">
        <v>2089</v>
      </c>
    </row>
    <row r="2682" spans="1:23" ht="13.15" customHeight="1" x14ac:dyDescent="0.2">
      <c r="A2682" s="2" t="s">
        <v>2243</v>
      </c>
      <c r="B2682" s="2">
        <f t="shared" si="82"/>
        <v>2019</v>
      </c>
      <c r="C2682" s="2" t="str">
        <f t="shared" si="83"/>
        <v>EC101</v>
      </c>
      <c r="D2682" s="2">
        <v>64</v>
      </c>
      <c r="F2682" s="1774"/>
      <c r="G2682" s="1774"/>
      <c r="H2682" s="1774"/>
      <c r="I2682" s="1774"/>
      <c r="J2682" s="1774"/>
      <c r="K2682" s="1774"/>
      <c r="L2682" s="1774"/>
      <c r="M2682" s="1774"/>
      <c r="N2682" s="1774"/>
      <c r="O2682" s="1774"/>
      <c r="P2682" s="1774"/>
      <c r="Q2682" s="1774"/>
      <c r="R2682" s="1774"/>
      <c r="S2682" s="1774"/>
      <c r="T2682" s="1774"/>
      <c r="U2682" s="1774"/>
      <c r="V2682" s="1774"/>
      <c r="W2682" t="s">
        <v>2089</v>
      </c>
    </row>
    <row r="2683" spans="1:23" ht="13.15" customHeight="1" x14ac:dyDescent="0.2">
      <c r="A2683" s="2" t="s">
        <v>2243</v>
      </c>
      <c r="B2683" s="2">
        <f t="shared" si="82"/>
        <v>2019</v>
      </c>
      <c r="C2683" s="2" t="str">
        <f t="shared" si="83"/>
        <v>EC101</v>
      </c>
      <c r="D2683" s="2">
        <v>65</v>
      </c>
      <c r="F2683" s="1774"/>
      <c r="G2683" s="1774"/>
      <c r="H2683" s="1774"/>
      <c r="I2683" s="1774"/>
      <c r="J2683" s="1774"/>
      <c r="K2683" s="1774"/>
      <c r="L2683" s="1774"/>
      <c r="M2683" s="1774"/>
      <c r="N2683" s="1774"/>
      <c r="O2683" s="1774"/>
      <c r="P2683" s="1774"/>
      <c r="Q2683" s="1774"/>
      <c r="R2683" s="1774"/>
      <c r="S2683" s="1774"/>
      <c r="T2683" s="1774"/>
      <c r="U2683" s="1774"/>
      <c r="V2683" s="1774"/>
      <c r="W2683" t="s">
        <v>2089</v>
      </c>
    </row>
    <row r="2684" spans="1:23" ht="13.15" customHeight="1" x14ac:dyDescent="0.2">
      <c r="A2684" s="2" t="s">
        <v>2243</v>
      </c>
      <c r="B2684" s="2">
        <f t="shared" si="82"/>
        <v>2019</v>
      </c>
      <c r="C2684" s="2" t="str">
        <f t="shared" si="83"/>
        <v>EC101</v>
      </c>
      <c r="D2684" s="2">
        <v>66</v>
      </c>
      <c r="F2684" s="1774"/>
      <c r="G2684" s="1774"/>
      <c r="H2684" s="1774"/>
      <c r="I2684" s="1774"/>
      <c r="J2684" s="1774"/>
      <c r="K2684" s="1774"/>
      <c r="L2684" s="1774"/>
      <c r="M2684" s="1774"/>
      <c r="N2684" s="1774"/>
      <c r="O2684" s="1774"/>
      <c r="P2684" s="1774"/>
      <c r="Q2684" s="1774"/>
      <c r="R2684" s="1774"/>
      <c r="S2684" s="1774"/>
      <c r="T2684" s="1774"/>
      <c r="U2684" s="1774"/>
      <c r="V2684" s="1774"/>
      <c r="W2684" t="s">
        <v>2089</v>
      </c>
    </row>
    <row r="2685" spans="1:23" ht="13.15" customHeight="1" x14ac:dyDescent="0.2">
      <c r="A2685" s="2" t="s">
        <v>2243</v>
      </c>
      <c r="B2685" s="2">
        <f t="shared" si="82"/>
        <v>2019</v>
      </c>
      <c r="C2685" s="2" t="str">
        <f t="shared" si="83"/>
        <v>EC101</v>
      </c>
      <c r="D2685" s="2">
        <v>67</v>
      </c>
      <c r="F2685" s="1774"/>
      <c r="G2685" s="1774"/>
      <c r="H2685" s="1774"/>
      <c r="I2685" s="1774"/>
      <c r="J2685" s="1774"/>
      <c r="K2685" s="1774"/>
      <c r="L2685" s="1774"/>
      <c r="M2685" s="1774"/>
      <c r="N2685" s="1774"/>
      <c r="O2685" s="1774"/>
      <c r="P2685" s="1774"/>
      <c r="Q2685" s="1774"/>
      <c r="R2685" s="1774"/>
      <c r="S2685" s="1774"/>
      <c r="T2685" s="1774"/>
      <c r="U2685" s="1774"/>
      <c r="V2685" s="1774"/>
      <c r="W2685" t="s">
        <v>2089</v>
      </c>
    </row>
    <row r="2686" spans="1:23" ht="13.15" customHeight="1" x14ac:dyDescent="0.2">
      <c r="A2686" s="2" t="s">
        <v>2243</v>
      </c>
      <c r="B2686" s="2">
        <f t="shared" si="82"/>
        <v>2019</v>
      </c>
      <c r="C2686" s="2" t="str">
        <f t="shared" si="83"/>
        <v>EC101</v>
      </c>
      <c r="D2686" s="2">
        <v>68</v>
      </c>
      <c r="F2686" s="1774"/>
      <c r="G2686" s="1774"/>
      <c r="H2686" s="1774"/>
      <c r="I2686" s="1774"/>
      <c r="J2686" s="1774"/>
      <c r="K2686" s="1774"/>
      <c r="L2686" s="1774"/>
      <c r="M2686" s="1774"/>
      <c r="N2686" s="1774"/>
      <c r="O2686" s="1774"/>
      <c r="P2686" s="1774"/>
      <c r="Q2686" s="1774"/>
      <c r="R2686" s="1774"/>
      <c r="S2686" s="1774"/>
      <c r="T2686" s="1774"/>
      <c r="U2686" s="1774"/>
      <c r="V2686" s="1774"/>
      <c r="W2686" t="s">
        <v>2089</v>
      </c>
    </row>
    <row r="2687" spans="1:23" ht="13.15" customHeight="1" x14ac:dyDescent="0.2">
      <c r="A2687" s="2" t="s">
        <v>2243</v>
      </c>
      <c r="B2687" s="2">
        <f t="shared" si="82"/>
        <v>2019</v>
      </c>
      <c r="C2687" s="2" t="str">
        <f t="shared" si="83"/>
        <v>EC101</v>
      </c>
      <c r="D2687" s="2">
        <v>69</v>
      </c>
      <c r="F2687" s="1774"/>
      <c r="G2687" s="1774"/>
      <c r="H2687" s="1774"/>
      <c r="I2687" s="1774"/>
      <c r="J2687" s="1774"/>
      <c r="K2687" s="1774"/>
      <c r="L2687" s="1774"/>
      <c r="M2687" s="1774"/>
      <c r="N2687" s="1774"/>
      <c r="O2687" s="1774"/>
      <c r="P2687" s="1774"/>
      <c r="Q2687" s="1774"/>
      <c r="R2687" s="1774"/>
      <c r="S2687" s="1774"/>
      <c r="T2687" s="1774"/>
      <c r="U2687" s="1774"/>
      <c r="V2687" s="1774"/>
      <c r="W2687" t="s">
        <v>2089</v>
      </c>
    </row>
    <row r="2688" spans="1:23" ht="13.15" customHeight="1" x14ac:dyDescent="0.2">
      <c r="A2688" s="2" t="s">
        <v>2243</v>
      </c>
      <c r="B2688" s="2">
        <f t="shared" si="82"/>
        <v>2019</v>
      </c>
      <c r="C2688" s="2" t="str">
        <f t="shared" si="83"/>
        <v>EC101</v>
      </c>
      <c r="D2688" s="2">
        <v>70</v>
      </c>
      <c r="F2688" s="1774"/>
      <c r="G2688" s="1774"/>
      <c r="H2688" s="1774"/>
      <c r="I2688" s="1774"/>
      <c r="J2688" s="1774"/>
      <c r="K2688" s="1774"/>
      <c r="L2688" s="1774"/>
      <c r="M2688" s="1774"/>
      <c r="N2688" s="1774"/>
      <c r="O2688" s="1774"/>
      <c r="P2688" s="1774"/>
      <c r="Q2688" s="1774"/>
      <c r="R2688" s="1774"/>
      <c r="S2688" s="1774"/>
      <c r="T2688" s="1774"/>
      <c r="U2688" s="1774"/>
      <c r="V2688" s="1774"/>
      <c r="W2688" t="s">
        <v>2089</v>
      </c>
    </row>
    <row r="2689" spans="1:23" ht="13.15" customHeight="1" x14ac:dyDescent="0.2">
      <c r="A2689" s="2" t="s">
        <v>2243</v>
      </c>
      <c r="B2689" s="2">
        <f t="shared" si="82"/>
        <v>2019</v>
      </c>
      <c r="C2689" s="2" t="str">
        <f t="shared" si="83"/>
        <v>EC101</v>
      </c>
      <c r="D2689" s="2">
        <v>71</v>
      </c>
      <c r="F2689" s="1774"/>
      <c r="G2689" s="1774"/>
      <c r="H2689" s="1774"/>
      <c r="I2689" s="1774"/>
      <c r="J2689" s="1774"/>
      <c r="K2689" s="1774"/>
      <c r="L2689" s="1774"/>
      <c r="M2689" s="1774"/>
      <c r="N2689" s="1774"/>
      <c r="O2689" s="1774"/>
      <c r="P2689" s="1774"/>
      <c r="Q2689" s="1774"/>
      <c r="R2689" s="1774"/>
      <c r="S2689" s="1774"/>
      <c r="T2689" s="1774"/>
      <c r="U2689" s="1774"/>
      <c r="V2689" s="1774"/>
      <c r="W2689" t="s">
        <v>2089</v>
      </c>
    </row>
    <row r="2690" spans="1:23" ht="13.15" customHeight="1" x14ac:dyDescent="0.2">
      <c r="A2690" s="2" t="s">
        <v>2243</v>
      </c>
      <c r="B2690" s="2">
        <f t="shared" ref="B2690:B2791" si="84">+MTREF</f>
        <v>2019</v>
      </c>
      <c r="C2690" s="2" t="str">
        <f t="shared" ref="C2690:C2791" si="85">LEFT(muni,(FIND(" ",muni,1)-1))</f>
        <v>EC101</v>
      </c>
      <c r="D2690" s="2">
        <v>72</v>
      </c>
      <c r="F2690" s="1774"/>
      <c r="G2690" s="1774"/>
      <c r="H2690" s="1774"/>
      <c r="I2690" s="1774"/>
      <c r="J2690" s="1774"/>
      <c r="K2690" s="1774"/>
      <c r="L2690" s="1774"/>
      <c r="M2690" s="1774"/>
      <c r="N2690" s="1774"/>
      <c r="O2690" s="1774"/>
      <c r="P2690" s="1774"/>
      <c r="Q2690" s="1774"/>
      <c r="R2690" s="1774"/>
      <c r="S2690" s="1774"/>
      <c r="T2690" s="1774"/>
      <c r="U2690" s="1774"/>
      <c r="V2690" s="1774"/>
      <c r="W2690" t="s">
        <v>2089</v>
      </c>
    </row>
    <row r="2691" spans="1:23" ht="13.15" customHeight="1" x14ac:dyDescent="0.2">
      <c r="A2691" s="2" t="s">
        <v>2243</v>
      </c>
      <c r="B2691" s="2">
        <f t="shared" si="84"/>
        <v>2019</v>
      </c>
      <c r="C2691" s="2" t="str">
        <f t="shared" si="85"/>
        <v>EC101</v>
      </c>
      <c r="D2691" s="2">
        <v>73</v>
      </c>
      <c r="F2691" s="1774"/>
      <c r="G2691" s="1774"/>
      <c r="H2691" s="1774"/>
      <c r="I2691" s="1774"/>
      <c r="J2691" s="1774"/>
      <c r="K2691" s="1774"/>
      <c r="L2691" s="1774"/>
      <c r="M2691" s="1774"/>
      <c r="N2691" s="1774"/>
      <c r="O2691" s="1774"/>
      <c r="P2691" s="1774"/>
      <c r="Q2691" s="1774"/>
      <c r="R2691" s="1774"/>
      <c r="S2691" s="1774"/>
      <c r="T2691" s="1774"/>
      <c r="U2691" s="1774"/>
      <c r="V2691" s="1774"/>
      <c r="W2691" t="s">
        <v>2089</v>
      </c>
    </row>
    <row r="2692" spans="1:23" ht="13.15" customHeight="1" x14ac:dyDescent="0.2">
      <c r="A2692" s="2" t="s">
        <v>2243</v>
      </c>
      <c r="B2692" s="2">
        <f t="shared" si="84"/>
        <v>2019</v>
      </c>
      <c r="C2692" s="2" t="str">
        <f t="shared" si="85"/>
        <v>EC101</v>
      </c>
      <c r="D2692" s="2">
        <v>74</v>
      </c>
      <c r="F2692" s="1774"/>
      <c r="G2692" s="1774"/>
      <c r="H2692" s="1774"/>
      <c r="I2692" s="1774"/>
      <c r="J2692" s="1774"/>
      <c r="K2692" s="1774"/>
      <c r="L2692" s="1774"/>
      <c r="M2692" s="1774"/>
      <c r="N2692" s="1774"/>
      <c r="O2692" s="1774"/>
      <c r="P2692" s="1774"/>
      <c r="Q2692" s="1774"/>
      <c r="R2692" s="1774"/>
      <c r="S2692" s="1774"/>
      <c r="T2692" s="1774"/>
      <c r="U2692" s="1774"/>
      <c r="V2692" s="1774"/>
      <c r="W2692" t="s">
        <v>2089</v>
      </c>
    </row>
    <row r="2693" spans="1:23" ht="13.15" customHeight="1" x14ac:dyDescent="0.2">
      <c r="A2693" s="2" t="s">
        <v>2243</v>
      </c>
      <c r="B2693" s="2">
        <f t="shared" si="84"/>
        <v>2019</v>
      </c>
      <c r="C2693" s="2" t="str">
        <f t="shared" si="85"/>
        <v>EC101</v>
      </c>
      <c r="D2693" s="2">
        <v>75</v>
      </c>
      <c r="F2693" s="1774"/>
      <c r="G2693" s="1774"/>
      <c r="H2693" s="1774"/>
      <c r="I2693" s="1774"/>
      <c r="J2693" s="1774"/>
      <c r="K2693" s="1774"/>
      <c r="L2693" s="1774"/>
      <c r="M2693" s="1774"/>
      <c r="N2693" s="1774"/>
      <c r="O2693" s="1774"/>
      <c r="P2693" s="1774"/>
      <c r="Q2693" s="1774"/>
      <c r="R2693" s="1774"/>
      <c r="S2693" s="1774"/>
      <c r="T2693" s="1774"/>
      <c r="U2693" s="1774"/>
      <c r="V2693" s="1774"/>
      <c r="W2693" t="s">
        <v>2089</v>
      </c>
    </row>
    <row r="2694" spans="1:23" ht="13.15" customHeight="1" x14ac:dyDescent="0.2">
      <c r="A2694" s="2" t="s">
        <v>2243</v>
      </c>
      <c r="B2694" s="2">
        <f t="shared" si="84"/>
        <v>2019</v>
      </c>
      <c r="C2694" s="2" t="str">
        <f t="shared" si="85"/>
        <v>EC101</v>
      </c>
      <c r="D2694" s="2">
        <v>76</v>
      </c>
      <c r="F2694" s="1774"/>
      <c r="G2694" s="1774"/>
      <c r="H2694" s="1774"/>
      <c r="I2694" s="1774"/>
      <c r="J2694" s="1774"/>
      <c r="K2694" s="1774"/>
      <c r="L2694" s="1774"/>
      <c r="M2694" s="1774"/>
      <c r="N2694" s="1774"/>
      <c r="O2694" s="1774"/>
      <c r="P2694" s="1774"/>
      <c r="Q2694" s="1774"/>
      <c r="R2694" s="1774"/>
      <c r="S2694" s="1774"/>
      <c r="T2694" s="1774"/>
      <c r="U2694" s="1774"/>
      <c r="V2694" s="1774"/>
      <c r="W2694" t="s">
        <v>2089</v>
      </c>
    </row>
    <row r="2695" spans="1:23" ht="13.15" customHeight="1" x14ac:dyDescent="0.2">
      <c r="A2695" s="2" t="s">
        <v>2243</v>
      </c>
      <c r="B2695" s="2">
        <f t="shared" si="84"/>
        <v>2019</v>
      </c>
      <c r="C2695" s="2" t="str">
        <f t="shared" si="85"/>
        <v>EC101</v>
      </c>
      <c r="D2695" s="2">
        <v>77</v>
      </c>
      <c r="F2695" s="1774"/>
      <c r="G2695" s="1774"/>
      <c r="H2695" s="1774"/>
      <c r="I2695" s="1774"/>
      <c r="J2695" s="1774"/>
      <c r="K2695" s="1774"/>
      <c r="L2695" s="1774"/>
      <c r="M2695" s="1774"/>
      <c r="N2695" s="1774"/>
      <c r="O2695" s="1774"/>
      <c r="P2695" s="1774"/>
      <c r="Q2695" s="1774"/>
      <c r="R2695" s="1774"/>
      <c r="S2695" s="1774"/>
      <c r="T2695" s="1774"/>
      <c r="U2695" s="1774"/>
      <c r="V2695" s="1774"/>
      <c r="W2695" t="s">
        <v>2089</v>
      </c>
    </row>
    <row r="2696" spans="1:23" ht="13.15" customHeight="1" x14ac:dyDescent="0.2">
      <c r="A2696" s="2" t="s">
        <v>2243</v>
      </c>
      <c r="B2696" s="2">
        <f t="shared" si="84"/>
        <v>2019</v>
      </c>
      <c r="C2696" s="2" t="str">
        <f t="shared" si="85"/>
        <v>EC101</v>
      </c>
      <c r="D2696" s="2">
        <v>78</v>
      </c>
      <c r="F2696" s="1774"/>
      <c r="G2696" s="1774"/>
      <c r="H2696" s="1774"/>
      <c r="I2696" s="1774"/>
      <c r="J2696" s="1774"/>
      <c r="K2696" s="1774"/>
      <c r="L2696" s="1774"/>
      <c r="M2696" s="1774"/>
      <c r="N2696" s="1774"/>
      <c r="O2696" s="1774"/>
      <c r="P2696" s="1774"/>
      <c r="Q2696" s="1774"/>
      <c r="R2696" s="1774"/>
      <c r="S2696" s="1774"/>
      <c r="T2696" s="1774"/>
      <c r="U2696" s="1774"/>
      <c r="V2696" s="1774"/>
      <c r="W2696" t="s">
        <v>2089</v>
      </c>
    </row>
    <row r="2697" spans="1:23" ht="13.15" customHeight="1" x14ac:dyDescent="0.2">
      <c r="A2697" s="2" t="s">
        <v>2243</v>
      </c>
      <c r="B2697" s="2">
        <f t="shared" si="84"/>
        <v>2019</v>
      </c>
      <c r="C2697" s="2" t="str">
        <f t="shared" si="85"/>
        <v>EC101</v>
      </c>
      <c r="D2697" s="2">
        <v>79</v>
      </c>
      <c r="F2697" s="1774"/>
      <c r="G2697" s="1774"/>
      <c r="H2697" s="1774"/>
      <c r="I2697" s="1774"/>
      <c r="J2697" s="1774"/>
      <c r="K2697" s="1774"/>
      <c r="L2697" s="1774"/>
      <c r="M2697" s="1774"/>
      <c r="N2697" s="1774"/>
      <c r="O2697" s="1774"/>
      <c r="P2697" s="1774"/>
      <c r="Q2697" s="1774"/>
      <c r="R2697" s="1774"/>
      <c r="S2697" s="1774"/>
      <c r="T2697" s="1774"/>
      <c r="U2697" s="1774"/>
      <c r="V2697" s="1774"/>
      <c r="W2697" t="s">
        <v>2089</v>
      </c>
    </row>
    <row r="2698" spans="1:23" ht="13.15" customHeight="1" x14ac:dyDescent="0.2">
      <c r="A2698" s="2" t="s">
        <v>2243</v>
      </c>
      <c r="B2698" s="2">
        <f t="shared" si="84"/>
        <v>2019</v>
      </c>
      <c r="C2698" s="2" t="str">
        <f t="shared" si="85"/>
        <v>EC101</v>
      </c>
      <c r="D2698" s="2">
        <v>80</v>
      </c>
      <c r="F2698" s="1774"/>
      <c r="G2698" s="1774"/>
      <c r="H2698" s="1774"/>
      <c r="I2698" s="1774"/>
      <c r="J2698" s="1774"/>
      <c r="K2698" s="1774"/>
      <c r="L2698" s="1774"/>
      <c r="M2698" s="1774"/>
      <c r="N2698" s="1774"/>
      <c r="O2698" s="1774"/>
      <c r="P2698" s="1774"/>
      <c r="Q2698" s="1774"/>
      <c r="R2698" s="1774"/>
      <c r="S2698" s="1774"/>
      <c r="T2698" s="1774"/>
      <c r="U2698" s="1774"/>
      <c r="V2698" s="1774"/>
      <c r="W2698" t="s">
        <v>2089</v>
      </c>
    </row>
    <row r="2699" spans="1:23" ht="13.15" customHeight="1" x14ac:dyDescent="0.2">
      <c r="A2699" s="2" t="s">
        <v>2243</v>
      </c>
      <c r="B2699" s="2">
        <f t="shared" si="84"/>
        <v>2019</v>
      </c>
      <c r="C2699" s="2" t="str">
        <f t="shared" si="85"/>
        <v>EC101</v>
      </c>
      <c r="D2699" s="2">
        <v>81</v>
      </c>
      <c r="F2699" s="1774"/>
      <c r="G2699" s="1774"/>
      <c r="H2699" s="1774"/>
      <c r="I2699" s="1774"/>
      <c r="J2699" s="1774"/>
      <c r="K2699" s="1774"/>
      <c r="L2699" s="1774"/>
      <c r="M2699" s="1774"/>
      <c r="N2699" s="1774"/>
      <c r="O2699" s="1774"/>
      <c r="P2699" s="1774"/>
      <c r="Q2699" s="1774"/>
      <c r="R2699" s="1774"/>
      <c r="S2699" s="1774"/>
      <c r="T2699" s="1774"/>
      <c r="U2699" s="1774"/>
      <c r="V2699" s="1774"/>
      <c r="W2699" t="s">
        <v>2089</v>
      </c>
    </row>
    <row r="2700" spans="1:23" ht="13.15" customHeight="1" x14ac:dyDescent="0.2">
      <c r="A2700" s="2" t="s">
        <v>2243</v>
      </c>
      <c r="B2700" s="2">
        <f t="shared" si="84"/>
        <v>2019</v>
      </c>
      <c r="C2700" s="2" t="str">
        <f t="shared" si="85"/>
        <v>EC101</v>
      </c>
      <c r="D2700" s="2">
        <v>82</v>
      </c>
      <c r="F2700" s="1774"/>
      <c r="G2700" s="1774"/>
      <c r="H2700" s="1774"/>
      <c r="I2700" s="1774"/>
      <c r="J2700" s="1774"/>
      <c r="K2700" s="1774"/>
      <c r="L2700" s="1774"/>
      <c r="M2700" s="1774"/>
      <c r="N2700" s="1774"/>
      <c r="O2700" s="1774"/>
      <c r="P2700" s="1774"/>
      <c r="Q2700" s="1774"/>
      <c r="R2700" s="1774"/>
      <c r="S2700" s="1774"/>
      <c r="T2700" s="1774"/>
      <c r="U2700" s="1774"/>
      <c r="V2700" s="1774"/>
      <c r="W2700" t="s">
        <v>2089</v>
      </c>
    </row>
    <row r="2701" spans="1:23" ht="13.15" customHeight="1" x14ac:dyDescent="0.2">
      <c r="A2701" s="2" t="s">
        <v>2243</v>
      </c>
      <c r="B2701" s="2">
        <f t="shared" si="84"/>
        <v>2019</v>
      </c>
      <c r="C2701" s="2" t="str">
        <f t="shared" si="85"/>
        <v>EC101</v>
      </c>
      <c r="D2701" s="2">
        <v>83</v>
      </c>
      <c r="F2701" s="1774"/>
      <c r="G2701" s="1774"/>
      <c r="H2701" s="1774"/>
      <c r="I2701" s="1774"/>
      <c r="J2701" s="1774"/>
      <c r="K2701" s="1774"/>
      <c r="L2701" s="1774"/>
      <c r="M2701" s="1774"/>
      <c r="N2701" s="1774"/>
      <c r="O2701" s="1774"/>
      <c r="P2701" s="1774"/>
      <c r="Q2701" s="1774"/>
      <c r="R2701" s="1774"/>
      <c r="S2701" s="1774"/>
      <c r="T2701" s="1774"/>
      <c r="U2701" s="1774"/>
      <c r="V2701" s="1774"/>
      <c r="W2701" t="s">
        <v>2089</v>
      </c>
    </row>
    <row r="2702" spans="1:23" ht="13.15" customHeight="1" x14ac:dyDescent="0.2">
      <c r="A2702" s="2" t="s">
        <v>2243</v>
      </c>
      <c r="B2702" s="2">
        <f t="shared" si="84"/>
        <v>2019</v>
      </c>
      <c r="C2702" s="2" t="str">
        <f t="shared" si="85"/>
        <v>EC101</v>
      </c>
      <c r="D2702" s="2">
        <v>84</v>
      </c>
      <c r="F2702" s="1774"/>
      <c r="G2702" s="1774"/>
      <c r="H2702" s="1774"/>
      <c r="I2702" s="1774"/>
      <c r="J2702" s="1774"/>
      <c r="K2702" s="1774"/>
      <c r="L2702" s="1774"/>
      <c r="M2702" s="1774"/>
      <c r="N2702" s="1774"/>
      <c r="O2702" s="1774"/>
      <c r="P2702" s="1774"/>
      <c r="Q2702" s="1774"/>
      <c r="R2702" s="1774"/>
      <c r="S2702" s="1774"/>
      <c r="T2702" s="1774"/>
      <c r="U2702" s="1774"/>
      <c r="V2702" s="1774"/>
      <c r="W2702" t="s">
        <v>2089</v>
      </c>
    </row>
    <row r="2703" spans="1:23" ht="13.15" customHeight="1" x14ac:dyDescent="0.2">
      <c r="A2703" s="2" t="s">
        <v>2243</v>
      </c>
      <c r="B2703" s="2">
        <f t="shared" si="84"/>
        <v>2019</v>
      </c>
      <c r="C2703" s="2" t="str">
        <f t="shared" si="85"/>
        <v>EC101</v>
      </c>
      <c r="D2703" s="2">
        <v>85</v>
      </c>
      <c r="F2703" s="1774"/>
      <c r="G2703" s="1774"/>
      <c r="H2703" s="1774"/>
      <c r="I2703" s="1774"/>
      <c r="J2703" s="1774"/>
      <c r="K2703" s="1774"/>
      <c r="L2703" s="1774"/>
      <c r="M2703" s="1774"/>
      <c r="N2703" s="1774"/>
      <c r="O2703" s="1774"/>
      <c r="P2703" s="1774"/>
      <c r="Q2703" s="1774"/>
      <c r="R2703" s="1774"/>
      <c r="S2703" s="1774"/>
      <c r="T2703" s="1774"/>
      <c r="U2703" s="1774"/>
      <c r="V2703" s="1774"/>
      <c r="W2703" t="s">
        <v>2089</v>
      </c>
    </row>
    <row r="2704" spans="1:23" ht="13.15" customHeight="1" x14ac:dyDescent="0.2">
      <c r="A2704" s="2" t="s">
        <v>2243</v>
      </c>
      <c r="B2704" s="2">
        <f t="shared" si="84"/>
        <v>2019</v>
      </c>
      <c r="C2704" s="2" t="str">
        <f t="shared" si="85"/>
        <v>EC101</v>
      </c>
      <c r="D2704" s="2">
        <v>86</v>
      </c>
      <c r="F2704" s="1774"/>
      <c r="G2704" s="1774"/>
      <c r="H2704" s="1774"/>
      <c r="I2704" s="1774"/>
      <c r="J2704" s="1774"/>
      <c r="K2704" s="1774"/>
      <c r="L2704" s="1774"/>
      <c r="M2704" s="1774"/>
      <c r="N2704" s="1774"/>
      <c r="O2704" s="1774"/>
      <c r="P2704" s="1774"/>
      <c r="Q2704" s="1774"/>
      <c r="R2704" s="1774"/>
      <c r="S2704" s="1774"/>
      <c r="T2704" s="1774"/>
      <c r="U2704" s="1774"/>
      <c r="V2704" s="1774"/>
      <c r="W2704" t="s">
        <v>2089</v>
      </c>
    </row>
    <row r="2705" spans="1:23" ht="13.15" customHeight="1" x14ac:dyDescent="0.2">
      <c r="A2705" s="2" t="s">
        <v>2243</v>
      </c>
      <c r="B2705" s="2">
        <f t="shared" si="84"/>
        <v>2019</v>
      </c>
      <c r="C2705" s="2" t="str">
        <f t="shared" si="85"/>
        <v>EC101</v>
      </c>
      <c r="D2705" s="2">
        <v>87</v>
      </c>
      <c r="F2705" s="1774"/>
      <c r="G2705" s="1774"/>
      <c r="H2705" s="1774"/>
      <c r="I2705" s="1774"/>
      <c r="J2705" s="1774"/>
      <c r="K2705" s="1774"/>
      <c r="L2705" s="1774"/>
      <c r="M2705" s="1774"/>
      <c r="N2705" s="1774"/>
      <c r="O2705" s="1774"/>
      <c r="P2705" s="1774"/>
      <c r="Q2705" s="1774"/>
      <c r="R2705" s="1774"/>
      <c r="S2705" s="1774"/>
      <c r="T2705" s="1774"/>
      <c r="U2705" s="1774"/>
      <c r="V2705" s="1774"/>
      <c r="W2705" t="s">
        <v>2089</v>
      </c>
    </row>
    <row r="2706" spans="1:23" ht="13.15" customHeight="1" x14ac:dyDescent="0.2">
      <c r="A2706" s="2" t="s">
        <v>2243</v>
      </c>
      <c r="B2706" s="2">
        <f t="shared" si="84"/>
        <v>2019</v>
      </c>
      <c r="C2706" s="2" t="str">
        <f t="shared" si="85"/>
        <v>EC101</v>
      </c>
      <c r="D2706" s="2">
        <v>88</v>
      </c>
      <c r="F2706" s="1774"/>
      <c r="G2706" s="1774"/>
      <c r="H2706" s="1774"/>
      <c r="I2706" s="1774"/>
      <c r="J2706" s="1774"/>
      <c r="K2706" s="1774"/>
      <c r="L2706" s="1774"/>
      <c r="M2706" s="1774"/>
      <c r="N2706" s="1774"/>
      <c r="O2706" s="1774"/>
      <c r="P2706" s="1774"/>
      <c r="Q2706" s="1774"/>
      <c r="R2706" s="1774"/>
      <c r="S2706" s="1774"/>
      <c r="T2706" s="1774"/>
      <c r="U2706" s="1774"/>
      <c r="V2706" s="1774"/>
      <c r="W2706" t="s">
        <v>2089</v>
      </c>
    </row>
    <row r="2707" spans="1:23" ht="13.15" customHeight="1" x14ac:dyDescent="0.2">
      <c r="A2707" s="2" t="s">
        <v>2243</v>
      </c>
      <c r="B2707" s="2">
        <f t="shared" si="84"/>
        <v>2019</v>
      </c>
      <c r="C2707" s="2" t="str">
        <f t="shared" si="85"/>
        <v>EC101</v>
      </c>
      <c r="D2707" s="2">
        <v>89</v>
      </c>
      <c r="F2707" s="1774"/>
      <c r="G2707" s="1774"/>
      <c r="H2707" s="1774"/>
      <c r="I2707" s="1774"/>
      <c r="J2707" s="1774"/>
      <c r="K2707" s="1774"/>
      <c r="L2707" s="1774"/>
      <c r="M2707" s="1774"/>
      <c r="N2707" s="1774"/>
      <c r="O2707" s="1774"/>
      <c r="P2707" s="1774"/>
      <c r="Q2707" s="1774"/>
      <c r="R2707" s="1774"/>
      <c r="S2707" s="1774"/>
      <c r="T2707" s="1774"/>
      <c r="U2707" s="1774"/>
      <c r="V2707" s="1774"/>
      <c r="W2707" t="s">
        <v>2089</v>
      </c>
    </row>
    <row r="2708" spans="1:23" ht="13.15" customHeight="1" x14ac:dyDescent="0.2">
      <c r="A2708" s="2" t="s">
        <v>2243</v>
      </c>
      <c r="B2708" s="2">
        <f t="shared" si="84"/>
        <v>2019</v>
      </c>
      <c r="C2708" s="2" t="str">
        <f t="shared" si="85"/>
        <v>EC101</v>
      </c>
      <c r="D2708" s="2">
        <v>90</v>
      </c>
      <c r="F2708" s="1774"/>
      <c r="G2708" s="1774"/>
      <c r="H2708" s="1774"/>
      <c r="I2708" s="1774"/>
      <c r="J2708" s="1774"/>
      <c r="K2708" s="1774"/>
      <c r="L2708" s="1774"/>
      <c r="M2708" s="1774"/>
      <c r="N2708" s="1774"/>
      <c r="O2708" s="1774"/>
      <c r="P2708" s="1774"/>
      <c r="Q2708" s="1774"/>
      <c r="R2708" s="1774"/>
      <c r="S2708" s="1774"/>
      <c r="T2708" s="1774"/>
      <c r="U2708" s="1774"/>
      <c r="V2708" s="1774"/>
      <c r="W2708" t="s">
        <v>2089</v>
      </c>
    </row>
    <row r="2709" spans="1:23" ht="13.15" customHeight="1" x14ac:dyDescent="0.2">
      <c r="A2709" s="2" t="s">
        <v>2243</v>
      </c>
      <c r="B2709" s="2">
        <f t="shared" si="84"/>
        <v>2019</v>
      </c>
      <c r="C2709" s="2" t="str">
        <f t="shared" si="85"/>
        <v>EC101</v>
      </c>
      <c r="D2709" s="2">
        <v>91</v>
      </c>
      <c r="F2709" s="1774"/>
      <c r="G2709" s="1774"/>
      <c r="H2709" s="1774"/>
      <c r="I2709" s="1774"/>
      <c r="J2709" s="1774"/>
      <c r="K2709" s="1774"/>
      <c r="L2709" s="1774"/>
      <c r="M2709" s="1774"/>
      <c r="N2709" s="1774"/>
      <c r="O2709" s="1774"/>
      <c r="P2709" s="1774"/>
      <c r="Q2709" s="1774"/>
      <c r="R2709" s="1774"/>
      <c r="S2709" s="1774"/>
      <c r="T2709" s="1774"/>
      <c r="U2709" s="1774"/>
      <c r="V2709" s="1774"/>
      <c r="W2709" t="s">
        <v>2089</v>
      </c>
    </row>
    <row r="2710" spans="1:23" ht="13.15" customHeight="1" x14ac:dyDescent="0.2">
      <c r="A2710" s="2" t="s">
        <v>2243</v>
      </c>
      <c r="B2710" s="2">
        <f t="shared" si="84"/>
        <v>2019</v>
      </c>
      <c r="C2710" s="2" t="str">
        <f t="shared" si="85"/>
        <v>EC101</v>
      </c>
      <c r="D2710" s="2">
        <v>92</v>
      </c>
      <c r="F2710" s="1774"/>
      <c r="G2710" s="1774"/>
      <c r="H2710" s="1774"/>
      <c r="I2710" s="1774"/>
      <c r="J2710" s="1774"/>
      <c r="K2710" s="1774"/>
      <c r="L2710" s="1774"/>
      <c r="M2710" s="1774"/>
      <c r="N2710" s="1774"/>
      <c r="O2710" s="1774"/>
      <c r="P2710" s="1774"/>
      <c r="Q2710" s="1774"/>
      <c r="R2710" s="1774"/>
      <c r="S2710" s="1774"/>
      <c r="T2710" s="1774"/>
      <c r="U2710" s="1774"/>
      <c r="V2710" s="1774"/>
      <c r="W2710" t="s">
        <v>2089</v>
      </c>
    </row>
    <row r="2711" spans="1:23" ht="13.15" customHeight="1" x14ac:dyDescent="0.2">
      <c r="A2711" s="2" t="s">
        <v>2243</v>
      </c>
      <c r="B2711" s="2">
        <f t="shared" si="84"/>
        <v>2019</v>
      </c>
      <c r="C2711" s="2" t="str">
        <f t="shared" si="85"/>
        <v>EC101</v>
      </c>
      <c r="D2711" s="2">
        <v>93</v>
      </c>
      <c r="F2711" s="1774"/>
      <c r="G2711" s="1774"/>
      <c r="H2711" s="1774"/>
      <c r="I2711" s="1774"/>
      <c r="J2711" s="1774"/>
      <c r="K2711" s="1774"/>
      <c r="L2711" s="1774"/>
      <c r="M2711" s="1774"/>
      <c r="N2711" s="1774"/>
      <c r="O2711" s="1774"/>
      <c r="P2711" s="1774"/>
      <c r="Q2711" s="1774"/>
      <c r="R2711" s="1774"/>
      <c r="S2711" s="1774"/>
      <c r="T2711" s="1774"/>
      <c r="U2711" s="1774"/>
      <c r="V2711" s="1774"/>
      <c r="W2711" t="s">
        <v>2089</v>
      </c>
    </row>
    <row r="2712" spans="1:23" ht="13.15" customHeight="1" x14ac:dyDescent="0.2">
      <c r="A2712" s="2" t="s">
        <v>2243</v>
      </c>
      <c r="B2712" s="2">
        <f t="shared" si="84"/>
        <v>2019</v>
      </c>
      <c r="C2712" s="2" t="str">
        <f t="shared" si="85"/>
        <v>EC101</v>
      </c>
      <c r="D2712" s="2">
        <v>94</v>
      </c>
      <c r="F2712" s="1774"/>
      <c r="G2712" s="1774"/>
      <c r="H2712" s="1774"/>
      <c r="I2712" s="1774"/>
      <c r="J2712" s="1774"/>
      <c r="K2712" s="1774"/>
      <c r="L2712" s="1774"/>
      <c r="M2712" s="1774"/>
      <c r="N2712" s="1774"/>
      <c r="O2712" s="1774"/>
      <c r="P2712" s="1774"/>
      <c r="Q2712" s="1774"/>
      <c r="R2712" s="1774"/>
      <c r="S2712" s="1774"/>
      <c r="T2712" s="1774"/>
      <c r="U2712" s="1774"/>
      <c r="V2712" s="1774"/>
      <c r="W2712" t="s">
        <v>2089</v>
      </c>
    </row>
    <row r="2713" spans="1:23" ht="13.15" customHeight="1" x14ac:dyDescent="0.2">
      <c r="A2713" s="2" t="s">
        <v>2243</v>
      </c>
      <c r="B2713" s="2">
        <f t="shared" si="84"/>
        <v>2019</v>
      </c>
      <c r="C2713" s="2" t="str">
        <f t="shared" si="85"/>
        <v>EC101</v>
      </c>
      <c r="D2713" s="2">
        <v>95</v>
      </c>
      <c r="F2713" s="1774"/>
      <c r="G2713" s="1774"/>
      <c r="H2713" s="1774"/>
      <c r="I2713" s="1774"/>
      <c r="J2713" s="1774"/>
      <c r="K2713" s="1774"/>
      <c r="L2713" s="1774"/>
      <c r="M2713" s="1774"/>
      <c r="N2713" s="1774"/>
      <c r="O2713" s="1774"/>
      <c r="P2713" s="1774"/>
      <c r="Q2713" s="1774"/>
      <c r="R2713" s="1774"/>
      <c r="S2713" s="1774"/>
      <c r="T2713" s="1774"/>
      <c r="U2713" s="1774"/>
      <c r="V2713" s="1774"/>
      <c r="W2713" t="s">
        <v>2089</v>
      </c>
    </row>
    <row r="2714" spans="1:23" ht="13.15" customHeight="1" x14ac:dyDescent="0.2">
      <c r="A2714" s="2" t="s">
        <v>2243</v>
      </c>
      <c r="B2714" s="2">
        <f t="shared" si="84"/>
        <v>2019</v>
      </c>
      <c r="C2714" s="2" t="str">
        <f t="shared" si="85"/>
        <v>EC101</v>
      </c>
      <c r="D2714" s="2">
        <v>96</v>
      </c>
      <c r="F2714" s="1774"/>
      <c r="G2714" s="1774"/>
      <c r="H2714" s="1774"/>
      <c r="I2714" s="1774"/>
      <c r="J2714" s="1774"/>
      <c r="K2714" s="1774"/>
      <c r="L2714" s="1774"/>
      <c r="M2714" s="1774"/>
      <c r="N2714" s="1774"/>
      <c r="O2714" s="1774"/>
      <c r="P2714" s="1774"/>
      <c r="Q2714" s="1774"/>
      <c r="R2714" s="1774"/>
      <c r="S2714" s="1774"/>
      <c r="T2714" s="1774"/>
      <c r="U2714" s="1774"/>
      <c r="V2714" s="1774"/>
      <c r="W2714" t="s">
        <v>2089</v>
      </c>
    </row>
    <row r="2715" spans="1:23" ht="13.15" customHeight="1" x14ac:dyDescent="0.2">
      <c r="A2715" s="2" t="s">
        <v>2243</v>
      </c>
      <c r="B2715" s="2">
        <f t="shared" si="84"/>
        <v>2019</v>
      </c>
      <c r="C2715" s="2" t="str">
        <f t="shared" si="85"/>
        <v>EC101</v>
      </c>
      <c r="D2715" s="2">
        <v>97</v>
      </c>
      <c r="F2715" s="1774"/>
      <c r="G2715" s="1774"/>
      <c r="H2715" s="1774"/>
      <c r="I2715" s="1774"/>
      <c r="J2715" s="1774"/>
      <c r="K2715" s="1774"/>
      <c r="L2715" s="1774"/>
      <c r="M2715" s="1774"/>
      <c r="N2715" s="1774"/>
      <c r="O2715" s="1774"/>
      <c r="P2715" s="1774"/>
      <c r="Q2715" s="1774"/>
      <c r="R2715" s="1774"/>
      <c r="S2715" s="1774"/>
      <c r="T2715" s="1774"/>
      <c r="U2715" s="1774"/>
      <c r="V2715" s="1774"/>
      <c r="W2715" t="s">
        <v>2089</v>
      </c>
    </row>
    <row r="2716" spans="1:23" ht="13.15" customHeight="1" x14ac:dyDescent="0.2">
      <c r="A2716" s="2" t="s">
        <v>2243</v>
      </c>
      <c r="B2716" s="2">
        <f t="shared" si="84"/>
        <v>2019</v>
      </c>
      <c r="C2716" s="2" t="str">
        <f t="shared" si="85"/>
        <v>EC101</v>
      </c>
      <c r="D2716" s="2">
        <v>98</v>
      </c>
      <c r="F2716" s="1774"/>
      <c r="G2716" s="1774"/>
      <c r="H2716" s="1774"/>
      <c r="I2716" s="1774"/>
      <c r="J2716" s="1774"/>
      <c r="K2716" s="1774"/>
      <c r="L2716" s="1774"/>
      <c r="M2716" s="1774"/>
      <c r="N2716" s="1774"/>
      <c r="O2716" s="1774"/>
      <c r="P2716" s="1774"/>
      <c r="Q2716" s="1774"/>
      <c r="R2716" s="1774"/>
      <c r="S2716" s="1774"/>
      <c r="T2716" s="1774"/>
      <c r="U2716" s="1774"/>
      <c r="V2716" s="1774"/>
      <c r="W2716" t="s">
        <v>2089</v>
      </c>
    </row>
    <row r="2717" spans="1:23" ht="13.15" customHeight="1" x14ac:dyDescent="0.2">
      <c r="A2717" s="2" t="s">
        <v>2243</v>
      </c>
      <c r="B2717" s="2">
        <f t="shared" si="84"/>
        <v>2019</v>
      </c>
      <c r="C2717" s="2" t="str">
        <f t="shared" si="85"/>
        <v>EC101</v>
      </c>
      <c r="D2717" s="2">
        <v>99</v>
      </c>
      <c r="F2717" s="1774"/>
      <c r="G2717" s="1774"/>
      <c r="H2717" s="1774"/>
      <c r="I2717" s="1774"/>
      <c r="J2717" s="1774"/>
      <c r="K2717" s="1774"/>
      <c r="L2717" s="1774"/>
      <c r="M2717" s="1774"/>
      <c r="N2717" s="1774"/>
      <c r="O2717" s="1774"/>
      <c r="P2717" s="1774"/>
      <c r="Q2717" s="1774"/>
      <c r="R2717" s="1774"/>
      <c r="S2717" s="1774"/>
      <c r="T2717" s="1774"/>
      <c r="U2717" s="1774"/>
      <c r="V2717" s="1774"/>
      <c r="W2717" t="s">
        <v>2089</v>
      </c>
    </row>
    <row r="2718" spans="1:23" ht="13.15" customHeight="1" x14ac:dyDescent="0.2">
      <c r="A2718" s="2" t="s">
        <v>2243</v>
      </c>
      <c r="B2718" s="2">
        <f t="shared" si="84"/>
        <v>2019</v>
      </c>
      <c r="C2718" s="2" t="str">
        <f t="shared" si="85"/>
        <v>EC101</v>
      </c>
      <c r="D2718" s="2">
        <v>100</v>
      </c>
      <c r="F2718" s="1774"/>
      <c r="G2718" s="1774"/>
      <c r="H2718" s="1774"/>
      <c r="I2718" s="1774"/>
      <c r="J2718" s="1774"/>
      <c r="K2718" s="1774"/>
      <c r="L2718" s="1774"/>
      <c r="M2718" s="1774"/>
      <c r="N2718" s="1774"/>
      <c r="O2718" s="1774"/>
      <c r="P2718" s="1774"/>
      <c r="Q2718" s="1774"/>
      <c r="R2718" s="1774"/>
      <c r="S2718" s="1774"/>
      <c r="T2718" s="1774"/>
      <c r="U2718" s="1774"/>
      <c r="V2718" s="1774"/>
      <c r="W2718" t="s">
        <v>2089</v>
      </c>
    </row>
    <row r="2719" spans="1:23" ht="13.15" customHeight="1" x14ac:dyDescent="0.2">
      <c r="A2719" s="2" t="s">
        <v>2243</v>
      </c>
      <c r="B2719" s="2">
        <f t="shared" si="84"/>
        <v>2019</v>
      </c>
      <c r="C2719" s="2" t="str">
        <f t="shared" si="85"/>
        <v>EC101</v>
      </c>
      <c r="D2719" s="2">
        <v>101</v>
      </c>
      <c r="F2719" s="1774"/>
      <c r="G2719" s="1774"/>
      <c r="H2719" s="1774"/>
      <c r="I2719" s="1774"/>
      <c r="J2719" s="1774"/>
      <c r="K2719" s="1774"/>
      <c r="L2719" s="1774"/>
      <c r="M2719" s="1774"/>
      <c r="N2719" s="1774"/>
      <c r="O2719" s="1774"/>
      <c r="P2719" s="1774"/>
      <c r="Q2719" s="1774"/>
      <c r="R2719" s="1774"/>
      <c r="S2719" s="1774"/>
      <c r="T2719" s="1774"/>
      <c r="U2719" s="1774"/>
      <c r="V2719" s="1774"/>
      <c r="W2719" t="s">
        <v>2089</v>
      </c>
    </row>
    <row r="2720" spans="1:23" ht="13.15" customHeight="1" x14ac:dyDescent="0.2">
      <c r="A2720" s="2" t="s">
        <v>2243</v>
      </c>
      <c r="B2720" s="2">
        <f t="shared" si="84"/>
        <v>2019</v>
      </c>
      <c r="C2720" s="2" t="str">
        <f t="shared" si="85"/>
        <v>EC101</v>
      </c>
      <c r="D2720" s="2">
        <v>102</v>
      </c>
      <c r="F2720" s="1774"/>
      <c r="G2720" s="1774"/>
      <c r="H2720" s="1774"/>
      <c r="I2720" s="1774"/>
      <c r="J2720" s="1774"/>
      <c r="K2720" s="1774"/>
      <c r="L2720" s="1774"/>
      <c r="M2720" s="1774"/>
      <c r="N2720" s="1774"/>
      <c r="O2720" s="1774"/>
      <c r="P2720" s="1774"/>
      <c r="Q2720" s="1774"/>
      <c r="R2720" s="1774"/>
      <c r="S2720" s="1774"/>
      <c r="T2720" s="1774"/>
      <c r="U2720" s="1774"/>
      <c r="V2720" s="1774"/>
      <c r="W2720" t="s">
        <v>2089</v>
      </c>
    </row>
    <row r="2721" spans="1:23" ht="13.15" customHeight="1" x14ac:dyDescent="0.2">
      <c r="A2721" s="2" t="s">
        <v>2243</v>
      </c>
      <c r="B2721" s="2">
        <f t="shared" si="84"/>
        <v>2019</v>
      </c>
      <c r="C2721" s="2" t="str">
        <f t="shared" si="85"/>
        <v>EC101</v>
      </c>
      <c r="D2721" s="2">
        <v>103</v>
      </c>
      <c r="F2721" s="1774"/>
      <c r="G2721" s="1774"/>
      <c r="H2721" s="1774"/>
      <c r="I2721" s="1774"/>
      <c r="J2721" s="1774"/>
      <c r="K2721" s="1774"/>
      <c r="L2721" s="1774"/>
      <c r="M2721" s="1774"/>
      <c r="N2721" s="1774"/>
      <c r="O2721" s="1774"/>
      <c r="P2721" s="1774"/>
      <c r="Q2721" s="1774"/>
      <c r="R2721" s="1774"/>
      <c r="S2721" s="1774"/>
      <c r="T2721" s="1774"/>
      <c r="U2721" s="1774"/>
      <c r="V2721" s="1774"/>
      <c r="W2721" t="s">
        <v>2089</v>
      </c>
    </row>
    <row r="2722" spans="1:23" ht="13.15" customHeight="1" x14ac:dyDescent="0.2">
      <c r="A2722" s="2" t="s">
        <v>2243</v>
      </c>
      <c r="B2722" s="2">
        <f t="shared" si="84"/>
        <v>2019</v>
      </c>
      <c r="C2722" s="2" t="str">
        <f t="shared" si="85"/>
        <v>EC101</v>
      </c>
      <c r="D2722" s="2">
        <v>104</v>
      </c>
      <c r="F2722" s="1774"/>
      <c r="G2722" s="1774"/>
      <c r="H2722" s="1774"/>
      <c r="I2722" s="1774"/>
      <c r="J2722" s="1774"/>
      <c r="K2722" s="1774"/>
      <c r="L2722" s="1774"/>
      <c r="M2722" s="1774"/>
      <c r="N2722" s="1774"/>
      <c r="O2722" s="1774"/>
      <c r="P2722" s="1774"/>
      <c r="Q2722" s="1774"/>
      <c r="R2722" s="1774"/>
      <c r="S2722" s="1774"/>
      <c r="T2722" s="1774"/>
      <c r="U2722" s="1774"/>
      <c r="V2722" s="1774"/>
      <c r="W2722" t="s">
        <v>2089</v>
      </c>
    </row>
    <row r="2723" spans="1:23" ht="13.15" customHeight="1" x14ac:dyDescent="0.2">
      <c r="A2723" s="2" t="s">
        <v>2243</v>
      </c>
      <c r="B2723" s="2">
        <f t="shared" si="84"/>
        <v>2019</v>
      </c>
      <c r="C2723" s="2" t="str">
        <f t="shared" si="85"/>
        <v>EC101</v>
      </c>
      <c r="D2723" s="2">
        <v>105</v>
      </c>
      <c r="F2723" s="1774"/>
      <c r="G2723" s="1774"/>
      <c r="H2723" s="1774"/>
      <c r="I2723" s="1774"/>
      <c r="J2723" s="1774"/>
      <c r="K2723" s="1774"/>
      <c r="L2723" s="1774"/>
      <c r="M2723" s="1774"/>
      <c r="N2723" s="1774"/>
      <c r="O2723" s="1774"/>
      <c r="P2723" s="1774"/>
      <c r="Q2723" s="1774"/>
      <c r="R2723" s="1774"/>
      <c r="S2723" s="1774"/>
      <c r="T2723" s="1774"/>
      <c r="U2723" s="1774"/>
      <c r="V2723" s="1774"/>
      <c r="W2723" t="s">
        <v>2089</v>
      </c>
    </row>
    <row r="2724" spans="1:23" ht="13.15" customHeight="1" x14ac:dyDescent="0.2">
      <c r="A2724" s="2" t="s">
        <v>2243</v>
      </c>
      <c r="B2724" s="2">
        <f t="shared" si="84"/>
        <v>2019</v>
      </c>
      <c r="C2724" s="2" t="str">
        <f t="shared" si="85"/>
        <v>EC101</v>
      </c>
      <c r="D2724" s="2">
        <v>106</v>
      </c>
      <c r="F2724" s="1774"/>
      <c r="G2724" s="1774"/>
      <c r="H2724" s="1774"/>
      <c r="I2724" s="1774"/>
      <c r="J2724" s="1774"/>
      <c r="K2724" s="1774"/>
      <c r="L2724" s="1774"/>
      <c r="M2724" s="1774"/>
      <c r="N2724" s="1774"/>
      <c r="O2724" s="1774"/>
      <c r="P2724" s="1774"/>
      <c r="Q2724" s="1774"/>
      <c r="R2724" s="1774"/>
      <c r="S2724" s="1774"/>
      <c r="T2724" s="1774"/>
      <c r="U2724" s="1774"/>
      <c r="V2724" s="1774"/>
      <c r="W2724" t="s">
        <v>2089</v>
      </c>
    </row>
    <row r="2725" spans="1:23" ht="13.15" customHeight="1" x14ac:dyDescent="0.2">
      <c r="A2725" s="2" t="s">
        <v>2243</v>
      </c>
      <c r="B2725" s="2">
        <f t="shared" si="84"/>
        <v>2019</v>
      </c>
      <c r="C2725" s="2" t="str">
        <f t="shared" si="85"/>
        <v>EC101</v>
      </c>
      <c r="D2725" s="2">
        <v>107</v>
      </c>
      <c r="F2725" s="1774"/>
      <c r="G2725" s="1774"/>
      <c r="H2725" s="1774"/>
      <c r="I2725" s="1774"/>
      <c r="J2725" s="1774"/>
      <c r="K2725" s="1774"/>
      <c r="L2725" s="1774"/>
      <c r="M2725" s="1774"/>
      <c r="N2725" s="1774"/>
      <c r="O2725" s="1774"/>
      <c r="P2725" s="1774"/>
      <c r="Q2725" s="1774"/>
      <c r="R2725" s="1774"/>
      <c r="S2725" s="1774"/>
      <c r="T2725" s="1774"/>
      <c r="U2725" s="1774"/>
      <c r="V2725" s="1774"/>
      <c r="W2725" t="s">
        <v>2089</v>
      </c>
    </row>
    <row r="2726" spans="1:23" ht="13.15" customHeight="1" x14ac:dyDescent="0.2">
      <c r="A2726" s="2" t="s">
        <v>2243</v>
      </c>
      <c r="B2726" s="2">
        <f t="shared" si="84"/>
        <v>2019</v>
      </c>
      <c r="C2726" s="2" t="str">
        <f t="shared" si="85"/>
        <v>EC101</v>
      </c>
      <c r="D2726" s="2">
        <v>108</v>
      </c>
      <c r="F2726" s="1774"/>
      <c r="G2726" s="1774"/>
      <c r="H2726" s="1774"/>
      <c r="I2726" s="1774"/>
      <c r="J2726" s="1774"/>
      <c r="K2726" s="1774"/>
      <c r="L2726" s="1774"/>
      <c r="M2726" s="1774"/>
      <c r="N2726" s="1774"/>
      <c r="O2726" s="1774"/>
      <c r="P2726" s="1774"/>
      <c r="Q2726" s="1774"/>
      <c r="R2726" s="1774"/>
      <c r="S2726" s="1774"/>
      <c r="T2726" s="1774"/>
      <c r="U2726" s="1774"/>
      <c r="V2726" s="1774"/>
      <c r="W2726" t="s">
        <v>2089</v>
      </c>
    </row>
    <row r="2727" spans="1:23" ht="13.15" customHeight="1" x14ac:dyDescent="0.2">
      <c r="A2727" s="2" t="s">
        <v>2243</v>
      </c>
      <c r="B2727" s="2">
        <f t="shared" si="84"/>
        <v>2019</v>
      </c>
      <c r="C2727" s="2" t="str">
        <f t="shared" si="85"/>
        <v>EC101</v>
      </c>
      <c r="D2727" s="2">
        <v>109</v>
      </c>
      <c r="F2727" s="1774"/>
      <c r="G2727" s="1774"/>
      <c r="H2727" s="1774"/>
      <c r="I2727" s="1774"/>
      <c r="J2727" s="1774"/>
      <c r="K2727" s="1774"/>
      <c r="L2727" s="1774"/>
      <c r="M2727" s="1774"/>
      <c r="N2727" s="1774"/>
      <c r="O2727" s="1774"/>
      <c r="P2727" s="1774"/>
      <c r="Q2727" s="1774"/>
      <c r="R2727" s="1774"/>
      <c r="S2727" s="1774"/>
      <c r="T2727" s="1774"/>
      <c r="U2727" s="1774"/>
      <c r="V2727" s="1774"/>
      <c r="W2727" t="s">
        <v>2089</v>
      </c>
    </row>
    <row r="2728" spans="1:23" ht="13.15" customHeight="1" x14ac:dyDescent="0.2">
      <c r="A2728" s="2" t="s">
        <v>2243</v>
      </c>
      <c r="B2728" s="2">
        <f t="shared" si="84"/>
        <v>2019</v>
      </c>
      <c r="C2728" s="2" t="str">
        <f t="shared" si="85"/>
        <v>EC101</v>
      </c>
      <c r="D2728" s="2">
        <v>110</v>
      </c>
      <c r="F2728" s="1774"/>
      <c r="G2728" s="1774"/>
      <c r="H2728" s="1774"/>
      <c r="I2728" s="1774"/>
      <c r="J2728" s="1774"/>
      <c r="K2728" s="1774"/>
      <c r="L2728" s="1774"/>
      <c r="M2728" s="1774"/>
      <c r="N2728" s="1774"/>
      <c r="O2728" s="1774"/>
      <c r="P2728" s="1774"/>
      <c r="Q2728" s="1774"/>
      <c r="R2728" s="1774"/>
      <c r="S2728" s="1774"/>
      <c r="T2728" s="1774"/>
      <c r="U2728" s="1774"/>
      <c r="V2728" s="1774"/>
      <c r="W2728" t="s">
        <v>2089</v>
      </c>
    </row>
    <row r="2729" spans="1:23" ht="13.15" customHeight="1" x14ac:dyDescent="0.2">
      <c r="A2729" s="2" t="s">
        <v>2243</v>
      </c>
      <c r="B2729" s="2">
        <f t="shared" si="84"/>
        <v>2019</v>
      </c>
      <c r="C2729" s="2" t="str">
        <f t="shared" si="85"/>
        <v>EC101</v>
      </c>
      <c r="D2729" s="2">
        <v>111</v>
      </c>
      <c r="F2729" s="1774"/>
      <c r="G2729" s="1774"/>
      <c r="H2729" s="1774"/>
      <c r="I2729" s="1774"/>
      <c r="J2729" s="1774"/>
      <c r="K2729" s="1774"/>
      <c r="L2729" s="1774"/>
      <c r="M2729" s="1774"/>
      <c r="N2729" s="1774"/>
      <c r="O2729" s="1774"/>
      <c r="P2729" s="1774"/>
      <c r="Q2729" s="1774"/>
      <c r="R2729" s="1774"/>
      <c r="S2729" s="1774"/>
      <c r="T2729" s="1774"/>
      <c r="U2729" s="1774"/>
      <c r="V2729" s="1774"/>
      <c r="W2729" t="s">
        <v>2089</v>
      </c>
    </row>
    <row r="2730" spans="1:23" ht="13.15" customHeight="1" x14ac:dyDescent="0.2">
      <c r="A2730" s="2" t="s">
        <v>2243</v>
      </c>
      <c r="B2730" s="2">
        <f t="shared" si="84"/>
        <v>2019</v>
      </c>
      <c r="C2730" s="2" t="str">
        <f t="shared" si="85"/>
        <v>EC101</v>
      </c>
      <c r="D2730" s="2">
        <v>112</v>
      </c>
      <c r="F2730" s="1774"/>
      <c r="G2730" s="1774"/>
      <c r="H2730" s="1774"/>
      <c r="I2730" s="1774"/>
      <c r="J2730" s="1774"/>
      <c r="K2730" s="1774"/>
      <c r="L2730" s="1774"/>
      <c r="M2730" s="1774"/>
      <c r="N2730" s="1774"/>
      <c r="O2730" s="1774"/>
      <c r="P2730" s="1774"/>
      <c r="Q2730" s="1774"/>
      <c r="R2730" s="1774"/>
      <c r="S2730" s="1774"/>
      <c r="T2730" s="1774"/>
      <c r="U2730" s="1774"/>
      <c r="V2730" s="1774"/>
      <c r="W2730" t="s">
        <v>2089</v>
      </c>
    </row>
    <row r="2731" spans="1:23" ht="13.15" customHeight="1" x14ac:dyDescent="0.2">
      <c r="A2731" s="2" t="s">
        <v>2243</v>
      </c>
      <c r="B2731" s="2">
        <f t="shared" si="84"/>
        <v>2019</v>
      </c>
      <c r="C2731" s="2" t="str">
        <f t="shared" si="85"/>
        <v>EC101</v>
      </c>
      <c r="D2731" s="2">
        <v>113</v>
      </c>
      <c r="F2731" s="1774"/>
      <c r="G2731" s="1774"/>
      <c r="H2731" s="1774"/>
      <c r="I2731" s="1774"/>
      <c r="J2731" s="1774"/>
      <c r="K2731" s="1774"/>
      <c r="L2731" s="1774"/>
      <c r="M2731" s="1774"/>
      <c r="N2731" s="1774"/>
      <c r="O2731" s="1774"/>
      <c r="P2731" s="1774"/>
      <c r="Q2731" s="1774"/>
      <c r="R2731" s="1774"/>
      <c r="S2731" s="1774"/>
      <c r="T2731" s="1774"/>
      <c r="U2731" s="1774"/>
      <c r="V2731" s="1774"/>
      <c r="W2731" t="s">
        <v>2089</v>
      </c>
    </row>
    <row r="2732" spans="1:23" ht="13.15" customHeight="1" x14ac:dyDescent="0.2">
      <c r="A2732" s="2" t="s">
        <v>2243</v>
      </c>
      <c r="B2732" s="2">
        <f t="shared" si="84"/>
        <v>2019</v>
      </c>
      <c r="C2732" s="2" t="str">
        <f t="shared" si="85"/>
        <v>EC101</v>
      </c>
      <c r="D2732" s="2">
        <v>114</v>
      </c>
      <c r="F2732" s="1774"/>
      <c r="G2732" s="1774"/>
      <c r="H2732" s="1774"/>
      <c r="I2732" s="1774"/>
      <c r="J2732" s="1774"/>
      <c r="K2732" s="1774"/>
      <c r="L2732" s="1774"/>
      <c r="M2732" s="1774"/>
      <c r="N2732" s="1774"/>
      <c r="O2732" s="1774"/>
      <c r="P2732" s="1774"/>
      <c r="Q2732" s="1774"/>
      <c r="R2732" s="1774"/>
      <c r="S2732" s="1774"/>
      <c r="T2732" s="1774"/>
      <c r="U2732" s="1774"/>
      <c r="V2732" s="1774"/>
      <c r="W2732" t="s">
        <v>2089</v>
      </c>
    </row>
    <row r="2733" spans="1:23" ht="13.15" customHeight="1" x14ac:dyDescent="0.2">
      <c r="A2733" s="2" t="s">
        <v>2243</v>
      </c>
      <c r="B2733" s="2">
        <f t="shared" si="84"/>
        <v>2019</v>
      </c>
      <c r="C2733" s="2" t="str">
        <f t="shared" si="85"/>
        <v>EC101</v>
      </c>
      <c r="D2733" s="2">
        <v>115</v>
      </c>
      <c r="F2733" s="1774"/>
      <c r="G2733" s="1774"/>
      <c r="H2733" s="1774"/>
      <c r="I2733" s="1774"/>
      <c r="J2733" s="1774"/>
      <c r="K2733" s="1774"/>
      <c r="L2733" s="1774"/>
      <c r="M2733" s="1774"/>
      <c r="N2733" s="1774"/>
      <c r="O2733" s="1774"/>
      <c r="P2733" s="1774"/>
      <c r="Q2733" s="1774"/>
      <c r="R2733" s="1774"/>
      <c r="S2733" s="1774"/>
      <c r="T2733" s="1774"/>
      <c r="U2733" s="1774"/>
      <c r="V2733" s="1774"/>
      <c r="W2733" t="s">
        <v>2089</v>
      </c>
    </row>
    <row r="2734" spans="1:23" ht="13.15" customHeight="1" x14ac:dyDescent="0.2">
      <c r="A2734" s="2" t="s">
        <v>2243</v>
      </c>
      <c r="B2734" s="2">
        <f t="shared" si="84"/>
        <v>2019</v>
      </c>
      <c r="C2734" s="2" t="str">
        <f t="shared" si="85"/>
        <v>EC101</v>
      </c>
      <c r="D2734" s="2">
        <v>116</v>
      </c>
      <c r="F2734" s="1774"/>
      <c r="G2734" s="1774"/>
      <c r="H2734" s="1774"/>
      <c r="I2734" s="1774"/>
      <c r="J2734" s="1774"/>
      <c r="K2734" s="1774"/>
      <c r="L2734" s="1774"/>
      <c r="M2734" s="1774"/>
      <c r="N2734" s="1774"/>
      <c r="O2734" s="1774"/>
      <c r="P2734" s="1774"/>
      <c r="Q2734" s="1774"/>
      <c r="R2734" s="1774"/>
      <c r="S2734" s="1774"/>
      <c r="T2734" s="1774"/>
      <c r="U2734" s="1774"/>
      <c r="V2734" s="1774"/>
      <c r="W2734" t="s">
        <v>2089</v>
      </c>
    </row>
    <row r="2735" spans="1:23" ht="13.15" customHeight="1" x14ac:dyDescent="0.2">
      <c r="A2735" s="2" t="s">
        <v>2243</v>
      </c>
      <c r="B2735" s="2">
        <f t="shared" si="84"/>
        <v>2019</v>
      </c>
      <c r="C2735" s="2" t="str">
        <f t="shared" si="85"/>
        <v>EC101</v>
      </c>
      <c r="D2735" s="2">
        <v>117</v>
      </c>
      <c r="F2735" s="1774"/>
      <c r="G2735" s="1774"/>
      <c r="H2735" s="1774"/>
      <c r="I2735" s="1774"/>
      <c r="J2735" s="1774"/>
      <c r="K2735" s="1774"/>
      <c r="L2735" s="1774"/>
      <c r="M2735" s="1774"/>
      <c r="N2735" s="1774"/>
      <c r="O2735" s="1774"/>
      <c r="P2735" s="1774"/>
      <c r="Q2735" s="1774"/>
      <c r="R2735" s="1774"/>
      <c r="S2735" s="1774"/>
      <c r="T2735" s="1774"/>
      <c r="U2735" s="1774"/>
      <c r="V2735" s="1774"/>
      <c r="W2735" t="s">
        <v>2089</v>
      </c>
    </row>
    <row r="2736" spans="1:23" ht="13.15" customHeight="1" x14ac:dyDescent="0.2">
      <c r="A2736" s="2" t="s">
        <v>2243</v>
      </c>
      <c r="B2736" s="2">
        <f t="shared" si="84"/>
        <v>2019</v>
      </c>
      <c r="C2736" s="2" t="str">
        <f t="shared" si="85"/>
        <v>EC101</v>
      </c>
      <c r="D2736" s="2">
        <v>118</v>
      </c>
      <c r="F2736" s="1774"/>
      <c r="G2736" s="1774"/>
      <c r="H2736" s="1774"/>
      <c r="I2736" s="1774"/>
      <c r="J2736" s="1774"/>
      <c r="K2736" s="1774"/>
      <c r="L2736" s="1774"/>
      <c r="M2736" s="1774"/>
      <c r="N2736" s="1774"/>
      <c r="O2736" s="1774"/>
      <c r="P2736" s="1774"/>
      <c r="Q2736" s="1774"/>
      <c r="R2736" s="1774"/>
      <c r="S2736" s="1774"/>
      <c r="T2736" s="1774"/>
      <c r="U2736" s="1774"/>
      <c r="V2736" s="1774"/>
      <c r="W2736" t="s">
        <v>2089</v>
      </c>
    </row>
    <row r="2737" spans="1:23" ht="13.15" customHeight="1" x14ac:dyDescent="0.2">
      <c r="A2737" s="2" t="s">
        <v>2243</v>
      </c>
      <c r="B2737" s="2">
        <f t="shared" si="84"/>
        <v>2019</v>
      </c>
      <c r="C2737" s="2" t="str">
        <f t="shared" si="85"/>
        <v>EC101</v>
      </c>
      <c r="D2737" s="2">
        <v>119</v>
      </c>
      <c r="F2737" s="1774"/>
      <c r="G2737" s="1774"/>
      <c r="H2737" s="1774"/>
      <c r="I2737" s="1774"/>
      <c r="J2737" s="1774"/>
      <c r="K2737" s="1774"/>
      <c r="L2737" s="1774"/>
      <c r="M2737" s="1774"/>
      <c r="N2737" s="1774"/>
      <c r="O2737" s="1774"/>
      <c r="P2737" s="1774"/>
      <c r="Q2737" s="1774"/>
      <c r="R2737" s="1774"/>
      <c r="S2737" s="1774"/>
      <c r="T2737" s="1774"/>
      <c r="U2737" s="1774"/>
      <c r="V2737" s="1774"/>
      <c r="W2737" t="s">
        <v>2089</v>
      </c>
    </row>
    <row r="2738" spans="1:23" ht="13.15" customHeight="1" x14ac:dyDescent="0.2">
      <c r="A2738" s="2" t="s">
        <v>2243</v>
      </c>
      <c r="B2738" s="2">
        <f t="shared" si="84"/>
        <v>2019</v>
      </c>
      <c r="C2738" s="2" t="str">
        <f t="shared" si="85"/>
        <v>EC101</v>
      </c>
      <c r="D2738" s="2">
        <v>120</v>
      </c>
      <c r="F2738" s="1774"/>
      <c r="G2738" s="1774"/>
      <c r="H2738" s="1774"/>
      <c r="I2738" s="1774"/>
      <c r="J2738" s="1774"/>
      <c r="K2738" s="1774"/>
      <c r="L2738" s="1774"/>
      <c r="M2738" s="1774"/>
      <c r="N2738" s="1774"/>
      <c r="O2738" s="1774"/>
      <c r="P2738" s="1774"/>
      <c r="Q2738" s="1774"/>
      <c r="R2738" s="1774"/>
      <c r="S2738" s="1774"/>
      <c r="T2738" s="1774"/>
      <c r="U2738" s="1774"/>
      <c r="V2738" s="1774"/>
      <c r="W2738" t="s">
        <v>2089</v>
      </c>
    </row>
    <row r="2739" spans="1:23" ht="13.15" customHeight="1" x14ac:dyDescent="0.2">
      <c r="A2739" s="2" t="s">
        <v>2243</v>
      </c>
      <c r="B2739" s="2">
        <f t="shared" si="84"/>
        <v>2019</v>
      </c>
      <c r="C2739" s="2" t="str">
        <f t="shared" si="85"/>
        <v>EC101</v>
      </c>
      <c r="D2739" s="2">
        <v>121</v>
      </c>
      <c r="F2739" s="1774"/>
      <c r="G2739" s="1774"/>
      <c r="H2739" s="1774"/>
      <c r="I2739" s="1774"/>
      <c r="J2739" s="1774"/>
      <c r="K2739" s="1774"/>
      <c r="L2739" s="1774"/>
      <c r="M2739" s="1774"/>
      <c r="N2739" s="1774"/>
      <c r="O2739" s="1774"/>
      <c r="P2739" s="1774"/>
      <c r="Q2739" s="1774"/>
      <c r="R2739" s="1774"/>
      <c r="S2739" s="1774"/>
      <c r="T2739" s="1774"/>
      <c r="U2739" s="1774"/>
      <c r="V2739" s="1774"/>
      <c r="W2739" t="s">
        <v>2089</v>
      </c>
    </row>
    <row r="2740" spans="1:23" ht="13.15" customHeight="1" x14ac:dyDescent="0.2">
      <c r="A2740" s="2" t="s">
        <v>2243</v>
      </c>
      <c r="B2740" s="2">
        <f t="shared" si="84"/>
        <v>2019</v>
      </c>
      <c r="C2740" s="2" t="str">
        <f t="shared" si="85"/>
        <v>EC101</v>
      </c>
      <c r="D2740" s="2">
        <v>122</v>
      </c>
      <c r="F2740" s="1774"/>
      <c r="G2740" s="1774"/>
      <c r="H2740" s="1774"/>
      <c r="I2740" s="1774"/>
      <c r="J2740" s="1774"/>
      <c r="K2740" s="1774"/>
      <c r="L2740" s="1774"/>
      <c r="M2740" s="1774"/>
      <c r="N2740" s="1774"/>
      <c r="O2740" s="1774"/>
      <c r="P2740" s="1774"/>
      <c r="Q2740" s="1774"/>
      <c r="R2740" s="1774"/>
      <c r="S2740" s="1774"/>
      <c r="T2740" s="1774"/>
      <c r="U2740" s="1774"/>
      <c r="V2740" s="1774"/>
      <c r="W2740" t="s">
        <v>2089</v>
      </c>
    </row>
    <row r="2741" spans="1:23" ht="13.15" customHeight="1" x14ac:dyDescent="0.2">
      <c r="A2741" s="2" t="s">
        <v>2243</v>
      </c>
      <c r="B2741" s="2">
        <f t="shared" si="84"/>
        <v>2019</v>
      </c>
      <c r="C2741" s="2" t="str">
        <f t="shared" si="85"/>
        <v>EC101</v>
      </c>
      <c r="D2741" s="2">
        <v>123</v>
      </c>
      <c r="F2741" s="1774"/>
      <c r="G2741" s="1774"/>
      <c r="H2741" s="1774"/>
      <c r="I2741" s="1774"/>
      <c r="J2741" s="1774"/>
      <c r="K2741" s="1774"/>
      <c r="L2741" s="1774"/>
      <c r="M2741" s="1774"/>
      <c r="N2741" s="1774"/>
      <c r="O2741" s="1774"/>
      <c r="P2741" s="1774"/>
      <c r="Q2741" s="1774"/>
      <c r="R2741" s="1774"/>
      <c r="S2741" s="1774"/>
      <c r="T2741" s="1774"/>
      <c r="U2741" s="1774"/>
      <c r="V2741" s="1774"/>
      <c r="W2741" t="s">
        <v>2089</v>
      </c>
    </row>
    <row r="2742" spans="1:23" ht="13.15" customHeight="1" x14ac:dyDescent="0.2">
      <c r="A2742" s="2" t="s">
        <v>2243</v>
      </c>
      <c r="B2742" s="2">
        <f t="shared" si="84"/>
        <v>2019</v>
      </c>
      <c r="C2742" s="2" t="str">
        <f t="shared" si="85"/>
        <v>EC101</v>
      </c>
      <c r="D2742" s="2">
        <v>124</v>
      </c>
      <c r="F2742" s="1774"/>
      <c r="G2742" s="1774"/>
      <c r="H2742" s="1774"/>
      <c r="I2742" s="1774"/>
      <c r="J2742" s="1774"/>
      <c r="K2742" s="1774"/>
      <c r="L2742" s="1774"/>
      <c r="M2742" s="1774"/>
      <c r="N2742" s="1774"/>
      <c r="O2742" s="1774"/>
      <c r="P2742" s="1774"/>
      <c r="Q2742" s="1774"/>
      <c r="R2742" s="1774"/>
      <c r="S2742" s="1774"/>
      <c r="T2742" s="1774"/>
      <c r="U2742" s="1774"/>
      <c r="V2742" s="1774"/>
      <c r="W2742" t="s">
        <v>2089</v>
      </c>
    </row>
    <row r="2743" spans="1:23" ht="13.15" customHeight="1" x14ac:dyDescent="0.2">
      <c r="A2743" s="2" t="s">
        <v>2243</v>
      </c>
      <c r="B2743" s="2">
        <f t="shared" si="84"/>
        <v>2019</v>
      </c>
      <c r="C2743" s="2" t="str">
        <f t="shared" si="85"/>
        <v>EC101</v>
      </c>
      <c r="D2743" s="2">
        <v>125</v>
      </c>
      <c r="F2743" s="1774"/>
      <c r="G2743" s="1774"/>
      <c r="H2743" s="1774"/>
      <c r="I2743" s="1774"/>
      <c r="J2743" s="1774"/>
      <c r="K2743" s="1774"/>
      <c r="L2743" s="1774"/>
      <c r="M2743" s="1774"/>
      <c r="N2743" s="1774"/>
      <c r="O2743" s="1774"/>
      <c r="P2743" s="1774"/>
      <c r="Q2743" s="1774"/>
      <c r="R2743" s="1774"/>
      <c r="S2743" s="1774"/>
      <c r="T2743" s="1774"/>
      <c r="U2743" s="1774"/>
      <c r="V2743" s="1774"/>
      <c r="W2743" t="s">
        <v>2089</v>
      </c>
    </row>
    <row r="2744" spans="1:23" ht="13.15" customHeight="1" x14ac:dyDescent="0.2">
      <c r="A2744" s="2" t="s">
        <v>2243</v>
      </c>
      <c r="B2744" s="2">
        <f t="shared" si="84"/>
        <v>2019</v>
      </c>
      <c r="C2744" s="2" t="str">
        <f t="shared" si="85"/>
        <v>EC101</v>
      </c>
      <c r="D2744" s="2">
        <v>126</v>
      </c>
      <c r="F2744" s="1774"/>
      <c r="G2744" s="1774"/>
      <c r="H2744" s="1774"/>
      <c r="I2744" s="1774"/>
      <c r="J2744" s="1774"/>
      <c r="K2744" s="1774"/>
      <c r="L2744" s="1774"/>
      <c r="M2744" s="1774"/>
      <c r="N2744" s="1774"/>
      <c r="O2744" s="1774"/>
      <c r="P2744" s="1774"/>
      <c r="Q2744" s="1774"/>
      <c r="R2744" s="1774"/>
      <c r="S2744" s="1774"/>
      <c r="T2744" s="1774"/>
      <c r="U2744" s="1774"/>
      <c r="V2744" s="1774"/>
      <c r="W2744" t="s">
        <v>2089</v>
      </c>
    </row>
    <row r="2745" spans="1:23" ht="13.15" customHeight="1" x14ac:dyDescent="0.2">
      <c r="A2745" s="2" t="s">
        <v>2243</v>
      </c>
      <c r="B2745" s="2">
        <f t="shared" si="84"/>
        <v>2019</v>
      </c>
      <c r="C2745" s="2" t="str">
        <f t="shared" si="85"/>
        <v>EC101</v>
      </c>
      <c r="D2745" s="2">
        <v>127</v>
      </c>
      <c r="F2745" s="1774"/>
      <c r="G2745" s="1774"/>
      <c r="H2745" s="1774"/>
      <c r="I2745" s="1774"/>
      <c r="J2745" s="1774"/>
      <c r="K2745" s="1774"/>
      <c r="L2745" s="1774"/>
      <c r="M2745" s="1774"/>
      <c r="N2745" s="1774"/>
      <c r="O2745" s="1774"/>
      <c r="P2745" s="1774"/>
      <c r="Q2745" s="1774"/>
      <c r="R2745" s="1774"/>
      <c r="S2745" s="1774"/>
      <c r="T2745" s="1774"/>
      <c r="U2745" s="1774"/>
      <c r="V2745" s="1774"/>
      <c r="W2745" t="s">
        <v>2089</v>
      </c>
    </row>
    <row r="2746" spans="1:23" ht="13.15" customHeight="1" x14ac:dyDescent="0.2">
      <c r="A2746" s="2" t="s">
        <v>2243</v>
      </c>
      <c r="B2746" s="2">
        <f t="shared" si="84"/>
        <v>2019</v>
      </c>
      <c r="C2746" s="2" t="str">
        <f t="shared" si="85"/>
        <v>EC101</v>
      </c>
      <c r="D2746" s="2">
        <v>128</v>
      </c>
      <c r="F2746" s="1774"/>
      <c r="G2746" s="1774"/>
      <c r="H2746" s="1774"/>
      <c r="I2746" s="1774"/>
      <c r="J2746" s="1774"/>
      <c r="K2746" s="1774"/>
      <c r="L2746" s="1774"/>
      <c r="M2746" s="1774"/>
      <c r="N2746" s="1774"/>
      <c r="O2746" s="1774"/>
      <c r="P2746" s="1774"/>
      <c r="Q2746" s="1774"/>
      <c r="R2746" s="1774"/>
      <c r="S2746" s="1774"/>
      <c r="T2746" s="1774"/>
      <c r="U2746" s="1774"/>
      <c r="V2746" s="1774"/>
      <c r="W2746" t="s">
        <v>2089</v>
      </c>
    </row>
    <row r="2747" spans="1:23" ht="13.15" customHeight="1" x14ac:dyDescent="0.2">
      <c r="A2747" s="2" t="s">
        <v>2243</v>
      </c>
      <c r="B2747" s="2">
        <f t="shared" si="84"/>
        <v>2019</v>
      </c>
      <c r="C2747" s="2" t="str">
        <f t="shared" si="85"/>
        <v>EC101</v>
      </c>
      <c r="D2747" s="2">
        <v>129</v>
      </c>
      <c r="F2747" s="1774"/>
      <c r="G2747" s="1774"/>
      <c r="H2747" s="1774"/>
      <c r="I2747" s="1774"/>
      <c r="J2747" s="1774"/>
      <c r="K2747" s="1774"/>
      <c r="L2747" s="1774"/>
      <c r="M2747" s="1774"/>
      <c r="N2747" s="1774"/>
      <c r="O2747" s="1774"/>
      <c r="P2747" s="1774"/>
      <c r="Q2747" s="1774"/>
      <c r="R2747" s="1774"/>
      <c r="S2747" s="1774"/>
      <c r="T2747" s="1774"/>
      <c r="U2747" s="1774"/>
      <c r="V2747" s="1774"/>
      <c r="W2747" t="s">
        <v>2089</v>
      </c>
    </row>
    <row r="2748" spans="1:23" ht="13.15" customHeight="1" x14ac:dyDescent="0.2">
      <c r="A2748" s="2" t="s">
        <v>2243</v>
      </c>
      <c r="B2748" s="2">
        <f t="shared" si="84"/>
        <v>2019</v>
      </c>
      <c r="C2748" s="2" t="str">
        <f t="shared" si="85"/>
        <v>EC101</v>
      </c>
      <c r="D2748" s="2">
        <v>130</v>
      </c>
      <c r="F2748" s="1774"/>
      <c r="G2748" s="1774"/>
      <c r="H2748" s="1774"/>
      <c r="I2748" s="1774"/>
      <c r="J2748" s="1774"/>
      <c r="K2748" s="1774"/>
      <c r="L2748" s="1774"/>
      <c r="M2748" s="1774"/>
      <c r="N2748" s="1774"/>
      <c r="O2748" s="1774"/>
      <c r="P2748" s="1774"/>
      <c r="Q2748" s="1774"/>
      <c r="R2748" s="1774"/>
      <c r="S2748" s="1774"/>
      <c r="T2748" s="1774"/>
      <c r="U2748" s="1774"/>
      <c r="V2748" s="1774"/>
      <c r="W2748" t="s">
        <v>2089</v>
      </c>
    </row>
    <row r="2749" spans="1:23" ht="13.15" customHeight="1" x14ac:dyDescent="0.2">
      <c r="A2749" s="2" t="s">
        <v>2243</v>
      </c>
      <c r="B2749" s="2">
        <f t="shared" si="84"/>
        <v>2019</v>
      </c>
      <c r="C2749" s="2" t="str">
        <f t="shared" si="85"/>
        <v>EC101</v>
      </c>
      <c r="D2749" s="2">
        <v>131</v>
      </c>
      <c r="F2749" s="1774"/>
      <c r="G2749" s="1774"/>
      <c r="H2749" s="1774"/>
      <c r="I2749" s="1774"/>
      <c r="J2749" s="1774"/>
      <c r="K2749" s="1774"/>
      <c r="L2749" s="1774"/>
      <c r="M2749" s="1774"/>
      <c r="N2749" s="1774"/>
      <c r="O2749" s="1774"/>
      <c r="P2749" s="1774"/>
      <c r="Q2749" s="1774"/>
      <c r="R2749" s="1774"/>
      <c r="S2749" s="1774"/>
      <c r="T2749" s="1774"/>
      <c r="U2749" s="1774"/>
      <c r="V2749" s="1774"/>
      <c r="W2749" t="s">
        <v>2089</v>
      </c>
    </row>
    <row r="2750" spans="1:23" ht="13.15" customHeight="1" x14ac:dyDescent="0.2">
      <c r="A2750" s="2" t="s">
        <v>2243</v>
      </c>
      <c r="B2750" s="2">
        <f t="shared" si="84"/>
        <v>2019</v>
      </c>
      <c r="C2750" s="2" t="str">
        <f t="shared" si="85"/>
        <v>EC101</v>
      </c>
      <c r="D2750" s="2">
        <v>132</v>
      </c>
      <c r="F2750" s="1774"/>
      <c r="G2750" s="1774"/>
      <c r="H2750" s="1774"/>
      <c r="I2750" s="1774"/>
      <c r="J2750" s="1774"/>
      <c r="K2750" s="1774"/>
      <c r="L2750" s="1774"/>
      <c r="M2750" s="1774"/>
      <c r="N2750" s="1774"/>
      <c r="O2750" s="1774"/>
      <c r="P2750" s="1774"/>
      <c r="Q2750" s="1774"/>
      <c r="R2750" s="1774"/>
      <c r="S2750" s="1774"/>
      <c r="T2750" s="1774"/>
      <c r="U2750" s="1774"/>
      <c r="V2750" s="1774"/>
      <c r="W2750" t="s">
        <v>2089</v>
      </c>
    </row>
    <row r="2751" spans="1:23" ht="13.15" customHeight="1" x14ac:dyDescent="0.2">
      <c r="A2751" s="2" t="s">
        <v>2243</v>
      </c>
      <c r="B2751" s="2">
        <f t="shared" si="84"/>
        <v>2019</v>
      </c>
      <c r="C2751" s="2" t="str">
        <f t="shared" si="85"/>
        <v>EC101</v>
      </c>
      <c r="D2751" s="2">
        <v>133</v>
      </c>
      <c r="F2751" s="1774"/>
      <c r="G2751" s="1774"/>
      <c r="H2751" s="1774"/>
      <c r="I2751" s="1774"/>
      <c r="J2751" s="1774"/>
      <c r="K2751" s="1774"/>
      <c r="L2751" s="1774"/>
      <c r="M2751" s="1774"/>
      <c r="N2751" s="1774"/>
      <c r="O2751" s="1774"/>
      <c r="P2751" s="1774"/>
      <c r="Q2751" s="1774"/>
      <c r="R2751" s="1774"/>
      <c r="S2751" s="1774"/>
      <c r="T2751" s="1774"/>
      <c r="U2751" s="1774"/>
      <c r="V2751" s="1774"/>
      <c r="W2751" t="s">
        <v>2089</v>
      </c>
    </row>
    <row r="2752" spans="1:23" ht="13.15" customHeight="1" x14ac:dyDescent="0.2">
      <c r="A2752" s="2" t="s">
        <v>2243</v>
      </c>
      <c r="B2752" s="2">
        <f t="shared" si="84"/>
        <v>2019</v>
      </c>
      <c r="C2752" s="2" t="str">
        <f t="shared" si="85"/>
        <v>EC101</v>
      </c>
      <c r="D2752" s="2">
        <v>134</v>
      </c>
      <c r="F2752" s="1774"/>
      <c r="G2752" s="1774"/>
      <c r="H2752" s="1774"/>
      <c r="I2752" s="1774"/>
      <c r="J2752" s="1774"/>
      <c r="K2752" s="1774"/>
      <c r="L2752" s="1774"/>
      <c r="M2752" s="1774"/>
      <c r="N2752" s="1774"/>
      <c r="O2752" s="1774"/>
      <c r="P2752" s="1774"/>
      <c r="Q2752" s="1774"/>
      <c r="R2752" s="1774"/>
      <c r="S2752" s="1774"/>
      <c r="T2752" s="1774"/>
      <c r="U2752" s="1774"/>
      <c r="V2752" s="1774"/>
      <c r="W2752" t="s">
        <v>2089</v>
      </c>
    </row>
    <row r="2753" spans="1:23" ht="13.15" customHeight="1" x14ac:dyDescent="0.2">
      <c r="A2753" s="2" t="s">
        <v>2243</v>
      </c>
      <c r="B2753" s="2">
        <f t="shared" si="84"/>
        <v>2019</v>
      </c>
      <c r="C2753" s="2" t="str">
        <f t="shared" si="85"/>
        <v>EC101</v>
      </c>
      <c r="D2753" s="2">
        <v>135</v>
      </c>
      <c r="F2753" s="1774"/>
      <c r="G2753" s="1774"/>
      <c r="H2753" s="1774"/>
      <c r="I2753" s="1774"/>
      <c r="J2753" s="1774"/>
      <c r="K2753" s="1774"/>
      <c r="L2753" s="1774"/>
      <c r="M2753" s="1774"/>
      <c r="N2753" s="1774"/>
      <c r="O2753" s="1774"/>
      <c r="P2753" s="1774"/>
      <c r="Q2753" s="1774"/>
      <c r="R2753" s="1774"/>
      <c r="S2753" s="1774"/>
      <c r="T2753" s="1774"/>
      <c r="U2753" s="1774"/>
      <c r="V2753" s="1774"/>
      <c r="W2753" t="s">
        <v>2089</v>
      </c>
    </row>
    <row r="2754" spans="1:23" ht="13.15" customHeight="1" x14ac:dyDescent="0.2">
      <c r="A2754" s="2" t="s">
        <v>2243</v>
      </c>
      <c r="B2754" s="2">
        <f t="shared" si="84"/>
        <v>2019</v>
      </c>
      <c r="C2754" s="2" t="str">
        <f t="shared" si="85"/>
        <v>EC101</v>
      </c>
      <c r="D2754" s="2">
        <v>136</v>
      </c>
      <c r="F2754" s="1774"/>
      <c r="G2754" s="1774"/>
      <c r="H2754" s="1774"/>
      <c r="I2754" s="1774"/>
      <c r="J2754" s="1774"/>
      <c r="K2754" s="1774"/>
      <c r="L2754" s="1774"/>
      <c r="M2754" s="1774"/>
      <c r="N2754" s="1774"/>
      <c r="O2754" s="1774"/>
      <c r="P2754" s="1774"/>
      <c r="Q2754" s="1774"/>
      <c r="R2754" s="1774"/>
      <c r="S2754" s="1774"/>
      <c r="T2754" s="1774"/>
      <c r="U2754" s="1774"/>
      <c r="V2754" s="1774"/>
      <c r="W2754" t="s">
        <v>2089</v>
      </c>
    </row>
    <row r="2755" spans="1:23" ht="13.15" customHeight="1" x14ac:dyDescent="0.2">
      <c r="A2755" s="2" t="s">
        <v>2243</v>
      </c>
      <c r="B2755" s="2">
        <f t="shared" si="84"/>
        <v>2019</v>
      </c>
      <c r="C2755" s="2" t="str">
        <f t="shared" si="85"/>
        <v>EC101</v>
      </c>
      <c r="D2755" s="2">
        <v>137</v>
      </c>
      <c r="F2755" s="1774"/>
      <c r="G2755" s="1774"/>
      <c r="H2755" s="1774"/>
      <c r="I2755" s="1774"/>
      <c r="J2755" s="1774"/>
      <c r="K2755" s="1774"/>
      <c r="L2755" s="1774"/>
      <c r="M2755" s="1774"/>
      <c r="N2755" s="1774"/>
      <c r="O2755" s="1774"/>
      <c r="P2755" s="1774"/>
      <c r="Q2755" s="1774"/>
      <c r="R2755" s="1774"/>
      <c r="S2755" s="1774"/>
      <c r="T2755" s="1774"/>
      <c r="U2755" s="1774"/>
      <c r="V2755" s="1774"/>
      <c r="W2755" t="s">
        <v>2089</v>
      </c>
    </row>
    <row r="2756" spans="1:23" ht="13.15" customHeight="1" x14ac:dyDescent="0.2">
      <c r="A2756" s="2" t="s">
        <v>2243</v>
      </c>
      <c r="B2756" s="2">
        <f t="shared" si="84"/>
        <v>2019</v>
      </c>
      <c r="C2756" s="2" t="str">
        <f t="shared" si="85"/>
        <v>EC101</v>
      </c>
      <c r="D2756" s="2">
        <v>138</v>
      </c>
      <c r="F2756" s="1774"/>
      <c r="G2756" s="1774"/>
      <c r="H2756" s="1774"/>
      <c r="I2756" s="1774"/>
      <c r="J2756" s="1774"/>
      <c r="K2756" s="1774"/>
      <c r="L2756" s="1774"/>
      <c r="M2756" s="1774"/>
      <c r="N2756" s="1774"/>
      <c r="O2756" s="1774"/>
      <c r="P2756" s="1774"/>
      <c r="Q2756" s="1774"/>
      <c r="R2756" s="1774"/>
      <c r="S2756" s="1774"/>
      <c r="T2756" s="1774"/>
      <c r="U2756" s="1774"/>
      <c r="V2756" s="1774"/>
      <c r="W2756" t="s">
        <v>2089</v>
      </c>
    </row>
    <row r="2757" spans="1:23" ht="13.15" customHeight="1" x14ac:dyDescent="0.2">
      <c r="A2757" s="2" t="s">
        <v>2244</v>
      </c>
      <c r="B2757" s="2">
        <f t="shared" si="84"/>
        <v>2019</v>
      </c>
      <c r="C2757" s="2" t="str">
        <f t="shared" si="85"/>
        <v>EC101</v>
      </c>
      <c r="D2757" s="1747">
        <v>0</v>
      </c>
      <c r="E2757" s="2">
        <v>1</v>
      </c>
      <c r="F2757" s="2" t="s">
        <v>575</v>
      </c>
      <c r="G2757" s="1745"/>
      <c r="H2757" s="1745"/>
      <c r="I2757" s="1745"/>
      <c r="J2757" s="1745"/>
      <c r="K2757" s="1745"/>
      <c r="L2757" s="1745"/>
      <c r="M2757" s="1745"/>
      <c r="N2757" s="1745"/>
      <c r="O2757" s="1745"/>
      <c r="P2757" s="1745"/>
      <c r="Q2757" s="1745"/>
      <c r="R2757" s="1745"/>
      <c r="W2757" t="s">
        <v>2089</v>
      </c>
    </row>
    <row r="2758" spans="1:23" ht="13.15" customHeight="1" x14ac:dyDescent="0.2">
      <c r="A2758" s="2" t="s">
        <v>2244</v>
      </c>
      <c r="B2758" s="2">
        <f t="shared" si="84"/>
        <v>2019</v>
      </c>
      <c r="C2758" s="2" t="str">
        <f t="shared" si="85"/>
        <v>EC101</v>
      </c>
      <c r="D2758" s="1747">
        <v>0</v>
      </c>
      <c r="E2758" s="2">
        <v>2</v>
      </c>
      <c r="F2758" s="1763" t="s">
        <v>470</v>
      </c>
      <c r="G2758" s="1745"/>
      <c r="H2758" s="1745"/>
      <c r="I2758" s="1745"/>
      <c r="J2758" s="1745"/>
      <c r="K2758" s="1745"/>
      <c r="L2758" s="1745"/>
      <c r="M2758" s="1745"/>
      <c r="N2758" s="1745"/>
      <c r="O2758" s="1745"/>
      <c r="P2758" s="1745"/>
      <c r="Q2758" s="1745"/>
      <c r="R2758" s="1745"/>
      <c r="W2758" t="s">
        <v>2089</v>
      </c>
    </row>
    <row r="2759" spans="1:23" ht="13.15" customHeight="1" x14ac:dyDescent="0.2">
      <c r="A2759" s="2" t="s">
        <v>2244</v>
      </c>
      <c r="B2759" s="2">
        <f t="shared" si="84"/>
        <v>2019</v>
      </c>
      <c r="C2759" s="2" t="str">
        <f t="shared" si="85"/>
        <v>EC101</v>
      </c>
      <c r="D2759" s="1747">
        <v>0</v>
      </c>
      <c r="E2759" s="2">
        <v>3</v>
      </c>
      <c r="F2759" s="1763" t="s">
        <v>1427</v>
      </c>
      <c r="G2759" s="1745"/>
      <c r="H2759" s="1745"/>
      <c r="I2759" s="1745"/>
      <c r="J2759" s="1745"/>
      <c r="K2759" s="1745"/>
      <c r="L2759" s="1745"/>
      <c r="M2759" s="1745"/>
      <c r="N2759" s="1745"/>
      <c r="O2759" s="1745"/>
      <c r="P2759" s="1745"/>
      <c r="Q2759" s="1745"/>
      <c r="R2759" s="1745"/>
      <c r="W2759" t="s">
        <v>2089</v>
      </c>
    </row>
    <row r="2760" spans="1:23" ht="13.15" customHeight="1" x14ac:dyDescent="0.2">
      <c r="A2760" s="2" t="s">
        <v>2244</v>
      </c>
      <c r="B2760" s="2">
        <f t="shared" si="84"/>
        <v>2019</v>
      </c>
      <c r="C2760" s="2" t="str">
        <f t="shared" si="85"/>
        <v>EC101</v>
      </c>
      <c r="D2760" s="1747">
        <v>0</v>
      </c>
      <c r="E2760" s="2">
        <v>4</v>
      </c>
      <c r="F2760" s="1763" t="s">
        <v>1583</v>
      </c>
      <c r="G2760" s="1745"/>
      <c r="H2760" s="1745"/>
      <c r="I2760" s="1745"/>
      <c r="J2760" s="1745"/>
      <c r="K2760" s="1745"/>
      <c r="L2760" s="1745"/>
      <c r="M2760" s="1745"/>
      <c r="N2760" s="1745"/>
      <c r="O2760" s="1745"/>
      <c r="P2760" s="1745"/>
      <c r="Q2760" s="1745"/>
      <c r="R2760" s="1745"/>
      <c r="W2760" t="s">
        <v>2089</v>
      </c>
    </row>
    <row r="2761" spans="1:23" ht="13.15" customHeight="1" x14ac:dyDescent="0.2">
      <c r="A2761" s="2" t="s">
        <v>2244</v>
      </c>
      <c r="B2761" s="2">
        <f t="shared" si="84"/>
        <v>2019</v>
      </c>
      <c r="C2761" s="2" t="str">
        <f t="shared" si="85"/>
        <v>EC101</v>
      </c>
      <c r="D2761" s="1747">
        <v>0</v>
      </c>
      <c r="E2761" s="2">
        <v>5</v>
      </c>
      <c r="F2761" s="1763" t="s">
        <v>1584</v>
      </c>
      <c r="G2761" s="1745"/>
      <c r="H2761" s="1745"/>
      <c r="I2761" s="1745"/>
      <c r="J2761" s="1745"/>
      <c r="K2761" s="1745"/>
      <c r="L2761" s="1745"/>
      <c r="M2761" s="1745"/>
      <c r="N2761" s="1745"/>
      <c r="O2761" s="1745"/>
      <c r="P2761" s="1745"/>
      <c r="Q2761" s="1745"/>
      <c r="R2761" s="1745"/>
      <c r="W2761" t="s">
        <v>2089</v>
      </c>
    </row>
    <row r="2762" spans="1:23" ht="13.15" customHeight="1" x14ac:dyDescent="0.2">
      <c r="A2762" s="2" t="s">
        <v>2244</v>
      </c>
      <c r="B2762" s="2">
        <f t="shared" si="84"/>
        <v>2019</v>
      </c>
      <c r="C2762" s="2" t="str">
        <f t="shared" si="85"/>
        <v>EC101</v>
      </c>
      <c r="D2762" s="1747">
        <v>0</v>
      </c>
      <c r="E2762" s="2">
        <v>6</v>
      </c>
      <c r="F2762" s="1763" t="s">
        <v>813</v>
      </c>
      <c r="G2762" s="1745"/>
      <c r="H2762" s="1745"/>
      <c r="I2762" s="1745"/>
      <c r="J2762" s="1745"/>
      <c r="K2762" s="1745"/>
      <c r="L2762" s="1745"/>
      <c r="M2762" s="1745"/>
      <c r="N2762" s="1745"/>
      <c r="O2762" s="1745"/>
      <c r="P2762" s="1745"/>
      <c r="Q2762" s="1745"/>
      <c r="R2762" s="1745"/>
      <c r="W2762" t="s">
        <v>2089</v>
      </c>
    </row>
    <row r="2763" spans="1:23" ht="13.15" customHeight="1" x14ac:dyDescent="0.2">
      <c r="A2763" s="2" t="s">
        <v>2244</v>
      </c>
      <c r="B2763" s="2">
        <f t="shared" si="84"/>
        <v>2019</v>
      </c>
      <c r="C2763" s="2" t="str">
        <f t="shared" si="85"/>
        <v>EC101</v>
      </c>
      <c r="D2763" s="1747">
        <v>0</v>
      </c>
      <c r="E2763" s="2">
        <v>7</v>
      </c>
      <c r="F2763" s="1763" t="s">
        <v>917</v>
      </c>
      <c r="G2763" s="1745"/>
      <c r="H2763" s="1745"/>
      <c r="I2763" s="1745"/>
      <c r="J2763" s="1745"/>
      <c r="K2763" s="1745"/>
      <c r="L2763" s="1745"/>
      <c r="M2763" s="1745"/>
      <c r="N2763" s="1745"/>
      <c r="O2763" s="1745"/>
      <c r="P2763" s="1745"/>
      <c r="Q2763" s="1745"/>
      <c r="R2763" s="1745"/>
      <c r="W2763" t="s">
        <v>2089</v>
      </c>
    </row>
    <row r="2764" spans="1:23" ht="13.15" customHeight="1" x14ac:dyDescent="0.2">
      <c r="A2764" s="2" t="s">
        <v>2244</v>
      </c>
      <c r="B2764" s="2">
        <f t="shared" si="84"/>
        <v>2019</v>
      </c>
      <c r="C2764" s="2" t="str">
        <f t="shared" si="85"/>
        <v>EC101</v>
      </c>
      <c r="D2764" s="1747">
        <v>0</v>
      </c>
      <c r="E2764" s="2">
        <v>8</v>
      </c>
      <c r="F2764" s="1763" t="s">
        <v>815</v>
      </c>
      <c r="G2764" s="1745"/>
      <c r="H2764" s="1745"/>
      <c r="I2764" s="1745"/>
      <c r="J2764" s="1745"/>
      <c r="K2764" s="1745"/>
      <c r="L2764" s="1745"/>
      <c r="M2764" s="1745"/>
      <c r="N2764" s="1745"/>
      <c r="O2764" s="1745"/>
      <c r="P2764" s="1745"/>
      <c r="Q2764" s="1745"/>
      <c r="R2764" s="1745"/>
      <c r="W2764" t="s">
        <v>2089</v>
      </c>
    </row>
    <row r="2765" spans="1:23" ht="13.15" customHeight="1" x14ac:dyDescent="0.2">
      <c r="A2765" s="2" t="s">
        <v>2244</v>
      </c>
      <c r="B2765" s="2">
        <f t="shared" si="84"/>
        <v>2019</v>
      </c>
      <c r="C2765" s="2" t="str">
        <f t="shared" si="85"/>
        <v>EC101</v>
      </c>
      <c r="D2765" s="1747">
        <v>0</v>
      </c>
      <c r="E2765" s="2">
        <v>9</v>
      </c>
      <c r="F2765" s="1763" t="s">
        <v>1429</v>
      </c>
      <c r="G2765" s="1745"/>
      <c r="H2765" s="1745"/>
      <c r="I2765" s="1745"/>
      <c r="J2765" s="1745"/>
      <c r="K2765" s="1745"/>
      <c r="L2765" s="1745"/>
      <c r="M2765" s="1745"/>
      <c r="N2765" s="1745"/>
      <c r="O2765" s="1745"/>
      <c r="P2765" s="1745"/>
      <c r="Q2765" s="1745"/>
      <c r="R2765" s="1745"/>
      <c r="W2765" t="s">
        <v>2089</v>
      </c>
    </row>
    <row r="2766" spans="1:23" ht="13.15" customHeight="1" x14ac:dyDescent="0.2">
      <c r="A2766" s="2" t="s">
        <v>2244</v>
      </c>
      <c r="B2766" s="2">
        <f t="shared" si="84"/>
        <v>2019</v>
      </c>
      <c r="C2766" s="2" t="str">
        <f t="shared" si="85"/>
        <v>EC101</v>
      </c>
      <c r="D2766" s="1747">
        <v>0</v>
      </c>
      <c r="E2766" s="2">
        <v>10</v>
      </c>
      <c r="F2766" s="1763" t="s">
        <v>404</v>
      </c>
      <c r="G2766" s="1745"/>
      <c r="H2766" s="1745"/>
      <c r="I2766" s="1745"/>
      <c r="J2766" s="1745"/>
      <c r="K2766" s="1745"/>
      <c r="L2766" s="1745"/>
      <c r="M2766" s="1745"/>
      <c r="N2766" s="1745"/>
      <c r="O2766" s="1745"/>
      <c r="P2766" s="1745"/>
      <c r="Q2766" s="1745"/>
      <c r="R2766" s="1745"/>
      <c r="W2766" t="s">
        <v>2089</v>
      </c>
    </row>
    <row r="2767" spans="1:23" ht="13.15" customHeight="1" x14ac:dyDescent="0.2">
      <c r="A2767" s="2" t="s">
        <v>2244</v>
      </c>
      <c r="B2767" s="2">
        <f t="shared" si="84"/>
        <v>2019</v>
      </c>
      <c r="C2767" s="2" t="str">
        <f t="shared" si="85"/>
        <v>EC101</v>
      </c>
      <c r="D2767" s="1747">
        <v>0</v>
      </c>
      <c r="E2767" s="2">
        <v>11</v>
      </c>
      <c r="F2767" s="1763" t="s">
        <v>405</v>
      </c>
      <c r="G2767" s="1745"/>
      <c r="H2767" s="1745"/>
      <c r="I2767" s="1745"/>
      <c r="J2767" s="1745"/>
      <c r="K2767" s="1745"/>
      <c r="L2767" s="1745"/>
      <c r="M2767" s="1745"/>
      <c r="N2767" s="1745"/>
      <c r="O2767" s="1745"/>
      <c r="P2767" s="1745"/>
      <c r="Q2767" s="1745"/>
      <c r="R2767" s="1745"/>
      <c r="W2767" t="s">
        <v>2089</v>
      </c>
    </row>
    <row r="2768" spans="1:23" ht="13.15" customHeight="1" x14ac:dyDescent="0.2">
      <c r="A2768" s="2" t="s">
        <v>2244</v>
      </c>
      <c r="B2768" s="2">
        <f t="shared" si="84"/>
        <v>2019</v>
      </c>
      <c r="C2768" s="2" t="str">
        <f t="shared" si="85"/>
        <v>EC101</v>
      </c>
      <c r="D2768" s="1747">
        <v>0</v>
      </c>
      <c r="E2768" s="2">
        <v>12</v>
      </c>
      <c r="F2768" s="1763" t="s">
        <v>1359</v>
      </c>
      <c r="G2768" s="1745"/>
      <c r="H2768" s="1745"/>
      <c r="I2768" s="1745"/>
      <c r="J2768" s="1745"/>
      <c r="K2768" s="1745"/>
      <c r="L2768" s="1745"/>
      <c r="M2768" s="1745"/>
      <c r="N2768" s="1745"/>
      <c r="O2768" s="1745"/>
      <c r="P2768" s="1745"/>
      <c r="Q2768" s="1745"/>
      <c r="R2768" s="1745"/>
      <c r="W2768" t="s">
        <v>2089</v>
      </c>
    </row>
    <row r="2769" spans="1:23" ht="13.15" customHeight="1" x14ac:dyDescent="0.2">
      <c r="A2769" s="2" t="s">
        <v>2244</v>
      </c>
      <c r="B2769" s="2">
        <f t="shared" si="84"/>
        <v>2019</v>
      </c>
      <c r="C2769" s="2" t="str">
        <f t="shared" si="85"/>
        <v>EC101</v>
      </c>
      <c r="D2769" s="1747">
        <v>0</v>
      </c>
      <c r="E2769" s="2">
        <v>13</v>
      </c>
      <c r="F2769" s="1763" t="s">
        <v>406</v>
      </c>
      <c r="G2769" s="1745"/>
      <c r="H2769" s="1745"/>
      <c r="I2769" s="1745"/>
      <c r="J2769" s="1745"/>
      <c r="K2769" s="1745"/>
      <c r="L2769" s="1745"/>
      <c r="M2769" s="1745"/>
      <c r="N2769" s="1745"/>
      <c r="O2769" s="1745"/>
      <c r="P2769" s="1745"/>
      <c r="Q2769" s="1745"/>
      <c r="R2769" s="1745"/>
      <c r="W2769" t="s">
        <v>2089</v>
      </c>
    </row>
    <row r="2770" spans="1:23" ht="13.15" customHeight="1" x14ac:dyDescent="0.2">
      <c r="A2770" s="2" t="s">
        <v>2244</v>
      </c>
      <c r="B2770" s="2">
        <f t="shared" si="84"/>
        <v>2019</v>
      </c>
      <c r="C2770" s="2" t="str">
        <f t="shared" si="85"/>
        <v>EC101</v>
      </c>
      <c r="D2770" s="1747">
        <v>0</v>
      </c>
      <c r="E2770" s="2">
        <v>14</v>
      </c>
      <c r="F2770" s="1763" t="s">
        <v>407</v>
      </c>
      <c r="G2770" s="1745"/>
      <c r="H2770" s="1745"/>
      <c r="I2770" s="1745"/>
      <c r="J2770" s="1745"/>
      <c r="K2770" s="1745"/>
      <c r="L2770" s="1745"/>
      <c r="M2770" s="1745"/>
      <c r="N2770" s="1745"/>
      <c r="O2770" s="1745"/>
      <c r="P2770" s="1745"/>
      <c r="Q2770" s="1745"/>
      <c r="R2770" s="1745"/>
      <c r="W2770" t="s">
        <v>2089</v>
      </c>
    </row>
    <row r="2771" spans="1:23" ht="13.15" customHeight="1" x14ac:dyDescent="0.2">
      <c r="A2771" s="2" t="s">
        <v>2244</v>
      </c>
      <c r="B2771" s="2">
        <f t="shared" si="84"/>
        <v>2019</v>
      </c>
      <c r="C2771" s="2" t="str">
        <f t="shared" si="85"/>
        <v>EC101</v>
      </c>
      <c r="D2771" s="1747">
        <v>0</v>
      </c>
      <c r="E2771" s="2">
        <v>15</v>
      </c>
      <c r="F2771" s="1763" t="s">
        <v>1340</v>
      </c>
      <c r="G2771" s="1745"/>
      <c r="H2771" s="1745"/>
      <c r="I2771" s="1745"/>
      <c r="J2771" s="1745"/>
      <c r="K2771" s="1745"/>
      <c r="L2771" s="1745"/>
      <c r="M2771" s="1745"/>
      <c r="N2771" s="1745"/>
      <c r="O2771" s="1745"/>
      <c r="P2771" s="1745"/>
      <c r="Q2771" s="1745"/>
      <c r="R2771" s="1745"/>
      <c r="W2771" t="s">
        <v>2089</v>
      </c>
    </row>
    <row r="2772" spans="1:23" ht="13.15" customHeight="1" x14ac:dyDescent="0.2">
      <c r="A2772" s="2" t="s">
        <v>2244</v>
      </c>
      <c r="B2772" s="2">
        <f t="shared" si="84"/>
        <v>2019</v>
      </c>
      <c r="C2772" s="2" t="str">
        <f t="shared" si="85"/>
        <v>EC101</v>
      </c>
      <c r="D2772" s="1747">
        <v>0</v>
      </c>
      <c r="E2772" s="2">
        <v>16</v>
      </c>
      <c r="F2772" s="1763" t="s">
        <v>29</v>
      </c>
      <c r="G2772" s="1745"/>
      <c r="H2772" s="1745"/>
      <c r="I2772" s="1745"/>
      <c r="J2772" s="1745"/>
      <c r="K2772" s="1745"/>
      <c r="L2772" s="1745"/>
      <c r="M2772" s="1745"/>
      <c r="N2772" s="1745"/>
      <c r="O2772" s="1745"/>
      <c r="P2772" s="1745"/>
      <c r="Q2772" s="1745"/>
      <c r="R2772" s="1745"/>
      <c r="W2772" t="s">
        <v>2089</v>
      </c>
    </row>
    <row r="2773" spans="1:23" ht="13.15" customHeight="1" x14ac:dyDescent="0.2">
      <c r="A2773" s="2" t="s">
        <v>2244</v>
      </c>
      <c r="B2773" s="2">
        <f t="shared" si="84"/>
        <v>2019</v>
      </c>
      <c r="C2773" s="2" t="str">
        <f t="shared" si="85"/>
        <v>EC101</v>
      </c>
      <c r="D2773" s="1747">
        <v>0</v>
      </c>
      <c r="E2773" s="2">
        <v>17</v>
      </c>
      <c r="F2773" s="1763" t="s">
        <v>1384</v>
      </c>
      <c r="G2773" s="1745"/>
      <c r="H2773" s="1745"/>
      <c r="I2773" s="1745"/>
      <c r="J2773" s="1745"/>
      <c r="K2773" s="1745"/>
      <c r="L2773" s="1745"/>
      <c r="M2773" s="1745"/>
      <c r="N2773" s="1745"/>
      <c r="O2773" s="1745"/>
      <c r="P2773" s="1745"/>
      <c r="Q2773" s="1745"/>
      <c r="R2773" s="1745"/>
      <c r="W2773" t="s">
        <v>2089</v>
      </c>
    </row>
    <row r="2774" spans="1:23" ht="13.15" customHeight="1" x14ac:dyDescent="0.2">
      <c r="A2774" s="2" t="s">
        <v>2244</v>
      </c>
      <c r="B2774" s="2">
        <f t="shared" si="84"/>
        <v>2019</v>
      </c>
      <c r="C2774" s="2" t="str">
        <f t="shared" si="85"/>
        <v>EC101</v>
      </c>
      <c r="D2774" s="1747">
        <v>0</v>
      </c>
      <c r="E2774" s="2">
        <v>18</v>
      </c>
      <c r="F2774" s="1763" t="s">
        <v>408</v>
      </c>
      <c r="G2774" s="1745"/>
      <c r="H2774" s="1745"/>
      <c r="I2774" s="1745"/>
      <c r="J2774" s="1745"/>
      <c r="K2774" s="1745"/>
      <c r="L2774" s="1745"/>
      <c r="M2774" s="1745"/>
      <c r="N2774" s="1745"/>
      <c r="O2774" s="1745"/>
      <c r="P2774" s="1745"/>
      <c r="Q2774" s="1745"/>
      <c r="R2774" s="1745"/>
      <c r="W2774" t="s">
        <v>2089</v>
      </c>
    </row>
    <row r="2775" spans="1:23" ht="13.15" customHeight="1" x14ac:dyDescent="0.2">
      <c r="A2775" s="2" t="s">
        <v>2244</v>
      </c>
      <c r="B2775" s="2">
        <f t="shared" si="84"/>
        <v>2019</v>
      </c>
      <c r="C2775" s="2" t="str">
        <f t="shared" si="85"/>
        <v>EC101</v>
      </c>
      <c r="D2775" s="1747">
        <v>0</v>
      </c>
      <c r="E2775" s="2">
        <v>19</v>
      </c>
      <c r="F2775" s="1763" t="s">
        <v>918</v>
      </c>
      <c r="G2775" s="1745"/>
      <c r="H2775" s="1745"/>
      <c r="I2775" s="1745"/>
      <c r="J2775" s="1745"/>
      <c r="K2775" s="1745"/>
      <c r="L2775" s="1745"/>
      <c r="M2775" s="1745"/>
      <c r="N2775" s="1745"/>
      <c r="O2775" s="1745"/>
      <c r="P2775" s="1745"/>
      <c r="Q2775" s="1745"/>
      <c r="R2775" s="1745"/>
      <c r="W2775" t="s">
        <v>2089</v>
      </c>
    </row>
    <row r="2776" spans="1:23" ht="13.15" customHeight="1" x14ac:dyDescent="0.2">
      <c r="A2776" s="2" t="s">
        <v>2244</v>
      </c>
      <c r="B2776" s="2">
        <f t="shared" si="84"/>
        <v>2019</v>
      </c>
      <c r="C2776" s="2" t="str">
        <f t="shared" si="85"/>
        <v>EC101</v>
      </c>
      <c r="D2776" s="1747">
        <v>0</v>
      </c>
      <c r="E2776" s="2">
        <v>20</v>
      </c>
      <c r="F2776" s="1763"/>
      <c r="G2776" s="1745"/>
      <c r="H2776" s="1745"/>
      <c r="I2776" s="1745"/>
      <c r="J2776" s="1745"/>
      <c r="K2776" s="1745"/>
      <c r="L2776" s="1745"/>
      <c r="M2776" s="1745"/>
      <c r="N2776" s="1745"/>
      <c r="O2776" s="1745"/>
      <c r="P2776" s="1745"/>
      <c r="Q2776" s="1745"/>
      <c r="R2776" s="1745"/>
      <c r="W2776" t="s">
        <v>2089</v>
      </c>
    </row>
    <row r="2777" spans="1:23" ht="13.15" customHeight="1" x14ac:dyDescent="0.2">
      <c r="A2777" s="2" t="s">
        <v>2244</v>
      </c>
      <c r="B2777" s="2">
        <f t="shared" si="84"/>
        <v>2019</v>
      </c>
      <c r="C2777" s="2" t="str">
        <f t="shared" si="85"/>
        <v>EC101</v>
      </c>
      <c r="D2777" s="1747">
        <v>0</v>
      </c>
      <c r="E2777" s="2">
        <v>21</v>
      </c>
      <c r="F2777" s="1763" t="s">
        <v>1464</v>
      </c>
      <c r="G2777" s="1745"/>
      <c r="H2777" s="1745"/>
      <c r="I2777" s="1745"/>
      <c r="J2777" s="1745"/>
      <c r="K2777" s="1745"/>
      <c r="L2777" s="1745"/>
      <c r="M2777" s="1745"/>
      <c r="N2777" s="1745"/>
      <c r="O2777" s="1745"/>
      <c r="P2777" s="1745"/>
      <c r="Q2777" s="1745"/>
      <c r="R2777" s="1745"/>
      <c r="W2777" t="s">
        <v>2089</v>
      </c>
    </row>
    <row r="2778" spans="1:23" ht="13.15" customHeight="1" x14ac:dyDescent="0.2">
      <c r="A2778" s="2" t="s">
        <v>2244</v>
      </c>
      <c r="B2778" s="2">
        <f t="shared" si="84"/>
        <v>2019</v>
      </c>
      <c r="C2778" s="2" t="str">
        <f t="shared" si="85"/>
        <v>EC101</v>
      </c>
      <c r="D2778" s="1747">
        <v>0</v>
      </c>
      <c r="E2778" s="2">
        <v>22</v>
      </c>
      <c r="F2778" s="1763" t="s">
        <v>409</v>
      </c>
      <c r="G2778" s="1745"/>
      <c r="H2778" s="1745"/>
      <c r="I2778" s="1745"/>
      <c r="J2778" s="1745"/>
      <c r="K2778" s="1745"/>
      <c r="L2778" s="1745"/>
      <c r="M2778" s="1745"/>
      <c r="N2778" s="1745"/>
      <c r="O2778" s="1745"/>
      <c r="P2778" s="1745"/>
      <c r="Q2778" s="1745"/>
      <c r="R2778" s="1745"/>
      <c r="W2778" t="s">
        <v>2089</v>
      </c>
    </row>
    <row r="2779" spans="1:23" ht="13.15" customHeight="1" x14ac:dyDescent="0.2">
      <c r="A2779" s="2" t="s">
        <v>2244</v>
      </c>
      <c r="B2779" s="2">
        <f t="shared" si="84"/>
        <v>2019</v>
      </c>
      <c r="C2779" s="2" t="str">
        <f t="shared" si="85"/>
        <v>EC101</v>
      </c>
      <c r="D2779" s="1747">
        <v>0</v>
      </c>
      <c r="E2779" s="2">
        <v>23</v>
      </c>
      <c r="F2779" s="1763" t="s">
        <v>461</v>
      </c>
      <c r="G2779" s="1745"/>
      <c r="H2779" s="1745"/>
      <c r="I2779" s="1745"/>
      <c r="J2779" s="1745"/>
      <c r="K2779" s="1745"/>
      <c r="L2779" s="1745"/>
      <c r="M2779" s="1745"/>
      <c r="N2779" s="1745"/>
      <c r="O2779" s="1745"/>
      <c r="P2779" s="1745"/>
      <c r="Q2779" s="1745"/>
      <c r="R2779" s="1745"/>
      <c r="W2779" t="s">
        <v>2089</v>
      </c>
    </row>
    <row r="2780" spans="1:23" ht="13.15" customHeight="1" x14ac:dyDescent="0.2">
      <c r="A2780" s="2" t="s">
        <v>2244</v>
      </c>
      <c r="B2780" s="2">
        <f t="shared" si="84"/>
        <v>2019</v>
      </c>
      <c r="C2780" s="2" t="str">
        <f t="shared" si="85"/>
        <v>EC101</v>
      </c>
      <c r="D2780" s="1747">
        <v>0</v>
      </c>
      <c r="E2780" s="2">
        <v>24</v>
      </c>
      <c r="F2780" s="1763" t="s">
        <v>1301</v>
      </c>
      <c r="G2780" s="1745"/>
      <c r="H2780" s="1745"/>
      <c r="I2780" s="1745"/>
      <c r="J2780" s="1745"/>
      <c r="K2780" s="1745"/>
      <c r="L2780" s="1745"/>
      <c r="M2780" s="1745"/>
      <c r="N2780" s="1745"/>
      <c r="O2780" s="1745"/>
      <c r="P2780" s="1745"/>
      <c r="Q2780" s="1745"/>
      <c r="R2780" s="1745"/>
      <c r="W2780" t="s">
        <v>2089</v>
      </c>
    </row>
    <row r="2781" spans="1:23" ht="13.15" customHeight="1" x14ac:dyDescent="0.2">
      <c r="A2781" s="2" t="s">
        <v>2244</v>
      </c>
      <c r="B2781" s="2">
        <f t="shared" si="84"/>
        <v>2019</v>
      </c>
      <c r="C2781" s="2" t="str">
        <f t="shared" si="85"/>
        <v>EC101</v>
      </c>
      <c r="D2781" s="1747">
        <v>0</v>
      </c>
      <c r="E2781" s="2">
        <v>25</v>
      </c>
      <c r="F2781" s="1763" t="s">
        <v>1329</v>
      </c>
      <c r="G2781" s="1745"/>
      <c r="H2781" s="1745"/>
      <c r="I2781" s="1745"/>
      <c r="J2781" s="1745"/>
      <c r="K2781" s="1745"/>
      <c r="L2781" s="1745"/>
      <c r="M2781" s="1745"/>
      <c r="N2781" s="1745"/>
      <c r="O2781" s="1745"/>
      <c r="P2781" s="1745"/>
      <c r="Q2781" s="1745"/>
      <c r="R2781" s="1745"/>
      <c r="W2781" t="s">
        <v>2089</v>
      </c>
    </row>
    <row r="2782" spans="1:23" ht="13.15" customHeight="1" x14ac:dyDescent="0.2">
      <c r="A2782" s="2" t="s">
        <v>2244</v>
      </c>
      <c r="B2782" s="2">
        <f t="shared" si="84"/>
        <v>2019</v>
      </c>
      <c r="C2782" s="2" t="str">
        <f t="shared" si="85"/>
        <v>EC101</v>
      </c>
      <c r="D2782" s="1747">
        <v>0</v>
      </c>
      <c r="E2782" s="2">
        <v>26</v>
      </c>
      <c r="F2782" s="1763" t="s">
        <v>1383</v>
      </c>
      <c r="G2782" s="1745"/>
      <c r="H2782" s="1745"/>
      <c r="I2782" s="1745"/>
      <c r="J2782" s="1745"/>
      <c r="K2782" s="1745"/>
      <c r="L2782" s="1745"/>
      <c r="M2782" s="1745"/>
      <c r="N2782" s="1745"/>
      <c r="O2782" s="1745"/>
      <c r="P2782" s="1745"/>
      <c r="Q2782" s="1745"/>
      <c r="R2782" s="1745"/>
      <c r="W2782" t="s">
        <v>2089</v>
      </c>
    </row>
    <row r="2783" spans="1:23" ht="13.15" customHeight="1" x14ac:dyDescent="0.2">
      <c r="A2783" s="2" t="s">
        <v>2244</v>
      </c>
      <c r="B2783" s="2">
        <f t="shared" si="84"/>
        <v>2019</v>
      </c>
      <c r="C2783" s="2" t="str">
        <f t="shared" si="85"/>
        <v>EC101</v>
      </c>
      <c r="D2783" s="1747">
        <v>0</v>
      </c>
      <c r="E2783" s="2">
        <v>27</v>
      </c>
      <c r="F2783" s="1763" t="s">
        <v>411</v>
      </c>
      <c r="G2783" s="1745"/>
      <c r="H2783" s="1745"/>
      <c r="I2783" s="1745"/>
      <c r="J2783" s="1745"/>
      <c r="K2783" s="1745"/>
      <c r="L2783" s="1745"/>
      <c r="M2783" s="1745"/>
      <c r="N2783" s="1745"/>
      <c r="O2783" s="1745"/>
      <c r="P2783" s="1745"/>
      <c r="Q2783" s="1745"/>
      <c r="R2783" s="1745"/>
      <c r="W2783" t="s">
        <v>2089</v>
      </c>
    </row>
    <row r="2784" spans="1:23" ht="13.15" customHeight="1" x14ac:dyDescent="0.2">
      <c r="A2784" s="2" t="s">
        <v>2244</v>
      </c>
      <c r="B2784" s="2">
        <f t="shared" si="84"/>
        <v>2019</v>
      </c>
      <c r="C2784" s="2" t="str">
        <f t="shared" si="85"/>
        <v>EC101</v>
      </c>
      <c r="D2784" s="1747">
        <v>0</v>
      </c>
      <c r="E2784" s="2">
        <v>28</v>
      </c>
      <c r="F2784" s="1763" t="s">
        <v>1358</v>
      </c>
      <c r="G2784" s="1745"/>
      <c r="H2784" s="1745"/>
      <c r="I2784" s="1745"/>
      <c r="J2784" s="1745"/>
      <c r="K2784" s="1745"/>
      <c r="L2784" s="1745"/>
      <c r="M2784" s="1745"/>
      <c r="N2784" s="1745"/>
      <c r="O2784" s="1745"/>
      <c r="P2784" s="1745"/>
      <c r="Q2784" s="1745"/>
      <c r="R2784" s="1745"/>
      <c r="W2784" t="s">
        <v>2089</v>
      </c>
    </row>
    <row r="2785" spans="1:23" ht="13.15" customHeight="1" x14ac:dyDescent="0.2">
      <c r="A2785" s="2" t="s">
        <v>2244</v>
      </c>
      <c r="B2785" s="2">
        <f t="shared" si="84"/>
        <v>2019</v>
      </c>
      <c r="C2785" s="2" t="str">
        <f t="shared" si="85"/>
        <v>EC101</v>
      </c>
      <c r="D2785" s="1747">
        <v>0</v>
      </c>
      <c r="E2785" s="2">
        <v>29</v>
      </c>
      <c r="F2785" s="1763" t="s">
        <v>412</v>
      </c>
      <c r="G2785" s="1745"/>
      <c r="H2785" s="1745"/>
      <c r="I2785" s="1745"/>
      <c r="J2785" s="1745"/>
      <c r="K2785" s="1745"/>
      <c r="L2785" s="1745"/>
      <c r="M2785" s="1745"/>
      <c r="N2785" s="1745"/>
      <c r="O2785" s="1745"/>
      <c r="P2785" s="1745"/>
      <c r="Q2785" s="1745"/>
      <c r="R2785" s="1745"/>
      <c r="W2785" t="s">
        <v>2089</v>
      </c>
    </row>
    <row r="2786" spans="1:23" ht="13.15" customHeight="1" x14ac:dyDescent="0.2">
      <c r="A2786" s="2" t="s">
        <v>2244</v>
      </c>
      <c r="B2786" s="2">
        <f t="shared" si="84"/>
        <v>2019</v>
      </c>
      <c r="C2786" s="2" t="str">
        <f t="shared" si="85"/>
        <v>EC101</v>
      </c>
      <c r="D2786" s="1747">
        <v>0</v>
      </c>
      <c r="E2786" s="2">
        <v>30</v>
      </c>
      <c r="F2786" s="1763" t="s">
        <v>683</v>
      </c>
      <c r="G2786" s="1745"/>
      <c r="H2786" s="1745"/>
      <c r="I2786" s="1745"/>
      <c r="J2786" s="1745"/>
      <c r="K2786" s="1745"/>
      <c r="L2786" s="1745"/>
      <c r="M2786" s="1745"/>
      <c r="N2786" s="1745"/>
      <c r="O2786" s="1745"/>
      <c r="P2786" s="1745"/>
      <c r="Q2786" s="1745"/>
      <c r="R2786" s="1745"/>
      <c r="W2786" t="s">
        <v>2089</v>
      </c>
    </row>
    <row r="2787" spans="1:23" ht="13.15" customHeight="1" x14ac:dyDescent="0.2">
      <c r="A2787" s="2" t="s">
        <v>2244</v>
      </c>
      <c r="B2787" s="2">
        <f t="shared" si="84"/>
        <v>2019</v>
      </c>
      <c r="C2787" s="2" t="str">
        <f t="shared" si="85"/>
        <v>EC101</v>
      </c>
      <c r="D2787" s="1747">
        <v>0</v>
      </c>
      <c r="E2787" s="2">
        <v>31</v>
      </c>
      <c r="F2787" s="1763" t="s">
        <v>837</v>
      </c>
      <c r="G2787" s="1745"/>
      <c r="H2787" s="1745"/>
      <c r="I2787" s="1745"/>
      <c r="J2787" s="1745"/>
      <c r="K2787" s="1745"/>
      <c r="L2787" s="1745"/>
      <c r="M2787" s="1745"/>
      <c r="N2787" s="1745"/>
      <c r="O2787" s="1745"/>
      <c r="P2787" s="1745"/>
      <c r="Q2787" s="1745"/>
      <c r="R2787" s="1745"/>
      <c r="W2787" t="s">
        <v>2089</v>
      </c>
    </row>
    <row r="2788" spans="1:23" ht="13.15" customHeight="1" x14ac:dyDescent="0.2">
      <c r="A2788" s="2" t="s">
        <v>2244</v>
      </c>
      <c r="B2788" s="2">
        <f t="shared" si="84"/>
        <v>2019</v>
      </c>
      <c r="C2788" s="2" t="str">
        <f t="shared" si="85"/>
        <v>EC101</v>
      </c>
      <c r="D2788" s="1747">
        <v>0</v>
      </c>
      <c r="E2788" s="2">
        <v>32</v>
      </c>
      <c r="F2788" s="1763" t="s">
        <v>343</v>
      </c>
      <c r="G2788" s="1745"/>
      <c r="H2788" s="1745"/>
      <c r="I2788" s="1745"/>
      <c r="J2788" s="1745"/>
      <c r="K2788" s="1745"/>
      <c r="L2788" s="1745"/>
      <c r="M2788" s="1745"/>
      <c r="N2788" s="1745"/>
      <c r="O2788" s="1745"/>
      <c r="P2788" s="1745"/>
      <c r="Q2788" s="1745"/>
      <c r="R2788" s="1745"/>
      <c r="W2788" t="s">
        <v>2089</v>
      </c>
    </row>
    <row r="2789" spans="1:23" ht="13.15" customHeight="1" x14ac:dyDescent="0.2">
      <c r="A2789" s="2" t="s">
        <v>2244</v>
      </c>
      <c r="B2789" s="2">
        <f t="shared" si="84"/>
        <v>2019</v>
      </c>
      <c r="C2789" s="2" t="str">
        <f t="shared" si="85"/>
        <v>EC101</v>
      </c>
      <c r="D2789" s="1747">
        <v>0</v>
      </c>
      <c r="E2789" s="2">
        <v>33</v>
      </c>
      <c r="F2789" s="1763" t="s">
        <v>1465</v>
      </c>
      <c r="G2789" s="1745"/>
      <c r="H2789" s="1745"/>
      <c r="I2789" s="1745"/>
      <c r="J2789" s="1745"/>
      <c r="K2789" s="1745"/>
      <c r="L2789" s="1745"/>
      <c r="M2789" s="1745"/>
      <c r="N2789" s="1745"/>
      <c r="O2789" s="1745"/>
      <c r="P2789" s="1745"/>
      <c r="Q2789" s="1745"/>
      <c r="R2789" s="1745"/>
      <c r="W2789" t="s">
        <v>2089</v>
      </c>
    </row>
    <row r="2790" spans="1:23" ht="13.15" customHeight="1" x14ac:dyDescent="0.2">
      <c r="A2790" s="2" t="s">
        <v>2244</v>
      </c>
      <c r="B2790" s="2">
        <f t="shared" si="84"/>
        <v>2019</v>
      </c>
      <c r="C2790" s="2" t="str">
        <f t="shared" si="85"/>
        <v>EC101</v>
      </c>
      <c r="D2790" s="1747">
        <v>0</v>
      </c>
      <c r="E2790" s="2">
        <v>34</v>
      </c>
      <c r="F2790" s="1763"/>
      <c r="G2790" s="1745"/>
      <c r="H2790" s="1745"/>
      <c r="I2790" s="1745"/>
      <c r="J2790" s="1745"/>
      <c r="K2790" s="1745"/>
      <c r="L2790" s="1745"/>
      <c r="M2790" s="1745"/>
      <c r="N2790" s="1745"/>
      <c r="O2790" s="1745"/>
      <c r="P2790" s="1745"/>
      <c r="Q2790" s="1745"/>
      <c r="R2790" s="1745"/>
      <c r="W2790" t="s">
        <v>2089</v>
      </c>
    </row>
    <row r="2791" spans="1:23" ht="13.15" customHeight="1" x14ac:dyDescent="0.2">
      <c r="A2791" s="2" t="s">
        <v>2244</v>
      </c>
      <c r="B2791" s="2">
        <f t="shared" si="84"/>
        <v>2019</v>
      </c>
      <c r="C2791" s="2" t="str">
        <f t="shared" si="85"/>
        <v>EC101</v>
      </c>
      <c r="D2791" s="1747">
        <v>0</v>
      </c>
      <c r="E2791" s="2">
        <v>35</v>
      </c>
      <c r="F2791" s="1763" t="s">
        <v>1514</v>
      </c>
      <c r="G2791" s="1745"/>
      <c r="H2791" s="1745"/>
      <c r="I2791" s="1745"/>
      <c r="J2791" s="1745"/>
      <c r="K2791" s="1745"/>
      <c r="L2791" s="1745"/>
      <c r="M2791" s="1745"/>
      <c r="N2791" s="1745"/>
      <c r="O2791" s="1745"/>
      <c r="P2791" s="1745"/>
      <c r="Q2791" s="1745"/>
      <c r="R2791" s="1745"/>
      <c r="W2791" t="s">
        <v>2089</v>
      </c>
    </row>
    <row r="2792" spans="1:23" ht="13.15" customHeight="1" x14ac:dyDescent="0.2">
      <c r="A2792" s="2" t="s">
        <v>2244</v>
      </c>
      <c r="B2792" s="2">
        <f t="shared" ref="B2792:B2855" si="86">+MTREF</f>
        <v>2019</v>
      </c>
      <c r="C2792" s="2" t="str">
        <f t="shared" ref="C2792:C2855" si="87">LEFT(muni,(FIND(" ",muni,1)-1))</f>
        <v>EC101</v>
      </c>
      <c r="D2792" s="1747">
        <v>0</v>
      </c>
      <c r="E2792" s="2">
        <v>36</v>
      </c>
      <c r="F2792" s="1763" t="s">
        <v>1190</v>
      </c>
      <c r="G2792" s="1745"/>
      <c r="H2792" s="1745"/>
      <c r="I2792" s="1745"/>
      <c r="J2792" s="1745"/>
      <c r="K2792" s="1745"/>
      <c r="L2792" s="1745"/>
      <c r="M2792" s="1745"/>
      <c r="N2792" s="1745"/>
      <c r="O2792" s="1745"/>
      <c r="P2792" s="1745"/>
      <c r="Q2792" s="1745"/>
      <c r="R2792" s="1745"/>
      <c r="W2792" t="s">
        <v>2089</v>
      </c>
    </row>
    <row r="2793" spans="1:23" ht="13.15" customHeight="1" x14ac:dyDescent="0.2">
      <c r="A2793" s="2" t="s">
        <v>2244</v>
      </c>
      <c r="B2793" s="2">
        <f t="shared" si="86"/>
        <v>2019</v>
      </c>
      <c r="C2793" s="2" t="str">
        <f t="shared" si="87"/>
        <v>EC101</v>
      </c>
      <c r="D2793" s="1747">
        <v>0</v>
      </c>
      <c r="E2793" s="2">
        <v>37</v>
      </c>
      <c r="F2793" s="1763" t="s">
        <v>709</v>
      </c>
      <c r="G2793" s="1745"/>
      <c r="H2793" s="1745"/>
      <c r="I2793" s="1745"/>
      <c r="J2793" s="1745"/>
      <c r="K2793" s="1745"/>
      <c r="L2793" s="1745"/>
      <c r="M2793" s="1745"/>
      <c r="N2793" s="1745"/>
      <c r="O2793" s="1745"/>
      <c r="P2793" s="1745"/>
      <c r="Q2793" s="1745"/>
      <c r="R2793" s="1745"/>
      <c r="W2793" t="s">
        <v>2089</v>
      </c>
    </row>
    <row r="2794" spans="1:23" ht="13.15" customHeight="1" x14ac:dyDescent="0.2">
      <c r="A2794" s="2" t="s">
        <v>2244</v>
      </c>
      <c r="B2794" s="2">
        <f t="shared" si="86"/>
        <v>2019</v>
      </c>
      <c r="C2794" s="2" t="str">
        <f t="shared" si="87"/>
        <v>EC101</v>
      </c>
      <c r="D2794" s="1747">
        <v>0</v>
      </c>
      <c r="E2794" s="2">
        <v>38</v>
      </c>
      <c r="F2794" s="1763" t="s">
        <v>33</v>
      </c>
      <c r="G2794" s="1745"/>
      <c r="H2794" s="1745"/>
      <c r="I2794" s="1745"/>
      <c r="J2794" s="1745"/>
      <c r="K2794" s="1745"/>
      <c r="L2794" s="1745"/>
      <c r="M2794" s="1745"/>
      <c r="N2794" s="1745"/>
      <c r="O2794" s="1745"/>
      <c r="P2794" s="1745"/>
      <c r="Q2794" s="1745"/>
      <c r="R2794" s="1745"/>
      <c r="W2794" t="s">
        <v>2089</v>
      </c>
    </row>
    <row r="2795" spans="1:23" ht="13.15" customHeight="1" x14ac:dyDescent="0.2">
      <c r="A2795" s="2" t="s">
        <v>2244</v>
      </c>
      <c r="B2795" s="2">
        <f t="shared" si="86"/>
        <v>2019</v>
      </c>
      <c r="C2795" s="2" t="str">
        <f t="shared" si="87"/>
        <v>EC101</v>
      </c>
      <c r="D2795" s="1747">
        <v>0</v>
      </c>
      <c r="E2795" s="2">
        <v>39</v>
      </c>
      <c r="F2795" s="1763" t="s">
        <v>375</v>
      </c>
      <c r="G2795" s="1745"/>
      <c r="H2795" s="1745"/>
      <c r="I2795" s="1745"/>
      <c r="J2795" s="1745"/>
      <c r="K2795" s="1745"/>
      <c r="L2795" s="1745"/>
      <c r="M2795" s="1745"/>
      <c r="N2795" s="1745"/>
      <c r="O2795" s="1745"/>
      <c r="P2795" s="1745"/>
      <c r="Q2795" s="1745"/>
      <c r="R2795" s="1745"/>
      <c r="W2795" t="s">
        <v>2089</v>
      </c>
    </row>
    <row r="2796" spans="1:23" ht="13.15" customHeight="1" x14ac:dyDescent="0.2">
      <c r="A2796" s="2" t="s">
        <v>2244</v>
      </c>
      <c r="B2796" s="2">
        <f t="shared" si="86"/>
        <v>2019</v>
      </c>
      <c r="C2796" s="2" t="str">
        <f t="shared" si="87"/>
        <v>EC101</v>
      </c>
      <c r="D2796" s="1747">
        <v>0</v>
      </c>
      <c r="E2796" s="2">
        <v>40</v>
      </c>
      <c r="F2796" s="1763" t="s">
        <v>922</v>
      </c>
      <c r="G2796" s="1745"/>
      <c r="H2796" s="1745"/>
      <c r="I2796" s="1745"/>
      <c r="J2796" s="1745"/>
      <c r="K2796" s="1745"/>
      <c r="L2796" s="1745"/>
      <c r="M2796" s="1745"/>
      <c r="N2796" s="1745"/>
      <c r="O2796" s="1745"/>
      <c r="P2796" s="1745"/>
      <c r="Q2796" s="1745"/>
      <c r="R2796" s="1745"/>
      <c r="W2796" t="s">
        <v>2089</v>
      </c>
    </row>
    <row r="2797" spans="1:23" ht="13.15" customHeight="1" x14ac:dyDescent="0.2">
      <c r="A2797" s="2" t="s">
        <v>2244</v>
      </c>
      <c r="B2797" s="2">
        <f t="shared" si="86"/>
        <v>2019</v>
      </c>
      <c r="C2797" s="2" t="str">
        <f t="shared" si="87"/>
        <v>EC101</v>
      </c>
      <c r="D2797" s="1747">
        <v>0</v>
      </c>
      <c r="E2797" s="2">
        <v>41</v>
      </c>
      <c r="F2797" s="1763" t="s">
        <v>985</v>
      </c>
      <c r="G2797" s="1745"/>
      <c r="H2797" s="1745"/>
      <c r="I2797" s="1745"/>
      <c r="J2797" s="1745"/>
      <c r="K2797" s="1745"/>
      <c r="L2797" s="1745"/>
      <c r="M2797" s="1745"/>
      <c r="N2797" s="1745"/>
      <c r="O2797" s="1745"/>
      <c r="P2797" s="1745"/>
      <c r="Q2797" s="1745"/>
      <c r="R2797" s="1745"/>
      <c r="W2797" t="s">
        <v>2089</v>
      </c>
    </row>
    <row r="2798" spans="1:23" ht="13.15" customHeight="1" x14ac:dyDescent="0.2">
      <c r="A2798" s="2" t="s">
        <v>2244</v>
      </c>
      <c r="B2798" s="2">
        <f t="shared" si="86"/>
        <v>2019</v>
      </c>
      <c r="C2798" s="2" t="str">
        <f t="shared" si="87"/>
        <v>EC101</v>
      </c>
      <c r="D2798" s="1747">
        <v>0</v>
      </c>
      <c r="E2798" s="2">
        <v>44</v>
      </c>
      <c r="F2798" s="1763" t="s">
        <v>392</v>
      </c>
      <c r="G2798" s="1745"/>
      <c r="H2798" s="1745"/>
      <c r="I2798" s="1745"/>
      <c r="J2798" s="1745"/>
      <c r="K2798" s="1745"/>
      <c r="L2798" s="1745"/>
      <c r="M2798" s="1745"/>
      <c r="N2798" s="1745"/>
      <c r="O2798" s="1745"/>
      <c r="P2798" s="1745"/>
      <c r="Q2798" s="1745"/>
      <c r="R2798" s="1745"/>
      <c r="W2798" t="s">
        <v>2089</v>
      </c>
    </row>
    <row r="2799" spans="1:23" ht="13.15" customHeight="1" x14ac:dyDescent="0.2">
      <c r="A2799" s="2" t="s">
        <v>2245</v>
      </c>
      <c r="B2799" s="2">
        <f t="shared" si="86"/>
        <v>2019</v>
      </c>
      <c r="C2799" s="2" t="str">
        <f t="shared" si="87"/>
        <v>EC101</v>
      </c>
      <c r="D2799" s="1747"/>
      <c r="E2799" s="2"/>
      <c r="F2799" s="1763" t="s">
        <v>369</v>
      </c>
      <c r="G2799" s="1745"/>
      <c r="H2799" s="1745"/>
      <c r="I2799" s="1745"/>
      <c r="J2799" s="1745"/>
      <c r="K2799" s="1745"/>
      <c r="L2799" s="1745"/>
      <c r="M2799" s="1745"/>
      <c r="N2799" s="1745"/>
      <c r="O2799" s="1745"/>
      <c r="P2799" s="1745"/>
      <c r="Q2799" s="1745"/>
      <c r="R2799" s="1745"/>
      <c r="W2799" t="s">
        <v>2089</v>
      </c>
    </row>
    <row r="2800" spans="1:23" ht="13.15" customHeight="1" x14ac:dyDescent="0.2">
      <c r="A2800" s="2" t="s">
        <v>2245</v>
      </c>
      <c r="B2800" s="2">
        <f t="shared" si="86"/>
        <v>2019</v>
      </c>
      <c r="C2800" s="2" t="str">
        <f t="shared" si="87"/>
        <v>EC101</v>
      </c>
      <c r="D2800" s="1747"/>
      <c r="E2800" s="2"/>
      <c r="F2800" s="1763" t="s">
        <v>999</v>
      </c>
      <c r="G2800" s="1745"/>
      <c r="H2800" s="1745"/>
      <c r="I2800" s="1745"/>
      <c r="J2800" s="1745"/>
      <c r="K2800" s="1745"/>
      <c r="L2800" s="1745"/>
      <c r="M2800" s="1745"/>
      <c r="N2800" s="1745"/>
      <c r="O2800" s="1745"/>
      <c r="P2800" s="1745"/>
      <c r="Q2800" s="1745"/>
      <c r="R2800" s="1745"/>
      <c r="W2800" t="s">
        <v>2089</v>
      </c>
    </row>
    <row r="2801" spans="1:23" ht="13.15" customHeight="1" x14ac:dyDescent="0.2">
      <c r="A2801" s="2" t="s">
        <v>2245</v>
      </c>
      <c r="B2801" s="2">
        <f t="shared" si="86"/>
        <v>2019</v>
      </c>
      <c r="C2801" s="2" t="str">
        <f t="shared" si="87"/>
        <v>EC101</v>
      </c>
      <c r="D2801" s="1747">
        <v>1</v>
      </c>
      <c r="E2801" s="2">
        <v>11</v>
      </c>
      <c r="F2801" s="1763" t="s">
        <v>120</v>
      </c>
      <c r="G2801" s="1745"/>
      <c r="H2801" s="1745"/>
      <c r="I2801" s="1745"/>
      <c r="J2801" s="1745"/>
      <c r="K2801" s="1745"/>
      <c r="L2801" s="1745"/>
      <c r="M2801" s="1745"/>
      <c r="N2801" s="1745"/>
      <c r="O2801" s="1745"/>
      <c r="P2801" s="1745"/>
      <c r="Q2801" s="1745"/>
      <c r="R2801" s="1745"/>
      <c r="W2801" t="s">
        <v>2089</v>
      </c>
    </row>
    <row r="2802" spans="1:23" ht="13.15" customHeight="1" x14ac:dyDescent="0.2">
      <c r="A2802" s="2" t="s">
        <v>2245</v>
      </c>
      <c r="B2802" s="2">
        <f t="shared" si="86"/>
        <v>2019</v>
      </c>
      <c r="C2802" s="2" t="str">
        <f t="shared" si="87"/>
        <v>EC101</v>
      </c>
      <c r="D2802" s="1747">
        <v>1</v>
      </c>
      <c r="E2802" s="2">
        <v>12</v>
      </c>
      <c r="F2802" s="1763" t="s">
        <v>121</v>
      </c>
      <c r="G2802" s="1745"/>
      <c r="H2802" s="1745"/>
      <c r="I2802" s="1745"/>
      <c r="J2802" s="1745"/>
      <c r="K2802" s="1745"/>
      <c r="L2802" s="1745"/>
      <c r="M2802" s="1745"/>
      <c r="N2802" s="1745"/>
      <c r="O2802" s="1745"/>
      <c r="P2802" s="1745"/>
      <c r="Q2802" s="1745"/>
      <c r="R2802" s="1745"/>
      <c r="W2802" t="s">
        <v>2089</v>
      </c>
    </row>
    <row r="2803" spans="1:23" ht="13.15" customHeight="1" x14ac:dyDescent="0.2">
      <c r="A2803" s="2" t="s">
        <v>2245</v>
      </c>
      <c r="B2803" s="2">
        <f t="shared" si="86"/>
        <v>2019</v>
      </c>
      <c r="C2803" s="2" t="str">
        <f t="shared" si="87"/>
        <v>EC101</v>
      </c>
      <c r="D2803" s="1747">
        <v>1</v>
      </c>
      <c r="E2803" s="2">
        <v>13</v>
      </c>
      <c r="F2803" s="1763" t="s">
        <v>122</v>
      </c>
      <c r="G2803" s="1745"/>
      <c r="H2803" s="1745"/>
      <c r="I2803" s="1745"/>
      <c r="J2803" s="1745"/>
      <c r="K2803" s="1745"/>
      <c r="L2803" s="1745"/>
      <c r="M2803" s="1745"/>
      <c r="N2803" s="1745"/>
      <c r="O2803" s="1745"/>
      <c r="P2803" s="1745"/>
      <c r="Q2803" s="1745"/>
      <c r="R2803" s="1745"/>
      <c r="W2803" t="s">
        <v>2089</v>
      </c>
    </row>
    <row r="2804" spans="1:23" ht="13.15" customHeight="1" x14ac:dyDescent="0.2">
      <c r="A2804" s="2" t="s">
        <v>2245</v>
      </c>
      <c r="B2804" s="2">
        <f t="shared" si="86"/>
        <v>2019</v>
      </c>
      <c r="C2804" s="2" t="str">
        <f t="shared" si="87"/>
        <v>EC101</v>
      </c>
      <c r="D2804" s="1747"/>
      <c r="E2804" s="2"/>
      <c r="F2804" s="1763" t="s">
        <v>123</v>
      </c>
      <c r="G2804" s="1745"/>
      <c r="H2804" s="1745"/>
      <c r="I2804" s="1745"/>
      <c r="J2804" s="1745"/>
      <c r="K2804" s="1745"/>
      <c r="L2804" s="1745"/>
      <c r="M2804" s="1745"/>
      <c r="N2804" s="1745"/>
      <c r="O2804" s="1745"/>
      <c r="P2804" s="1745"/>
      <c r="Q2804" s="1745"/>
      <c r="R2804" s="1745"/>
      <c r="W2804" t="s">
        <v>2089</v>
      </c>
    </row>
    <row r="2805" spans="1:23" ht="13.15" customHeight="1" x14ac:dyDescent="0.2">
      <c r="A2805" s="2" t="s">
        <v>2245</v>
      </c>
      <c r="B2805" s="2">
        <f t="shared" si="86"/>
        <v>2019</v>
      </c>
      <c r="C2805" s="2" t="str">
        <f t="shared" si="87"/>
        <v>EC101</v>
      </c>
      <c r="D2805" s="1747">
        <v>1</v>
      </c>
      <c r="E2805" s="2">
        <v>21</v>
      </c>
      <c r="F2805" s="1763" t="s">
        <v>124</v>
      </c>
      <c r="G2805" s="1745"/>
      <c r="H2805" s="1745"/>
      <c r="I2805" s="1745"/>
      <c r="J2805" s="1745"/>
      <c r="K2805" s="1745"/>
      <c r="L2805" s="1745"/>
      <c r="M2805" s="1745"/>
      <c r="N2805" s="1745"/>
      <c r="O2805" s="1745"/>
      <c r="P2805" s="1745"/>
      <c r="Q2805" s="1745"/>
      <c r="R2805" s="1745"/>
      <c r="W2805" t="s">
        <v>2089</v>
      </c>
    </row>
    <row r="2806" spans="1:23" ht="13.15" customHeight="1" x14ac:dyDescent="0.2">
      <c r="A2806" s="2" t="s">
        <v>2245</v>
      </c>
      <c r="B2806" s="2">
        <f t="shared" si="86"/>
        <v>2019</v>
      </c>
      <c r="C2806" s="2" t="str">
        <f t="shared" si="87"/>
        <v>EC101</v>
      </c>
      <c r="D2806" s="1747">
        <v>1</v>
      </c>
      <c r="E2806" s="2">
        <v>22</v>
      </c>
      <c r="F2806" s="1763" t="s">
        <v>125</v>
      </c>
      <c r="G2806" s="1745"/>
      <c r="H2806" s="1745"/>
      <c r="I2806" s="1745"/>
      <c r="J2806" s="1745"/>
      <c r="K2806" s="1745"/>
      <c r="L2806" s="1745"/>
      <c r="M2806" s="1745"/>
      <c r="N2806" s="1745"/>
      <c r="O2806" s="1745"/>
      <c r="P2806" s="1745"/>
      <c r="Q2806" s="1745"/>
      <c r="R2806" s="1745"/>
      <c r="W2806" t="s">
        <v>2089</v>
      </c>
    </row>
    <row r="2807" spans="1:23" ht="13.15" customHeight="1" x14ac:dyDescent="0.2">
      <c r="A2807" s="2" t="s">
        <v>2245</v>
      </c>
      <c r="B2807" s="2">
        <f t="shared" si="86"/>
        <v>2019</v>
      </c>
      <c r="C2807" s="2" t="str">
        <f t="shared" si="87"/>
        <v>EC101</v>
      </c>
      <c r="D2807" s="1747">
        <v>1</v>
      </c>
      <c r="E2807" s="2">
        <v>23</v>
      </c>
      <c r="F2807" s="1763" t="s">
        <v>126</v>
      </c>
      <c r="G2807" s="1745"/>
      <c r="H2807" s="1745"/>
      <c r="I2807" s="1745"/>
      <c r="J2807" s="1745"/>
      <c r="K2807" s="1745"/>
      <c r="L2807" s="1745"/>
      <c r="M2807" s="1745"/>
      <c r="N2807" s="1745"/>
      <c r="O2807" s="1745"/>
      <c r="P2807" s="1745"/>
      <c r="Q2807" s="1745"/>
      <c r="R2807" s="1745"/>
      <c r="W2807" t="s">
        <v>2089</v>
      </c>
    </row>
    <row r="2808" spans="1:23" ht="13.15" customHeight="1" x14ac:dyDescent="0.2">
      <c r="A2808" s="2" t="s">
        <v>2245</v>
      </c>
      <c r="B2808" s="2">
        <f t="shared" si="86"/>
        <v>2019</v>
      </c>
      <c r="C2808" s="2" t="str">
        <f t="shared" si="87"/>
        <v>EC101</v>
      </c>
      <c r="D2808" s="1747">
        <v>1</v>
      </c>
      <c r="E2808" s="2">
        <v>24</v>
      </c>
      <c r="F2808" s="1763" t="s">
        <v>1513</v>
      </c>
      <c r="G2808" s="1745"/>
      <c r="H2808" s="1745"/>
      <c r="I2808" s="1745"/>
      <c r="J2808" s="1745"/>
      <c r="K2808" s="1745"/>
      <c r="L2808" s="1745"/>
      <c r="M2808" s="1745"/>
      <c r="N2808" s="1745"/>
      <c r="O2808" s="1745"/>
      <c r="P2808" s="1745"/>
      <c r="Q2808" s="1745"/>
      <c r="R2808" s="1745"/>
      <c r="W2808" t="s">
        <v>2089</v>
      </c>
    </row>
    <row r="2809" spans="1:23" ht="13.15" customHeight="1" x14ac:dyDescent="0.2">
      <c r="A2809" s="2" t="s">
        <v>2245</v>
      </c>
      <c r="B2809" s="2">
        <f t="shared" si="86"/>
        <v>2019</v>
      </c>
      <c r="C2809" s="2" t="str">
        <f t="shared" si="87"/>
        <v>EC101</v>
      </c>
      <c r="D2809" s="1747">
        <v>1</v>
      </c>
      <c r="E2809" s="2">
        <v>25</v>
      </c>
      <c r="F2809" s="1763" t="s">
        <v>1577</v>
      </c>
      <c r="G2809" s="1745"/>
      <c r="H2809" s="1745"/>
      <c r="I2809" s="1745"/>
      <c r="J2809" s="1745"/>
      <c r="K2809" s="1745"/>
      <c r="L2809" s="1745"/>
      <c r="M2809" s="1745"/>
      <c r="N2809" s="1745"/>
      <c r="O2809" s="1745"/>
      <c r="P2809" s="1745"/>
      <c r="Q2809" s="1745"/>
      <c r="R2809" s="1745"/>
      <c r="W2809" t="s">
        <v>2089</v>
      </c>
    </row>
    <row r="2810" spans="1:23" ht="13.15" customHeight="1" x14ac:dyDescent="0.2">
      <c r="A2810" s="2" t="s">
        <v>2245</v>
      </c>
      <c r="B2810" s="2">
        <f t="shared" si="86"/>
        <v>2019</v>
      </c>
      <c r="C2810" s="2" t="str">
        <f t="shared" si="87"/>
        <v>EC101</v>
      </c>
      <c r="D2810" s="1747"/>
      <c r="E2810" s="2"/>
      <c r="F2810" s="1763" t="s">
        <v>127</v>
      </c>
      <c r="G2810" s="1745"/>
      <c r="H2810" s="1745"/>
      <c r="I2810" s="1745"/>
      <c r="J2810" s="1745"/>
      <c r="K2810" s="1745"/>
      <c r="L2810" s="1745"/>
      <c r="M2810" s="1745"/>
      <c r="N2810" s="1745"/>
      <c r="O2810" s="1745"/>
      <c r="P2810" s="1745"/>
      <c r="Q2810" s="1745"/>
      <c r="R2810" s="1745"/>
      <c r="W2810" t="s">
        <v>2089</v>
      </c>
    </row>
    <row r="2811" spans="1:23" ht="13.15" customHeight="1" x14ac:dyDescent="0.2">
      <c r="A2811" s="2" t="s">
        <v>2245</v>
      </c>
      <c r="B2811" s="2">
        <f t="shared" si="86"/>
        <v>2019</v>
      </c>
      <c r="C2811" s="2" t="str">
        <f t="shared" si="87"/>
        <v>EC101</v>
      </c>
      <c r="D2811" s="1747">
        <v>1</v>
      </c>
      <c r="E2811" s="2">
        <v>31</v>
      </c>
      <c r="F2811" s="1763" t="s">
        <v>128</v>
      </c>
      <c r="G2811" s="1745"/>
      <c r="H2811" s="1745"/>
      <c r="I2811" s="1745"/>
      <c r="J2811" s="1745"/>
      <c r="K2811" s="1745"/>
      <c r="L2811" s="1745"/>
      <c r="M2811" s="1745"/>
      <c r="N2811" s="1745"/>
      <c r="O2811" s="1745"/>
      <c r="P2811" s="1745"/>
      <c r="Q2811" s="1745"/>
      <c r="R2811" s="1745"/>
      <c r="W2811" t="s">
        <v>2089</v>
      </c>
    </row>
    <row r="2812" spans="1:23" ht="13.15" customHeight="1" x14ac:dyDescent="0.2">
      <c r="A2812" s="2" t="s">
        <v>2245</v>
      </c>
      <c r="B2812" s="2">
        <f t="shared" si="86"/>
        <v>2019</v>
      </c>
      <c r="C2812" s="2" t="str">
        <f t="shared" si="87"/>
        <v>EC101</v>
      </c>
      <c r="D2812" s="1747">
        <v>1</v>
      </c>
      <c r="E2812" s="2">
        <v>32</v>
      </c>
      <c r="F2812" s="1763" t="s">
        <v>129</v>
      </c>
      <c r="G2812" s="1745"/>
      <c r="H2812" s="1745"/>
      <c r="I2812" s="1745"/>
      <c r="J2812" s="1745"/>
      <c r="K2812" s="1745"/>
      <c r="L2812" s="1745"/>
      <c r="M2812" s="1745"/>
      <c r="N2812" s="1745"/>
      <c r="O2812" s="1745"/>
      <c r="P2812" s="1745"/>
      <c r="Q2812" s="1745"/>
      <c r="R2812" s="1745"/>
      <c r="W2812" t="s">
        <v>2089</v>
      </c>
    </row>
    <row r="2813" spans="1:23" ht="13.15" customHeight="1" x14ac:dyDescent="0.2">
      <c r="A2813" s="2" t="s">
        <v>2245</v>
      </c>
      <c r="B2813" s="2">
        <f t="shared" si="86"/>
        <v>2019</v>
      </c>
      <c r="C2813" s="2" t="str">
        <f t="shared" si="87"/>
        <v>EC101</v>
      </c>
      <c r="D2813" s="1747">
        <v>1</v>
      </c>
      <c r="E2813" s="2">
        <v>33</v>
      </c>
      <c r="F2813" s="1763" t="s">
        <v>130</v>
      </c>
      <c r="G2813" s="1745"/>
      <c r="H2813" s="1745"/>
      <c r="I2813" s="1745"/>
      <c r="J2813" s="1745"/>
      <c r="K2813" s="1745"/>
      <c r="L2813" s="1745"/>
      <c r="M2813" s="1745"/>
      <c r="N2813" s="1745"/>
      <c r="O2813" s="1745"/>
      <c r="P2813" s="1745"/>
      <c r="Q2813" s="1745"/>
      <c r="R2813" s="1745"/>
      <c r="W2813" t="s">
        <v>2089</v>
      </c>
    </row>
    <row r="2814" spans="1:23" ht="13.15" customHeight="1" x14ac:dyDescent="0.2">
      <c r="A2814" s="2" t="s">
        <v>2245</v>
      </c>
      <c r="B2814" s="2">
        <f t="shared" si="86"/>
        <v>2019</v>
      </c>
      <c r="C2814" s="2" t="str">
        <f t="shared" si="87"/>
        <v>EC101</v>
      </c>
      <c r="D2814" s="1747"/>
      <c r="E2814" s="2"/>
      <c r="F2814" s="1763" t="s">
        <v>131</v>
      </c>
      <c r="G2814" s="1745"/>
      <c r="H2814" s="1745"/>
      <c r="I2814" s="1745"/>
      <c r="J2814" s="1745"/>
      <c r="K2814" s="1745"/>
      <c r="L2814" s="1745"/>
      <c r="M2814" s="1745"/>
      <c r="N2814" s="1745"/>
      <c r="O2814" s="1745"/>
      <c r="P2814" s="1745"/>
      <c r="Q2814" s="1745"/>
      <c r="R2814" s="1745"/>
      <c r="W2814" t="s">
        <v>2089</v>
      </c>
    </row>
    <row r="2815" spans="1:23" ht="13.15" customHeight="1" x14ac:dyDescent="0.2">
      <c r="A2815" s="2" t="s">
        <v>2245</v>
      </c>
      <c r="B2815" s="2">
        <f t="shared" si="86"/>
        <v>2019</v>
      </c>
      <c r="C2815" s="2" t="str">
        <f t="shared" si="87"/>
        <v>EC101</v>
      </c>
      <c r="D2815" s="1747">
        <v>1</v>
      </c>
      <c r="E2815" s="2">
        <v>41</v>
      </c>
      <c r="F2815" s="1763" t="s">
        <v>560</v>
      </c>
      <c r="G2815" s="1745"/>
      <c r="H2815" s="1745"/>
      <c r="I2815" s="1745"/>
      <c r="J2815" s="1745"/>
      <c r="K2815" s="1745"/>
      <c r="L2815" s="1745"/>
      <c r="M2815" s="1745"/>
      <c r="N2815" s="1745"/>
      <c r="O2815" s="1745"/>
      <c r="P2815" s="1745"/>
      <c r="Q2815" s="1745"/>
      <c r="R2815" s="1745"/>
      <c r="W2815" t="s">
        <v>2089</v>
      </c>
    </row>
    <row r="2816" spans="1:23" ht="13.15" customHeight="1" x14ac:dyDescent="0.2">
      <c r="A2816" s="2" t="s">
        <v>2245</v>
      </c>
      <c r="B2816" s="2">
        <f t="shared" si="86"/>
        <v>2019</v>
      </c>
      <c r="C2816" s="2" t="str">
        <f t="shared" si="87"/>
        <v>EC101</v>
      </c>
      <c r="D2816" s="1747">
        <v>1</v>
      </c>
      <c r="E2816" s="2">
        <v>42</v>
      </c>
      <c r="F2816" s="1763" t="s">
        <v>835</v>
      </c>
      <c r="G2816" s="1745"/>
      <c r="H2816" s="1745"/>
      <c r="I2816" s="1745"/>
      <c r="J2816" s="1745"/>
      <c r="K2816" s="1745"/>
      <c r="L2816" s="1745"/>
      <c r="M2816" s="1745"/>
      <c r="N2816" s="1745"/>
      <c r="O2816" s="1745"/>
      <c r="P2816" s="1745"/>
      <c r="Q2816" s="1745"/>
      <c r="R2816" s="1745"/>
      <c r="W2816" t="s">
        <v>2089</v>
      </c>
    </row>
    <row r="2817" spans="1:23" ht="13.15" customHeight="1" x14ac:dyDescent="0.2">
      <c r="A2817" s="2" t="s">
        <v>2245</v>
      </c>
      <c r="B2817" s="2">
        <f t="shared" si="86"/>
        <v>2019</v>
      </c>
      <c r="C2817" s="2" t="str">
        <f t="shared" si="87"/>
        <v>EC101</v>
      </c>
      <c r="D2817" s="1747">
        <v>1</v>
      </c>
      <c r="E2817" s="2">
        <v>43</v>
      </c>
      <c r="F2817" s="1763" t="s">
        <v>1001</v>
      </c>
      <c r="G2817" s="1745"/>
      <c r="H2817" s="1745"/>
      <c r="I2817" s="1745"/>
      <c r="J2817" s="1745"/>
      <c r="K2817" s="1745"/>
      <c r="L2817" s="1745"/>
      <c r="M2817" s="1745"/>
      <c r="N2817" s="1745"/>
      <c r="O2817" s="1745"/>
      <c r="P2817" s="1745"/>
      <c r="Q2817" s="1745"/>
      <c r="R2817" s="1745"/>
      <c r="W2817" t="s">
        <v>2089</v>
      </c>
    </row>
    <row r="2818" spans="1:23" ht="13.15" customHeight="1" x14ac:dyDescent="0.2">
      <c r="A2818" s="2" t="s">
        <v>2245</v>
      </c>
      <c r="B2818" s="2">
        <f t="shared" si="86"/>
        <v>2019</v>
      </c>
      <c r="C2818" s="2" t="str">
        <f t="shared" si="87"/>
        <v>EC101</v>
      </c>
      <c r="D2818" s="1747">
        <v>1</v>
      </c>
      <c r="E2818" s="2">
        <v>44</v>
      </c>
      <c r="F2818" s="1763" t="s">
        <v>1002</v>
      </c>
      <c r="G2818" s="1745"/>
      <c r="H2818" s="1745"/>
      <c r="I2818" s="1745"/>
      <c r="J2818" s="1745"/>
      <c r="K2818" s="1745"/>
      <c r="L2818" s="1745"/>
      <c r="M2818" s="1745"/>
      <c r="N2818" s="1745"/>
      <c r="O2818" s="1745"/>
      <c r="P2818" s="1745"/>
      <c r="Q2818" s="1745"/>
      <c r="R2818" s="1745"/>
      <c r="W2818" t="s">
        <v>2089</v>
      </c>
    </row>
    <row r="2819" spans="1:23" ht="13.15" customHeight="1" x14ac:dyDescent="0.2">
      <c r="A2819" s="2" t="s">
        <v>2245</v>
      </c>
      <c r="B2819" s="2">
        <f t="shared" si="86"/>
        <v>2019</v>
      </c>
      <c r="C2819" s="2" t="str">
        <f t="shared" si="87"/>
        <v>EC101</v>
      </c>
      <c r="D2819" s="1747">
        <v>1</v>
      </c>
      <c r="E2819" s="2">
        <v>45</v>
      </c>
      <c r="F2819" s="1763" t="s">
        <v>246</v>
      </c>
      <c r="G2819" s="1745"/>
      <c r="H2819" s="1745"/>
      <c r="I2819" s="1745"/>
      <c r="J2819" s="1745"/>
      <c r="K2819" s="1745"/>
      <c r="L2819" s="1745"/>
      <c r="M2819" s="1745"/>
      <c r="N2819" s="1745"/>
      <c r="O2819" s="1745"/>
      <c r="P2819" s="1745"/>
      <c r="Q2819" s="1745"/>
      <c r="R2819" s="1745"/>
      <c r="W2819" t="s">
        <v>2089</v>
      </c>
    </row>
    <row r="2820" spans="1:23" ht="13.15" customHeight="1" x14ac:dyDescent="0.2">
      <c r="A2820" s="2" t="s">
        <v>2245</v>
      </c>
      <c r="B2820" s="2">
        <f t="shared" si="86"/>
        <v>2019</v>
      </c>
      <c r="C2820" s="2" t="str">
        <f t="shared" si="87"/>
        <v>EC101</v>
      </c>
      <c r="D2820" s="1747"/>
      <c r="E2820" s="2"/>
      <c r="F2820" s="1763" t="s">
        <v>2246</v>
      </c>
      <c r="G2820" s="1745"/>
      <c r="H2820" s="1745"/>
      <c r="I2820" s="1745"/>
      <c r="J2820" s="1745"/>
      <c r="K2820" s="1745"/>
      <c r="L2820" s="1745"/>
      <c r="M2820" s="1745"/>
      <c r="N2820" s="1745"/>
      <c r="O2820" s="1745"/>
      <c r="P2820" s="1745"/>
      <c r="Q2820" s="1745"/>
      <c r="R2820" s="1745"/>
      <c r="W2820" t="s">
        <v>2089</v>
      </c>
    </row>
    <row r="2821" spans="1:23" ht="13.15" customHeight="1" x14ac:dyDescent="0.2">
      <c r="A2821" s="2" t="s">
        <v>2245</v>
      </c>
      <c r="B2821" s="2">
        <f t="shared" si="86"/>
        <v>2019</v>
      </c>
      <c r="C2821" s="2" t="str">
        <f t="shared" si="87"/>
        <v>EC101</v>
      </c>
      <c r="D2821" s="1747"/>
      <c r="E2821" s="2"/>
      <c r="F2821" s="1763"/>
      <c r="G2821" s="1745"/>
      <c r="H2821" s="1745"/>
      <c r="I2821" s="1745"/>
      <c r="J2821" s="1745"/>
      <c r="K2821" s="1745"/>
      <c r="L2821" s="1745"/>
      <c r="M2821" s="1745"/>
      <c r="N2821" s="1745"/>
      <c r="O2821" s="1745"/>
      <c r="P2821" s="1745"/>
      <c r="Q2821" s="1745"/>
      <c r="R2821" s="1745"/>
      <c r="W2821" t="s">
        <v>2089</v>
      </c>
    </row>
    <row r="2822" spans="1:23" ht="13.15" customHeight="1" x14ac:dyDescent="0.2">
      <c r="A2822" s="2" t="s">
        <v>2245</v>
      </c>
      <c r="B2822" s="2">
        <f t="shared" si="86"/>
        <v>2019</v>
      </c>
      <c r="C2822" s="2" t="str">
        <f t="shared" si="87"/>
        <v>EC101</v>
      </c>
      <c r="D2822" s="1747"/>
      <c r="E2822" s="2"/>
      <c r="F2822" s="1763" t="s">
        <v>370</v>
      </c>
      <c r="G2822" s="1745"/>
      <c r="H2822" s="1745"/>
      <c r="I2822" s="1745"/>
      <c r="J2822" s="1745"/>
      <c r="K2822" s="1745"/>
      <c r="L2822" s="1745"/>
      <c r="M2822" s="1745"/>
      <c r="N2822" s="1745"/>
      <c r="O2822" s="1745"/>
      <c r="P2822" s="1745"/>
      <c r="Q2822" s="1745"/>
      <c r="R2822" s="1745"/>
      <c r="W2822" t="s">
        <v>2089</v>
      </c>
    </row>
    <row r="2823" spans="1:23" ht="13.15" customHeight="1" x14ac:dyDescent="0.2">
      <c r="A2823" s="2" t="s">
        <v>2245</v>
      </c>
      <c r="B2823" s="2">
        <f t="shared" si="86"/>
        <v>2019</v>
      </c>
      <c r="C2823" s="2" t="str">
        <f t="shared" si="87"/>
        <v>EC101</v>
      </c>
      <c r="D2823" s="1747"/>
      <c r="E2823" s="2"/>
      <c r="F2823" s="1763" t="s">
        <v>999</v>
      </c>
      <c r="G2823" s="1745"/>
      <c r="H2823" s="1745"/>
      <c r="I2823" s="1745"/>
      <c r="J2823" s="1745"/>
      <c r="K2823" s="1745"/>
      <c r="L2823" s="1745"/>
      <c r="M2823" s="1745"/>
      <c r="N2823" s="1745"/>
      <c r="O2823" s="1745"/>
      <c r="P2823" s="1745"/>
      <c r="Q2823" s="1745"/>
      <c r="R2823" s="1745"/>
      <c r="W2823" t="s">
        <v>2089</v>
      </c>
    </row>
    <row r="2824" spans="1:23" ht="13.15" customHeight="1" x14ac:dyDescent="0.2">
      <c r="A2824" s="2" t="s">
        <v>2245</v>
      </c>
      <c r="B2824" s="2">
        <f t="shared" si="86"/>
        <v>2019</v>
      </c>
      <c r="C2824" s="2" t="str">
        <f t="shared" si="87"/>
        <v>EC101</v>
      </c>
      <c r="D2824" s="1747">
        <v>2</v>
      </c>
      <c r="E2824" s="2">
        <v>11</v>
      </c>
      <c r="F2824" s="1763" t="s">
        <v>120</v>
      </c>
      <c r="G2824" s="1745"/>
      <c r="H2824" s="1745"/>
      <c r="I2824" s="1745"/>
      <c r="J2824" s="1745"/>
      <c r="K2824" s="1745"/>
      <c r="L2824" s="1745"/>
      <c r="M2824" s="1745"/>
      <c r="N2824" s="1745"/>
      <c r="O2824" s="1745"/>
      <c r="P2824" s="1745"/>
      <c r="Q2824" s="1745"/>
      <c r="R2824" s="1745"/>
      <c r="W2824" t="s">
        <v>2089</v>
      </c>
    </row>
    <row r="2825" spans="1:23" ht="13.15" customHeight="1" x14ac:dyDescent="0.2">
      <c r="A2825" s="2" t="s">
        <v>2245</v>
      </c>
      <c r="B2825" s="2">
        <f t="shared" si="86"/>
        <v>2019</v>
      </c>
      <c r="C2825" s="2" t="str">
        <f t="shared" si="87"/>
        <v>EC101</v>
      </c>
      <c r="D2825" s="1747">
        <v>2</v>
      </c>
      <c r="E2825" s="2">
        <v>12</v>
      </c>
      <c r="F2825" s="1763" t="s">
        <v>121</v>
      </c>
      <c r="G2825" s="1745"/>
      <c r="H2825" s="1745"/>
      <c r="I2825" s="1745"/>
      <c r="J2825" s="1745"/>
      <c r="K2825" s="1745"/>
      <c r="L2825" s="1745"/>
      <c r="M2825" s="1745"/>
      <c r="N2825" s="1745"/>
      <c r="O2825" s="1745"/>
      <c r="P2825" s="1745"/>
      <c r="Q2825" s="1745"/>
      <c r="R2825" s="1745"/>
      <c r="W2825" t="s">
        <v>2089</v>
      </c>
    </row>
    <row r="2826" spans="1:23" ht="13.15" customHeight="1" x14ac:dyDescent="0.2">
      <c r="A2826" s="2" t="s">
        <v>2245</v>
      </c>
      <c r="B2826" s="2">
        <f t="shared" si="86"/>
        <v>2019</v>
      </c>
      <c r="C2826" s="2" t="str">
        <f t="shared" si="87"/>
        <v>EC101</v>
      </c>
      <c r="D2826" s="1747">
        <v>2</v>
      </c>
      <c r="E2826" s="2">
        <v>13</v>
      </c>
      <c r="F2826" s="1763" t="s">
        <v>122</v>
      </c>
      <c r="G2826" s="1745"/>
      <c r="H2826" s="1745"/>
      <c r="I2826" s="1745"/>
      <c r="J2826" s="1745"/>
      <c r="K2826" s="1745"/>
      <c r="L2826" s="1745"/>
      <c r="M2826" s="1745"/>
      <c r="N2826" s="1745"/>
      <c r="O2826" s="1745"/>
      <c r="P2826" s="1745"/>
      <c r="Q2826" s="1745"/>
      <c r="R2826" s="1745"/>
      <c r="W2826" t="s">
        <v>2089</v>
      </c>
    </row>
    <row r="2827" spans="1:23" ht="13.15" customHeight="1" x14ac:dyDescent="0.2">
      <c r="A2827" s="2" t="s">
        <v>2245</v>
      </c>
      <c r="B2827" s="2">
        <f t="shared" si="86"/>
        <v>2019</v>
      </c>
      <c r="C2827" s="2" t="str">
        <f t="shared" si="87"/>
        <v>EC101</v>
      </c>
      <c r="D2827" s="1747"/>
      <c r="E2827" s="2"/>
      <c r="F2827" s="1763" t="s">
        <v>123</v>
      </c>
      <c r="G2827" s="1745"/>
      <c r="H2827" s="1745"/>
      <c r="I2827" s="1745"/>
      <c r="J2827" s="1745"/>
      <c r="K2827" s="1745"/>
      <c r="L2827" s="1745"/>
      <c r="M2827" s="1745"/>
      <c r="N2827" s="1745"/>
      <c r="O2827" s="1745"/>
      <c r="P2827" s="1745"/>
      <c r="Q2827" s="1745"/>
      <c r="R2827" s="1745"/>
      <c r="W2827" t="s">
        <v>2089</v>
      </c>
    </row>
    <row r="2828" spans="1:23" ht="13.15" customHeight="1" x14ac:dyDescent="0.2">
      <c r="A2828" s="2" t="s">
        <v>2245</v>
      </c>
      <c r="B2828" s="2">
        <f t="shared" si="86"/>
        <v>2019</v>
      </c>
      <c r="C2828" s="2" t="str">
        <f t="shared" si="87"/>
        <v>EC101</v>
      </c>
      <c r="D2828" s="1747">
        <v>2</v>
      </c>
      <c r="E2828" s="2">
        <v>21</v>
      </c>
      <c r="F2828" s="1763" t="s">
        <v>124</v>
      </c>
      <c r="G2828" s="1745"/>
      <c r="H2828" s="1745"/>
      <c r="I2828" s="1745"/>
      <c r="J2828" s="1745"/>
      <c r="K2828" s="1745"/>
      <c r="L2828" s="1745"/>
      <c r="M2828" s="1745"/>
      <c r="N2828" s="1745"/>
      <c r="O2828" s="1745"/>
      <c r="P2828" s="1745"/>
      <c r="Q2828" s="1745"/>
      <c r="R2828" s="1745"/>
      <c r="W2828" t="s">
        <v>2089</v>
      </c>
    </row>
    <row r="2829" spans="1:23" ht="13.15" customHeight="1" x14ac:dyDescent="0.2">
      <c r="A2829" s="2" t="s">
        <v>2245</v>
      </c>
      <c r="B2829" s="2">
        <f t="shared" si="86"/>
        <v>2019</v>
      </c>
      <c r="C2829" s="2" t="str">
        <f t="shared" si="87"/>
        <v>EC101</v>
      </c>
      <c r="D2829" s="1747">
        <v>2</v>
      </c>
      <c r="E2829" s="2">
        <v>22</v>
      </c>
      <c r="F2829" s="1763" t="s">
        <v>125</v>
      </c>
      <c r="G2829" s="1745"/>
      <c r="H2829" s="1745"/>
      <c r="I2829" s="1745"/>
      <c r="J2829" s="1745"/>
      <c r="K2829" s="1745"/>
      <c r="L2829" s="1745"/>
      <c r="M2829" s="1745"/>
      <c r="N2829" s="1745"/>
      <c r="O2829" s="1745"/>
      <c r="P2829" s="1745"/>
      <c r="Q2829" s="1745"/>
      <c r="R2829" s="1745"/>
      <c r="W2829" t="s">
        <v>2089</v>
      </c>
    </row>
    <row r="2830" spans="1:23" ht="13.15" customHeight="1" x14ac:dyDescent="0.2">
      <c r="A2830" s="2" t="s">
        <v>2245</v>
      </c>
      <c r="B2830" s="2">
        <f t="shared" si="86"/>
        <v>2019</v>
      </c>
      <c r="C2830" s="2" t="str">
        <f t="shared" si="87"/>
        <v>EC101</v>
      </c>
      <c r="D2830" s="1747">
        <v>2</v>
      </c>
      <c r="E2830" s="2">
        <v>23</v>
      </c>
      <c r="F2830" s="1763" t="s">
        <v>126</v>
      </c>
      <c r="G2830" s="1745"/>
      <c r="H2830" s="1745"/>
      <c r="I2830" s="1745"/>
      <c r="J2830" s="1745"/>
      <c r="K2830" s="1745"/>
      <c r="L2830" s="1745"/>
      <c r="M2830" s="1745"/>
      <c r="N2830" s="1745"/>
      <c r="O2830" s="1745"/>
      <c r="P2830" s="1745"/>
      <c r="Q2830" s="1745"/>
      <c r="R2830" s="1745"/>
      <c r="W2830" t="s">
        <v>2089</v>
      </c>
    </row>
    <row r="2831" spans="1:23" ht="13.15" customHeight="1" x14ac:dyDescent="0.2">
      <c r="A2831" s="2" t="s">
        <v>2245</v>
      </c>
      <c r="B2831" s="2">
        <f t="shared" si="86"/>
        <v>2019</v>
      </c>
      <c r="C2831" s="2" t="str">
        <f t="shared" si="87"/>
        <v>EC101</v>
      </c>
      <c r="D2831" s="1747">
        <v>2</v>
      </c>
      <c r="E2831" s="2">
        <v>24</v>
      </c>
      <c r="F2831" s="1763" t="s">
        <v>1513</v>
      </c>
      <c r="G2831" s="1745"/>
      <c r="H2831" s="1745"/>
      <c r="I2831" s="1745"/>
      <c r="J2831" s="1745"/>
      <c r="K2831" s="1745"/>
      <c r="L2831" s="1745"/>
      <c r="M2831" s="1745"/>
      <c r="N2831" s="1745"/>
      <c r="O2831" s="1745"/>
      <c r="P2831" s="1745"/>
      <c r="Q2831" s="1745"/>
      <c r="R2831" s="1745"/>
      <c r="W2831" t="s">
        <v>2089</v>
      </c>
    </row>
    <row r="2832" spans="1:23" ht="13.15" customHeight="1" x14ac:dyDescent="0.2">
      <c r="A2832" s="2" t="s">
        <v>2245</v>
      </c>
      <c r="B2832" s="2">
        <f t="shared" si="86"/>
        <v>2019</v>
      </c>
      <c r="C2832" s="2" t="str">
        <f t="shared" si="87"/>
        <v>EC101</v>
      </c>
      <c r="D2832" s="1747">
        <v>2</v>
      </c>
      <c r="E2832" s="2">
        <v>25</v>
      </c>
      <c r="F2832" s="1763" t="s">
        <v>1577</v>
      </c>
      <c r="G2832" s="1745"/>
      <c r="H2832" s="1745"/>
      <c r="I2832" s="1745"/>
      <c r="J2832" s="1745"/>
      <c r="K2832" s="1745"/>
      <c r="L2832" s="1745"/>
      <c r="M2832" s="1745"/>
      <c r="N2832" s="1745"/>
      <c r="O2832" s="1745"/>
      <c r="P2832" s="1745"/>
      <c r="Q2832" s="1745"/>
      <c r="R2832" s="1745"/>
      <c r="W2832" t="s">
        <v>2089</v>
      </c>
    </row>
    <row r="2833" spans="1:23" ht="13.15" customHeight="1" x14ac:dyDescent="0.2">
      <c r="A2833" s="2" t="s">
        <v>2245</v>
      </c>
      <c r="B2833" s="2">
        <f t="shared" si="86"/>
        <v>2019</v>
      </c>
      <c r="C2833" s="2" t="str">
        <f t="shared" si="87"/>
        <v>EC101</v>
      </c>
      <c r="D2833" s="1747"/>
      <c r="E2833" s="2"/>
      <c r="F2833" s="1763" t="s">
        <v>127</v>
      </c>
      <c r="G2833" s="1745"/>
      <c r="H2833" s="1745"/>
      <c r="I2833" s="1745"/>
      <c r="J2833" s="1745"/>
      <c r="K2833" s="1745"/>
      <c r="L2833" s="1745"/>
      <c r="M2833" s="1745"/>
      <c r="N2833" s="1745"/>
      <c r="O2833" s="1745"/>
      <c r="P2833" s="1745"/>
      <c r="Q2833" s="1745"/>
      <c r="R2833" s="1745"/>
      <c r="W2833" t="s">
        <v>2089</v>
      </c>
    </row>
    <row r="2834" spans="1:23" ht="13.15" customHeight="1" x14ac:dyDescent="0.2">
      <c r="A2834" s="2" t="s">
        <v>2245</v>
      </c>
      <c r="B2834" s="2">
        <f t="shared" si="86"/>
        <v>2019</v>
      </c>
      <c r="C2834" s="2" t="str">
        <f t="shared" si="87"/>
        <v>EC101</v>
      </c>
      <c r="D2834" s="1747">
        <v>2</v>
      </c>
      <c r="E2834" s="2">
        <v>31</v>
      </c>
      <c r="F2834" s="1763" t="s">
        <v>128</v>
      </c>
      <c r="G2834" s="1745"/>
      <c r="H2834" s="1745"/>
      <c r="I2834" s="1745"/>
      <c r="J2834" s="1745"/>
      <c r="K2834" s="1745"/>
      <c r="L2834" s="1745"/>
      <c r="M2834" s="1745"/>
      <c r="N2834" s="1745"/>
      <c r="O2834" s="1745"/>
      <c r="P2834" s="1745"/>
      <c r="Q2834" s="1745"/>
      <c r="R2834" s="1745"/>
      <c r="W2834" t="s">
        <v>2089</v>
      </c>
    </row>
    <row r="2835" spans="1:23" ht="13.15" customHeight="1" x14ac:dyDescent="0.2">
      <c r="A2835" s="2" t="s">
        <v>2245</v>
      </c>
      <c r="B2835" s="2">
        <f t="shared" si="86"/>
        <v>2019</v>
      </c>
      <c r="C2835" s="2" t="str">
        <f t="shared" si="87"/>
        <v>EC101</v>
      </c>
      <c r="D2835" s="1747">
        <v>2</v>
      </c>
      <c r="E2835" s="2">
        <v>32</v>
      </c>
      <c r="F2835" s="1763" t="s">
        <v>129</v>
      </c>
      <c r="G2835" s="1745"/>
      <c r="H2835" s="1745"/>
      <c r="I2835" s="1745"/>
      <c r="J2835" s="1745"/>
      <c r="K2835" s="1745"/>
      <c r="L2835" s="1745"/>
      <c r="M2835" s="1745"/>
      <c r="N2835" s="1745"/>
      <c r="O2835" s="1745"/>
      <c r="P2835" s="1745"/>
      <c r="Q2835" s="1745"/>
      <c r="R2835" s="1745"/>
      <c r="W2835" t="s">
        <v>2089</v>
      </c>
    </row>
    <row r="2836" spans="1:23" ht="13.15" customHeight="1" x14ac:dyDescent="0.2">
      <c r="A2836" s="2" t="s">
        <v>2245</v>
      </c>
      <c r="B2836" s="2">
        <f t="shared" si="86"/>
        <v>2019</v>
      </c>
      <c r="C2836" s="2" t="str">
        <f t="shared" si="87"/>
        <v>EC101</v>
      </c>
      <c r="D2836" s="1747">
        <v>2</v>
      </c>
      <c r="E2836" s="2">
        <v>33</v>
      </c>
      <c r="F2836" s="1763" t="s">
        <v>130</v>
      </c>
      <c r="G2836" s="1745"/>
      <c r="H2836" s="1745"/>
      <c r="I2836" s="1745"/>
      <c r="J2836" s="1745"/>
      <c r="K2836" s="1745"/>
      <c r="L2836" s="1745"/>
      <c r="M2836" s="1745"/>
      <c r="N2836" s="1745"/>
      <c r="O2836" s="1745"/>
      <c r="P2836" s="1745"/>
      <c r="Q2836" s="1745"/>
      <c r="R2836" s="1745"/>
      <c r="W2836" t="s">
        <v>2089</v>
      </c>
    </row>
    <row r="2837" spans="1:23" ht="13.15" customHeight="1" x14ac:dyDescent="0.2">
      <c r="A2837" s="2" t="s">
        <v>2245</v>
      </c>
      <c r="B2837" s="2">
        <f t="shared" si="86"/>
        <v>2019</v>
      </c>
      <c r="C2837" s="2" t="str">
        <f t="shared" si="87"/>
        <v>EC101</v>
      </c>
      <c r="D2837" s="1747"/>
      <c r="E2837" s="2"/>
      <c r="F2837" s="1763" t="s">
        <v>131</v>
      </c>
      <c r="G2837" s="1745"/>
      <c r="H2837" s="1745"/>
      <c r="I2837" s="1745"/>
      <c r="J2837" s="1745"/>
      <c r="K2837" s="1745"/>
      <c r="L2837" s="1745"/>
      <c r="M2837" s="1745"/>
      <c r="N2837" s="1745"/>
      <c r="O2837" s="1745"/>
      <c r="P2837" s="1745"/>
      <c r="Q2837" s="1745"/>
      <c r="R2837" s="1745"/>
      <c r="W2837" t="s">
        <v>2089</v>
      </c>
    </row>
    <row r="2838" spans="1:23" ht="13.15" customHeight="1" x14ac:dyDescent="0.2">
      <c r="A2838" s="2" t="s">
        <v>2245</v>
      </c>
      <c r="B2838" s="2">
        <f t="shared" si="86"/>
        <v>2019</v>
      </c>
      <c r="C2838" s="2" t="str">
        <f t="shared" si="87"/>
        <v>EC101</v>
      </c>
      <c r="D2838" s="1747">
        <v>2</v>
      </c>
      <c r="E2838" s="2">
        <v>41</v>
      </c>
      <c r="F2838" s="1763" t="s">
        <v>560</v>
      </c>
      <c r="G2838" s="1745"/>
      <c r="H2838" s="1745"/>
      <c r="I2838" s="1745"/>
      <c r="J2838" s="1745"/>
      <c r="K2838" s="1745"/>
      <c r="L2838" s="1745"/>
      <c r="M2838" s="1745"/>
      <c r="N2838" s="1745"/>
      <c r="O2838" s="1745"/>
      <c r="P2838" s="1745"/>
      <c r="Q2838" s="1745"/>
      <c r="R2838" s="1745"/>
      <c r="W2838" t="s">
        <v>2089</v>
      </c>
    </row>
    <row r="2839" spans="1:23" ht="13.15" customHeight="1" x14ac:dyDescent="0.2">
      <c r="A2839" s="2" t="s">
        <v>2245</v>
      </c>
      <c r="B2839" s="2">
        <f t="shared" si="86"/>
        <v>2019</v>
      </c>
      <c r="C2839" s="2" t="str">
        <f t="shared" si="87"/>
        <v>EC101</v>
      </c>
      <c r="D2839" s="1747">
        <v>2</v>
      </c>
      <c r="E2839" s="2">
        <v>42</v>
      </c>
      <c r="F2839" s="1763" t="s">
        <v>835</v>
      </c>
      <c r="G2839" s="1745"/>
      <c r="H2839" s="1745"/>
      <c r="I2839" s="1745"/>
      <c r="J2839" s="1745"/>
      <c r="K2839" s="1745"/>
      <c r="L2839" s="1745"/>
      <c r="M2839" s="1745"/>
      <c r="N2839" s="1745"/>
      <c r="O2839" s="1745"/>
      <c r="P2839" s="1745"/>
      <c r="Q2839" s="1745"/>
      <c r="R2839" s="1745"/>
      <c r="W2839" t="s">
        <v>2089</v>
      </c>
    </row>
    <row r="2840" spans="1:23" ht="13.15" customHeight="1" x14ac:dyDescent="0.2">
      <c r="A2840" s="2" t="s">
        <v>2245</v>
      </c>
      <c r="B2840" s="2">
        <f t="shared" si="86"/>
        <v>2019</v>
      </c>
      <c r="C2840" s="2" t="str">
        <f t="shared" si="87"/>
        <v>EC101</v>
      </c>
      <c r="D2840" s="1747">
        <v>2</v>
      </c>
      <c r="E2840" s="2">
        <v>43</v>
      </c>
      <c r="F2840" s="1763" t="s">
        <v>1001</v>
      </c>
      <c r="G2840" s="1745"/>
      <c r="H2840" s="1745"/>
      <c r="I2840" s="1745"/>
      <c r="J2840" s="1745"/>
      <c r="K2840" s="1745"/>
      <c r="L2840" s="1745"/>
      <c r="M2840" s="1745"/>
      <c r="N2840" s="1745"/>
      <c r="O2840" s="1745"/>
      <c r="P2840" s="1745"/>
      <c r="Q2840" s="1745"/>
      <c r="R2840" s="1745"/>
      <c r="W2840" t="s">
        <v>2089</v>
      </c>
    </row>
    <row r="2841" spans="1:23" ht="13.15" customHeight="1" x14ac:dyDescent="0.2">
      <c r="A2841" s="2" t="s">
        <v>2245</v>
      </c>
      <c r="B2841" s="2">
        <f t="shared" si="86"/>
        <v>2019</v>
      </c>
      <c r="C2841" s="2" t="str">
        <f t="shared" si="87"/>
        <v>EC101</v>
      </c>
      <c r="D2841" s="1747">
        <v>2</v>
      </c>
      <c r="E2841" s="2">
        <v>44</v>
      </c>
      <c r="F2841" s="1763" t="s">
        <v>1002</v>
      </c>
      <c r="G2841" s="1745"/>
      <c r="H2841" s="1745"/>
      <c r="I2841" s="1745"/>
      <c r="J2841" s="1745"/>
      <c r="K2841" s="1745"/>
      <c r="L2841" s="1745"/>
      <c r="M2841" s="1745"/>
      <c r="N2841" s="1745"/>
      <c r="O2841" s="1745"/>
      <c r="P2841" s="1745"/>
      <c r="Q2841" s="1745"/>
      <c r="R2841" s="1745"/>
      <c r="W2841" t="s">
        <v>2089</v>
      </c>
    </row>
    <row r="2842" spans="1:23" ht="13.15" customHeight="1" x14ac:dyDescent="0.2">
      <c r="A2842" s="2" t="s">
        <v>2245</v>
      </c>
      <c r="B2842" s="2">
        <f t="shared" si="86"/>
        <v>2019</v>
      </c>
      <c r="C2842" s="2" t="str">
        <f t="shared" si="87"/>
        <v>EC101</v>
      </c>
      <c r="D2842" s="1747">
        <v>2</v>
      </c>
      <c r="E2842" s="2">
        <v>45</v>
      </c>
      <c r="F2842" s="1763" t="s">
        <v>246</v>
      </c>
      <c r="G2842" s="1745"/>
      <c r="H2842" s="1745"/>
      <c r="I2842" s="1745"/>
      <c r="J2842" s="1745"/>
      <c r="K2842" s="1745"/>
      <c r="L2842" s="1745"/>
      <c r="M2842" s="1745"/>
      <c r="N2842" s="1745"/>
      <c r="O2842" s="1745"/>
      <c r="P2842" s="1745"/>
      <c r="Q2842" s="1745"/>
      <c r="R2842" s="1745"/>
      <c r="W2842" t="s">
        <v>2089</v>
      </c>
    </row>
    <row r="2843" spans="1:23" ht="13.15" customHeight="1" x14ac:dyDescent="0.2">
      <c r="A2843" s="2" t="s">
        <v>2245</v>
      </c>
      <c r="B2843" s="2">
        <f t="shared" si="86"/>
        <v>2019</v>
      </c>
      <c r="C2843" s="2" t="str">
        <f t="shared" si="87"/>
        <v>EC101</v>
      </c>
      <c r="D2843" s="1747"/>
      <c r="E2843" s="2"/>
      <c r="F2843" s="1763" t="s">
        <v>2247</v>
      </c>
      <c r="G2843" s="1745"/>
      <c r="H2843" s="1745"/>
      <c r="I2843" s="1745"/>
      <c r="J2843" s="1745"/>
      <c r="K2843" s="1745"/>
      <c r="L2843" s="1745"/>
      <c r="M2843" s="1745"/>
      <c r="N2843" s="1745"/>
      <c r="O2843" s="1745"/>
      <c r="P2843" s="1745"/>
      <c r="Q2843" s="1745"/>
      <c r="R2843" s="1745"/>
      <c r="W2843" t="s">
        <v>2089</v>
      </c>
    </row>
    <row r="2844" spans="1:23" ht="13.15" customHeight="1" x14ac:dyDescent="0.2">
      <c r="A2844" s="2" t="s">
        <v>2248</v>
      </c>
      <c r="B2844" s="2">
        <f t="shared" si="86"/>
        <v>2019</v>
      </c>
      <c r="C2844" s="2" t="str">
        <f t="shared" si="87"/>
        <v>EC101</v>
      </c>
      <c r="D2844" s="1747"/>
      <c r="E2844" s="2"/>
      <c r="F2844" s="2" t="s">
        <v>1091</v>
      </c>
      <c r="G2844" s="1745"/>
      <c r="H2844" s="1745"/>
      <c r="I2844" s="1745"/>
      <c r="J2844" s="1745"/>
      <c r="K2844" s="1745"/>
      <c r="L2844" s="1745"/>
      <c r="M2844" s="1745"/>
      <c r="N2844" s="1745"/>
      <c r="O2844" s="1745"/>
      <c r="P2844" s="1745"/>
      <c r="Q2844" s="1745"/>
      <c r="R2844" s="1745"/>
      <c r="W2844" t="s">
        <v>2089</v>
      </c>
    </row>
    <row r="2845" spans="1:23" ht="13.15" customHeight="1" x14ac:dyDescent="0.2">
      <c r="A2845" s="2" t="s">
        <v>2248</v>
      </c>
      <c r="B2845" s="2">
        <f t="shared" si="86"/>
        <v>2019</v>
      </c>
      <c r="C2845" s="2" t="str">
        <f t="shared" si="87"/>
        <v>EC101</v>
      </c>
      <c r="D2845" s="1747"/>
      <c r="E2845" s="2"/>
      <c r="F2845" s="1763" t="s">
        <v>999</v>
      </c>
      <c r="G2845" s="1745"/>
      <c r="H2845" s="1745"/>
      <c r="I2845" s="1745"/>
      <c r="J2845" s="1745"/>
      <c r="K2845" s="1745"/>
      <c r="L2845" s="1745"/>
      <c r="M2845" s="1745"/>
      <c r="N2845" s="1745"/>
      <c r="O2845" s="1745"/>
      <c r="P2845" s="1745"/>
      <c r="Q2845" s="1745"/>
      <c r="R2845" s="1745"/>
      <c r="W2845" t="s">
        <v>2089</v>
      </c>
    </row>
    <row r="2846" spans="1:23" ht="13.15" customHeight="1" x14ac:dyDescent="0.2">
      <c r="A2846" s="2" t="s">
        <v>2248</v>
      </c>
      <c r="B2846" s="2">
        <f t="shared" si="86"/>
        <v>2019</v>
      </c>
      <c r="C2846" s="2" t="str">
        <f t="shared" si="87"/>
        <v>EC101</v>
      </c>
      <c r="D2846" s="1747">
        <v>1</v>
      </c>
      <c r="E2846" s="2">
        <v>11</v>
      </c>
      <c r="F2846" s="1763" t="s">
        <v>120</v>
      </c>
      <c r="G2846" s="1745"/>
      <c r="H2846" s="1745"/>
      <c r="I2846" s="1745"/>
      <c r="J2846" s="1745"/>
      <c r="K2846" s="1745"/>
      <c r="L2846" s="1745"/>
      <c r="M2846" s="1745"/>
      <c r="N2846" s="1745"/>
      <c r="O2846" s="1745"/>
      <c r="P2846" s="1745"/>
      <c r="Q2846" s="1745"/>
      <c r="R2846" s="1745"/>
      <c r="W2846" t="s">
        <v>2089</v>
      </c>
    </row>
    <row r="2847" spans="1:23" ht="13.15" customHeight="1" x14ac:dyDescent="0.2">
      <c r="A2847" s="2" t="s">
        <v>2248</v>
      </c>
      <c r="B2847" s="2">
        <f t="shared" si="86"/>
        <v>2019</v>
      </c>
      <c r="C2847" s="2" t="str">
        <f t="shared" si="87"/>
        <v>EC101</v>
      </c>
      <c r="D2847" s="1747">
        <v>1</v>
      </c>
      <c r="E2847" s="2">
        <v>12</v>
      </c>
      <c r="F2847" s="1763" t="s">
        <v>121</v>
      </c>
      <c r="G2847" s="1745"/>
      <c r="H2847" s="1745"/>
      <c r="I2847" s="1745"/>
      <c r="J2847" s="1745"/>
      <c r="K2847" s="1745"/>
      <c r="L2847" s="1745"/>
      <c r="M2847" s="1745"/>
      <c r="N2847" s="1745"/>
      <c r="O2847" s="1745"/>
      <c r="P2847" s="1745"/>
      <c r="Q2847" s="1745"/>
      <c r="R2847" s="1745"/>
      <c r="W2847" t="s">
        <v>2089</v>
      </c>
    </row>
    <row r="2848" spans="1:23" ht="13.15" customHeight="1" x14ac:dyDescent="0.2">
      <c r="A2848" s="2" t="s">
        <v>2248</v>
      </c>
      <c r="B2848" s="2">
        <f t="shared" si="86"/>
        <v>2019</v>
      </c>
      <c r="C2848" s="2" t="str">
        <f t="shared" si="87"/>
        <v>EC101</v>
      </c>
      <c r="D2848" s="1747">
        <v>1</v>
      </c>
      <c r="E2848" s="2">
        <v>13</v>
      </c>
      <c r="F2848" s="1763" t="s">
        <v>122</v>
      </c>
      <c r="G2848" s="1745"/>
      <c r="H2848" s="1745"/>
      <c r="I2848" s="1745"/>
      <c r="J2848" s="1745"/>
      <c r="K2848" s="1745"/>
      <c r="L2848" s="1745"/>
      <c r="M2848" s="1745"/>
      <c r="N2848" s="1745"/>
      <c r="O2848" s="1745"/>
      <c r="P2848" s="1745"/>
      <c r="Q2848" s="1745"/>
      <c r="R2848" s="1745"/>
      <c r="W2848" t="s">
        <v>2089</v>
      </c>
    </row>
    <row r="2849" spans="1:23" ht="13.15" customHeight="1" x14ac:dyDescent="0.2">
      <c r="A2849" s="2" t="s">
        <v>2248</v>
      </c>
      <c r="B2849" s="2">
        <f t="shared" si="86"/>
        <v>2019</v>
      </c>
      <c r="C2849" s="2" t="str">
        <f t="shared" si="87"/>
        <v>EC101</v>
      </c>
      <c r="D2849" s="1747"/>
      <c r="E2849" s="2"/>
      <c r="F2849" s="1763" t="s">
        <v>123</v>
      </c>
      <c r="G2849" s="1745"/>
      <c r="H2849" s="1745"/>
      <c r="I2849" s="1745"/>
      <c r="J2849" s="1745"/>
      <c r="K2849" s="1745"/>
      <c r="L2849" s="1745"/>
      <c r="M2849" s="1745"/>
      <c r="N2849" s="1745"/>
      <c r="O2849" s="1745"/>
      <c r="P2849" s="1745"/>
      <c r="Q2849" s="1745"/>
      <c r="R2849" s="1745"/>
      <c r="W2849" t="s">
        <v>2089</v>
      </c>
    </row>
    <row r="2850" spans="1:23" ht="13.15" customHeight="1" x14ac:dyDescent="0.2">
      <c r="A2850" s="2" t="s">
        <v>2248</v>
      </c>
      <c r="B2850" s="2">
        <f t="shared" si="86"/>
        <v>2019</v>
      </c>
      <c r="C2850" s="2" t="str">
        <f t="shared" si="87"/>
        <v>EC101</v>
      </c>
      <c r="D2850" s="1747">
        <v>1</v>
      </c>
      <c r="E2850" s="2">
        <v>21</v>
      </c>
      <c r="F2850" s="1763" t="s">
        <v>124</v>
      </c>
      <c r="G2850" s="1745"/>
      <c r="H2850" s="1745"/>
      <c r="I2850" s="1745"/>
      <c r="J2850" s="1745"/>
      <c r="K2850" s="1745"/>
      <c r="L2850" s="1745"/>
      <c r="M2850" s="1745"/>
      <c r="N2850" s="1745"/>
      <c r="O2850" s="1745"/>
      <c r="P2850" s="1745"/>
      <c r="Q2850" s="1745"/>
      <c r="R2850" s="1745"/>
      <c r="W2850" t="s">
        <v>2089</v>
      </c>
    </row>
    <row r="2851" spans="1:23" ht="13.15" customHeight="1" x14ac:dyDescent="0.2">
      <c r="A2851" s="2" t="s">
        <v>2248</v>
      </c>
      <c r="B2851" s="2">
        <f t="shared" si="86"/>
        <v>2019</v>
      </c>
      <c r="C2851" s="2" t="str">
        <f t="shared" si="87"/>
        <v>EC101</v>
      </c>
      <c r="D2851" s="1747">
        <v>1</v>
      </c>
      <c r="E2851" s="2">
        <v>22</v>
      </c>
      <c r="F2851" s="1763" t="s">
        <v>125</v>
      </c>
      <c r="G2851" s="1745"/>
      <c r="H2851" s="1745"/>
      <c r="I2851" s="1745"/>
      <c r="J2851" s="1745"/>
      <c r="K2851" s="1745"/>
      <c r="L2851" s="1745"/>
      <c r="M2851" s="1745"/>
      <c r="N2851" s="1745"/>
      <c r="O2851" s="1745"/>
      <c r="P2851" s="1745"/>
      <c r="Q2851" s="1745"/>
      <c r="R2851" s="1745"/>
      <c r="W2851" t="s">
        <v>2089</v>
      </c>
    </row>
    <row r="2852" spans="1:23" ht="13.15" customHeight="1" x14ac:dyDescent="0.2">
      <c r="A2852" s="2" t="s">
        <v>2248</v>
      </c>
      <c r="B2852" s="2">
        <f t="shared" si="86"/>
        <v>2019</v>
      </c>
      <c r="C2852" s="2" t="str">
        <f t="shared" si="87"/>
        <v>EC101</v>
      </c>
      <c r="D2852" s="1747">
        <v>1</v>
      </c>
      <c r="E2852" s="2">
        <v>23</v>
      </c>
      <c r="F2852" s="1763" t="s">
        <v>126</v>
      </c>
      <c r="G2852" s="1745"/>
      <c r="H2852" s="1745"/>
      <c r="I2852" s="1745"/>
      <c r="J2852" s="1745"/>
      <c r="K2852" s="1745"/>
      <c r="L2852" s="1745"/>
      <c r="M2852" s="1745"/>
      <c r="N2852" s="1745"/>
      <c r="O2852" s="1745"/>
      <c r="P2852" s="1745"/>
      <c r="Q2852" s="1745"/>
      <c r="R2852" s="1745"/>
      <c r="W2852" t="s">
        <v>2089</v>
      </c>
    </row>
    <row r="2853" spans="1:23" ht="13.15" customHeight="1" x14ac:dyDescent="0.2">
      <c r="A2853" s="2" t="s">
        <v>2248</v>
      </c>
      <c r="B2853" s="2">
        <f t="shared" si="86"/>
        <v>2019</v>
      </c>
      <c r="C2853" s="2" t="str">
        <f t="shared" si="87"/>
        <v>EC101</v>
      </c>
      <c r="D2853" s="1747">
        <v>1</v>
      </c>
      <c r="E2853" s="2">
        <v>24</v>
      </c>
      <c r="F2853" s="1763" t="s">
        <v>1513</v>
      </c>
      <c r="G2853" s="1745"/>
      <c r="H2853" s="1745"/>
      <c r="I2853" s="1745"/>
      <c r="J2853" s="1745"/>
      <c r="K2853" s="1745"/>
      <c r="L2853" s="1745"/>
      <c r="M2853" s="1745"/>
      <c r="N2853" s="1745"/>
      <c r="O2853" s="1745"/>
      <c r="P2853" s="1745"/>
      <c r="Q2853" s="1745"/>
      <c r="R2853" s="1745"/>
      <c r="W2853" t="s">
        <v>2089</v>
      </c>
    </row>
    <row r="2854" spans="1:23" ht="13.15" customHeight="1" x14ac:dyDescent="0.2">
      <c r="A2854" s="2" t="s">
        <v>2248</v>
      </c>
      <c r="B2854" s="2">
        <f t="shared" si="86"/>
        <v>2019</v>
      </c>
      <c r="C2854" s="2" t="str">
        <f t="shared" si="87"/>
        <v>EC101</v>
      </c>
      <c r="D2854" s="1747">
        <v>1</v>
      </c>
      <c r="E2854" s="2">
        <v>25</v>
      </c>
      <c r="F2854" s="1763" t="s">
        <v>1577</v>
      </c>
      <c r="G2854" s="1745"/>
      <c r="H2854" s="1745"/>
      <c r="I2854" s="1745"/>
      <c r="J2854" s="1745"/>
      <c r="K2854" s="1745"/>
      <c r="L2854" s="1745"/>
      <c r="M2854" s="1745"/>
      <c r="N2854" s="1745"/>
      <c r="O2854" s="1745"/>
      <c r="P2854" s="1745"/>
      <c r="Q2854" s="1745"/>
      <c r="R2854" s="1745"/>
      <c r="W2854" t="s">
        <v>2089</v>
      </c>
    </row>
    <row r="2855" spans="1:23" ht="13.15" customHeight="1" x14ac:dyDescent="0.2">
      <c r="A2855" s="2" t="s">
        <v>2248</v>
      </c>
      <c r="B2855" s="2">
        <f t="shared" si="86"/>
        <v>2019</v>
      </c>
      <c r="C2855" s="2" t="str">
        <f t="shared" si="87"/>
        <v>EC101</v>
      </c>
      <c r="D2855" s="1747"/>
      <c r="E2855" s="2"/>
      <c r="F2855" s="1763" t="s">
        <v>127</v>
      </c>
      <c r="G2855" s="1745"/>
      <c r="H2855" s="1745"/>
      <c r="I2855" s="1745"/>
      <c r="J2855" s="1745"/>
      <c r="K2855" s="1745"/>
      <c r="L2855" s="1745"/>
      <c r="M2855" s="1745"/>
      <c r="N2855" s="1745"/>
      <c r="O2855" s="1745"/>
      <c r="P2855" s="1745"/>
      <c r="Q2855" s="1745"/>
      <c r="R2855" s="1745"/>
      <c r="W2855" t="s">
        <v>2089</v>
      </c>
    </row>
    <row r="2856" spans="1:23" ht="13.15" customHeight="1" x14ac:dyDescent="0.2">
      <c r="A2856" s="2" t="s">
        <v>2248</v>
      </c>
      <c r="B2856" s="2">
        <f t="shared" ref="B2856:B2876" si="88">+MTREF</f>
        <v>2019</v>
      </c>
      <c r="C2856" s="2" t="str">
        <f t="shared" ref="C2856:C2876" si="89">LEFT(muni,(FIND(" ",muni,1)-1))</f>
        <v>EC101</v>
      </c>
      <c r="D2856" s="1747">
        <v>1</v>
      </c>
      <c r="E2856" s="2">
        <v>31</v>
      </c>
      <c r="F2856" s="1763" t="s">
        <v>128</v>
      </c>
      <c r="G2856" s="1745"/>
      <c r="H2856" s="1745"/>
      <c r="I2856" s="1745"/>
      <c r="J2856" s="1745"/>
      <c r="K2856" s="1745"/>
      <c r="L2856" s="1745"/>
      <c r="M2856" s="1745"/>
      <c r="N2856" s="1745"/>
      <c r="O2856" s="1745"/>
      <c r="P2856" s="1745"/>
      <c r="Q2856" s="1745"/>
      <c r="R2856" s="1745"/>
      <c r="W2856" t="s">
        <v>2089</v>
      </c>
    </row>
    <row r="2857" spans="1:23" ht="13.15" customHeight="1" x14ac:dyDescent="0.2">
      <c r="A2857" s="2" t="s">
        <v>2248</v>
      </c>
      <c r="B2857" s="2">
        <f t="shared" si="88"/>
        <v>2019</v>
      </c>
      <c r="C2857" s="2" t="str">
        <f t="shared" si="89"/>
        <v>EC101</v>
      </c>
      <c r="D2857" s="1747">
        <v>1</v>
      </c>
      <c r="E2857" s="2">
        <v>32</v>
      </c>
      <c r="F2857" s="1763" t="s">
        <v>129</v>
      </c>
      <c r="G2857" s="1745"/>
      <c r="H2857" s="1745"/>
      <c r="I2857" s="1745"/>
      <c r="J2857" s="1745"/>
      <c r="K2857" s="1745"/>
      <c r="L2857" s="1745"/>
      <c r="M2857" s="1745"/>
      <c r="N2857" s="1745"/>
      <c r="O2857" s="1745"/>
      <c r="P2857" s="1745"/>
      <c r="Q2857" s="1745"/>
      <c r="R2857" s="1745"/>
      <c r="W2857" t="s">
        <v>2089</v>
      </c>
    </row>
    <row r="2858" spans="1:23" ht="13.15" customHeight="1" x14ac:dyDescent="0.2">
      <c r="A2858" s="2" t="s">
        <v>2248</v>
      </c>
      <c r="B2858" s="2">
        <f t="shared" si="88"/>
        <v>2019</v>
      </c>
      <c r="C2858" s="2" t="str">
        <f t="shared" si="89"/>
        <v>EC101</v>
      </c>
      <c r="D2858" s="1747">
        <v>1</v>
      </c>
      <c r="E2858" s="2">
        <v>33</v>
      </c>
      <c r="F2858" s="1763" t="s">
        <v>130</v>
      </c>
      <c r="G2858" s="1745"/>
      <c r="H2858" s="1745"/>
      <c r="I2858" s="1745"/>
      <c r="J2858" s="1745"/>
      <c r="K2858" s="1745"/>
      <c r="L2858" s="1745"/>
      <c r="M2858" s="1745"/>
      <c r="N2858" s="1745"/>
      <c r="O2858" s="1745"/>
      <c r="P2858" s="1745"/>
      <c r="Q2858" s="1745"/>
      <c r="R2858" s="1745"/>
      <c r="W2858" t="s">
        <v>2089</v>
      </c>
    </row>
    <row r="2859" spans="1:23" ht="13.15" customHeight="1" x14ac:dyDescent="0.2">
      <c r="A2859" s="2" t="s">
        <v>2248</v>
      </c>
      <c r="B2859" s="2">
        <f t="shared" si="88"/>
        <v>2019</v>
      </c>
      <c r="C2859" s="2" t="str">
        <f t="shared" si="89"/>
        <v>EC101</v>
      </c>
      <c r="D2859" s="1747"/>
      <c r="E2859" s="2"/>
      <c r="F2859" s="1763" t="s">
        <v>131</v>
      </c>
      <c r="G2859" s="1745"/>
      <c r="H2859" s="1745"/>
      <c r="I2859" s="1745"/>
      <c r="J2859" s="1745"/>
      <c r="K2859" s="1745"/>
      <c r="L2859" s="1745"/>
      <c r="M2859" s="1745"/>
      <c r="N2859" s="1745"/>
      <c r="O2859" s="1745"/>
      <c r="P2859" s="1745"/>
      <c r="Q2859" s="1745"/>
      <c r="R2859" s="1745"/>
      <c r="W2859" t="s">
        <v>2089</v>
      </c>
    </row>
    <row r="2860" spans="1:23" ht="13.15" customHeight="1" x14ac:dyDescent="0.2">
      <c r="A2860" s="2" t="s">
        <v>2248</v>
      </c>
      <c r="B2860" s="2">
        <f t="shared" si="88"/>
        <v>2019</v>
      </c>
      <c r="C2860" s="2" t="str">
        <f t="shared" si="89"/>
        <v>EC101</v>
      </c>
      <c r="D2860" s="1747">
        <v>1</v>
      </c>
      <c r="E2860" s="2">
        <v>41</v>
      </c>
      <c r="F2860" s="1763" t="s">
        <v>560</v>
      </c>
      <c r="G2860" s="1745"/>
      <c r="H2860" s="1745"/>
      <c r="I2860" s="1745"/>
      <c r="J2860" s="1745"/>
      <c r="K2860" s="1745"/>
      <c r="L2860" s="1745"/>
      <c r="M2860" s="1745"/>
      <c r="N2860" s="1745"/>
      <c r="O2860" s="1745"/>
      <c r="P2860" s="1745"/>
      <c r="Q2860" s="1745"/>
      <c r="R2860" s="1745"/>
      <c r="W2860" t="s">
        <v>2089</v>
      </c>
    </row>
    <row r="2861" spans="1:23" ht="13.15" customHeight="1" x14ac:dyDescent="0.2">
      <c r="A2861" s="2" t="s">
        <v>2248</v>
      </c>
      <c r="B2861" s="2">
        <f t="shared" si="88"/>
        <v>2019</v>
      </c>
      <c r="C2861" s="2" t="str">
        <f t="shared" si="89"/>
        <v>EC101</v>
      </c>
      <c r="D2861" s="1747">
        <v>1</v>
      </c>
      <c r="E2861" s="2">
        <v>42</v>
      </c>
      <c r="F2861" s="1763" t="s">
        <v>835</v>
      </c>
      <c r="G2861" s="1745"/>
      <c r="H2861" s="1745"/>
      <c r="I2861" s="1745"/>
      <c r="J2861" s="1745"/>
      <c r="K2861" s="1745"/>
      <c r="L2861" s="1745"/>
      <c r="M2861" s="1745"/>
      <c r="N2861" s="1745"/>
      <c r="O2861" s="1745"/>
      <c r="P2861" s="1745"/>
      <c r="Q2861" s="1745"/>
      <c r="R2861" s="1745"/>
      <c r="W2861" t="s">
        <v>2089</v>
      </c>
    </row>
    <row r="2862" spans="1:23" ht="13.15" customHeight="1" x14ac:dyDescent="0.2">
      <c r="A2862" s="2" t="s">
        <v>2248</v>
      </c>
      <c r="B2862" s="2">
        <f t="shared" si="88"/>
        <v>2019</v>
      </c>
      <c r="C2862" s="2" t="str">
        <f t="shared" si="89"/>
        <v>EC101</v>
      </c>
      <c r="D2862" s="1747">
        <v>1</v>
      </c>
      <c r="E2862" s="2">
        <v>43</v>
      </c>
      <c r="F2862" s="1763" t="s">
        <v>1001</v>
      </c>
      <c r="G2862" s="1745"/>
      <c r="H2862" s="1745"/>
      <c r="I2862" s="1745"/>
      <c r="J2862" s="1745"/>
      <c r="K2862" s="1745"/>
      <c r="L2862" s="1745"/>
      <c r="M2862" s="1745"/>
      <c r="N2862" s="1745"/>
      <c r="O2862" s="1745"/>
      <c r="P2862" s="1745"/>
      <c r="Q2862" s="1745"/>
      <c r="R2862" s="1745"/>
      <c r="W2862" t="s">
        <v>2089</v>
      </c>
    </row>
    <row r="2863" spans="1:23" ht="13.15" customHeight="1" x14ac:dyDescent="0.2">
      <c r="A2863" s="2" t="s">
        <v>2248</v>
      </c>
      <c r="B2863" s="2">
        <f t="shared" si="88"/>
        <v>2019</v>
      </c>
      <c r="C2863" s="2" t="str">
        <f t="shared" si="89"/>
        <v>EC101</v>
      </c>
      <c r="D2863" s="1747">
        <v>1</v>
      </c>
      <c r="E2863" s="2">
        <v>44</v>
      </c>
      <c r="F2863" s="1763" t="s">
        <v>1002</v>
      </c>
      <c r="G2863" s="1745"/>
      <c r="H2863" s="1745"/>
      <c r="I2863" s="1745"/>
      <c r="J2863" s="1745"/>
      <c r="K2863" s="1745"/>
      <c r="L2863" s="1745"/>
      <c r="M2863" s="1745"/>
      <c r="N2863" s="1745"/>
      <c r="O2863" s="1745"/>
      <c r="P2863" s="1745"/>
      <c r="Q2863" s="1745"/>
      <c r="R2863" s="1745"/>
      <c r="W2863" t="s">
        <v>2089</v>
      </c>
    </row>
    <row r="2864" spans="1:23" ht="13.15" customHeight="1" x14ac:dyDescent="0.2">
      <c r="A2864" s="2" t="s">
        <v>2248</v>
      </c>
      <c r="B2864" s="2">
        <f t="shared" si="88"/>
        <v>2019</v>
      </c>
      <c r="C2864" s="2" t="str">
        <f t="shared" si="89"/>
        <v>EC101</v>
      </c>
      <c r="D2864" s="1747">
        <v>1</v>
      </c>
      <c r="E2864" s="2">
        <v>45</v>
      </c>
      <c r="F2864" s="1763" t="s">
        <v>246</v>
      </c>
      <c r="G2864" s="1745"/>
      <c r="H2864" s="1745"/>
      <c r="I2864" s="1745"/>
      <c r="J2864" s="1745"/>
      <c r="K2864" s="1745"/>
      <c r="L2864" s="1745"/>
      <c r="M2864" s="1745"/>
      <c r="N2864" s="1745"/>
      <c r="O2864" s="1745"/>
      <c r="P2864" s="1745"/>
      <c r="Q2864" s="1745"/>
      <c r="R2864" s="1745"/>
      <c r="W2864" t="s">
        <v>2089</v>
      </c>
    </row>
    <row r="2865" spans="1:23" ht="13.15" customHeight="1" x14ac:dyDescent="0.2">
      <c r="A2865" s="2" t="s">
        <v>2248</v>
      </c>
      <c r="B2865" s="2">
        <f t="shared" si="88"/>
        <v>2019</v>
      </c>
      <c r="C2865" s="2" t="str">
        <f t="shared" si="89"/>
        <v>EC101</v>
      </c>
      <c r="D2865" s="1747"/>
      <c r="E2865" s="2"/>
      <c r="F2865" s="1763" t="s">
        <v>1092</v>
      </c>
      <c r="G2865" s="1745"/>
      <c r="H2865" s="1745"/>
      <c r="I2865" s="1745"/>
      <c r="J2865" s="1745"/>
      <c r="K2865" s="1745"/>
      <c r="L2865" s="1745"/>
      <c r="M2865" s="1745"/>
      <c r="N2865" s="1745"/>
      <c r="O2865" s="1745"/>
      <c r="P2865" s="1745"/>
      <c r="Q2865" s="1745"/>
      <c r="R2865" s="1745"/>
      <c r="W2865" t="s">
        <v>2089</v>
      </c>
    </row>
    <row r="2866" spans="1:23" ht="13.15" customHeight="1" x14ac:dyDescent="0.2">
      <c r="A2866" s="2" t="s">
        <v>2248</v>
      </c>
      <c r="B2866" s="2">
        <f t="shared" si="88"/>
        <v>2019</v>
      </c>
      <c r="C2866" s="2" t="str">
        <f t="shared" si="89"/>
        <v>EC101</v>
      </c>
      <c r="D2866" s="1747"/>
      <c r="E2866" s="2"/>
      <c r="F2866" s="2"/>
      <c r="G2866" s="1745"/>
      <c r="H2866" s="1745"/>
      <c r="I2866" s="1745"/>
      <c r="J2866" s="1745"/>
      <c r="K2866" s="1745"/>
      <c r="L2866" s="1745"/>
      <c r="M2866" s="1745"/>
      <c r="N2866" s="1745"/>
      <c r="O2866" s="1745"/>
      <c r="P2866" s="1745"/>
      <c r="Q2866" s="1745"/>
      <c r="R2866" s="1745"/>
      <c r="W2866" t="s">
        <v>2089</v>
      </c>
    </row>
    <row r="2867" spans="1:23" ht="13.15" customHeight="1" x14ac:dyDescent="0.25">
      <c r="A2867" s="2" t="s">
        <v>2248</v>
      </c>
      <c r="B2867" s="2">
        <f t="shared" si="88"/>
        <v>2019</v>
      </c>
      <c r="C2867" s="2" t="str">
        <f t="shared" si="89"/>
        <v>EC101</v>
      </c>
      <c r="D2867" s="1747">
        <v>2</v>
      </c>
      <c r="E2867" s="2">
        <v>50</v>
      </c>
      <c r="F2867" s="704" t="s">
        <v>424</v>
      </c>
      <c r="G2867" s="1745"/>
      <c r="H2867" s="1745"/>
      <c r="I2867" s="1745"/>
      <c r="J2867" s="1745"/>
      <c r="K2867" s="1745"/>
      <c r="L2867" s="1745"/>
      <c r="M2867" s="1745"/>
      <c r="N2867" s="1745"/>
      <c r="O2867" s="1745"/>
      <c r="P2867" s="1745"/>
      <c r="Q2867" s="1745"/>
      <c r="R2867" s="1745"/>
      <c r="W2867" t="s">
        <v>2089</v>
      </c>
    </row>
    <row r="2868" spans="1:23" ht="13.15" customHeight="1" x14ac:dyDescent="0.25">
      <c r="A2868" s="2" t="s">
        <v>2248</v>
      </c>
      <c r="B2868" s="2">
        <f t="shared" si="88"/>
        <v>2019</v>
      </c>
      <c r="C2868" s="2" t="str">
        <f t="shared" si="89"/>
        <v>EC101</v>
      </c>
      <c r="D2868" s="1747">
        <v>2</v>
      </c>
      <c r="E2868" s="2">
        <v>51</v>
      </c>
      <c r="F2868" s="704" t="s">
        <v>1379</v>
      </c>
      <c r="G2868" s="1745"/>
      <c r="H2868" s="1745"/>
      <c r="I2868" s="1745"/>
      <c r="J2868" s="1745"/>
      <c r="K2868" s="1745"/>
      <c r="L2868" s="1745"/>
      <c r="M2868" s="1745"/>
      <c r="N2868" s="1745"/>
      <c r="O2868" s="1745"/>
      <c r="P2868" s="1745"/>
      <c r="Q2868" s="1745"/>
      <c r="R2868" s="1745"/>
      <c r="W2868" t="s">
        <v>2089</v>
      </c>
    </row>
    <row r="2869" spans="1:23" ht="13.15" customHeight="1" x14ac:dyDescent="0.25">
      <c r="A2869" s="2" t="s">
        <v>2248</v>
      </c>
      <c r="B2869" s="2">
        <f t="shared" si="88"/>
        <v>2019</v>
      </c>
      <c r="C2869" s="2" t="str">
        <f t="shared" si="89"/>
        <v>EC101</v>
      </c>
      <c r="D2869" s="1747">
        <v>2</v>
      </c>
      <c r="E2869" s="2">
        <v>52</v>
      </c>
      <c r="F2869" s="704" t="s">
        <v>472</v>
      </c>
      <c r="G2869" s="1745"/>
      <c r="H2869" s="1745"/>
      <c r="I2869" s="1745"/>
      <c r="J2869" s="1745"/>
      <c r="K2869" s="1745"/>
      <c r="L2869" s="1745"/>
      <c r="M2869" s="1745"/>
      <c r="N2869" s="1745"/>
      <c r="O2869" s="1745"/>
      <c r="P2869" s="1745"/>
      <c r="Q2869" s="1745"/>
      <c r="R2869" s="1745"/>
      <c r="W2869" t="s">
        <v>2089</v>
      </c>
    </row>
    <row r="2870" spans="1:23" ht="13.15" customHeight="1" x14ac:dyDescent="0.25">
      <c r="A2870" s="2" t="s">
        <v>2248</v>
      </c>
      <c r="B2870" s="2">
        <f t="shared" si="88"/>
        <v>2019</v>
      </c>
      <c r="C2870" s="2" t="str">
        <f t="shared" si="89"/>
        <v>EC101</v>
      </c>
      <c r="D2870" s="1747">
        <v>2</v>
      </c>
      <c r="E2870" s="2">
        <v>53</v>
      </c>
      <c r="F2870" s="704" t="s">
        <v>473</v>
      </c>
      <c r="G2870" s="1745"/>
      <c r="H2870" s="1745"/>
      <c r="I2870" s="1745"/>
      <c r="J2870" s="1745"/>
      <c r="K2870" s="1745"/>
      <c r="L2870" s="1745"/>
      <c r="M2870" s="1745"/>
      <c r="N2870" s="1745"/>
      <c r="O2870" s="1745"/>
      <c r="P2870" s="1745"/>
      <c r="Q2870" s="1745"/>
      <c r="R2870" s="1745"/>
      <c r="W2870" t="s">
        <v>2089</v>
      </c>
    </row>
    <row r="2871" spans="1:23" ht="13.15" customHeight="1" x14ac:dyDescent="0.25">
      <c r="A2871" s="2" t="s">
        <v>2248</v>
      </c>
      <c r="B2871" s="2">
        <f t="shared" si="88"/>
        <v>2019</v>
      </c>
      <c r="C2871" s="2" t="str">
        <f t="shared" si="89"/>
        <v>EC101</v>
      </c>
      <c r="D2871" s="1747">
        <v>2</v>
      </c>
      <c r="E2871" s="2">
        <v>54</v>
      </c>
      <c r="F2871" s="704" t="s">
        <v>913</v>
      </c>
      <c r="G2871" s="1745"/>
      <c r="H2871" s="1745"/>
      <c r="I2871" s="1745"/>
      <c r="J2871" s="1745"/>
      <c r="K2871" s="1745"/>
      <c r="L2871" s="1745"/>
      <c r="M2871" s="1745"/>
      <c r="N2871" s="1745"/>
      <c r="O2871" s="1745"/>
      <c r="P2871" s="1745"/>
      <c r="Q2871" s="1745"/>
      <c r="R2871" s="1745"/>
      <c r="W2871" t="s">
        <v>2089</v>
      </c>
    </row>
    <row r="2872" spans="1:23" ht="13.15" customHeight="1" x14ac:dyDescent="0.25">
      <c r="A2872" s="2" t="s">
        <v>2248</v>
      </c>
      <c r="B2872" s="2">
        <f t="shared" si="88"/>
        <v>2019</v>
      </c>
      <c r="C2872" s="2" t="str">
        <f t="shared" si="89"/>
        <v>EC101</v>
      </c>
      <c r="D2872" s="1747">
        <v>2</v>
      </c>
      <c r="E2872" s="2">
        <v>55</v>
      </c>
      <c r="F2872" s="704" t="s">
        <v>1190</v>
      </c>
      <c r="G2872" s="1745"/>
      <c r="H2872" s="1745"/>
      <c r="I2872" s="1745"/>
      <c r="J2872" s="1745"/>
      <c r="K2872" s="1745"/>
      <c r="L2872" s="1745"/>
      <c r="M2872" s="1745"/>
      <c r="N2872" s="1745"/>
      <c r="O2872" s="1745"/>
      <c r="P2872" s="1745"/>
      <c r="Q2872" s="1745"/>
      <c r="R2872" s="1745"/>
      <c r="W2872" t="s">
        <v>2089</v>
      </c>
    </row>
    <row r="2873" spans="1:23" ht="13.15" customHeight="1" x14ac:dyDescent="0.25">
      <c r="A2873" s="2" t="s">
        <v>2248</v>
      </c>
      <c r="B2873" s="2">
        <f t="shared" si="88"/>
        <v>2019</v>
      </c>
      <c r="C2873" s="2" t="str">
        <f t="shared" si="89"/>
        <v>EC101</v>
      </c>
      <c r="D2873" s="1747">
        <v>2</v>
      </c>
      <c r="E2873" s="2">
        <v>56</v>
      </c>
      <c r="F2873" s="704" t="s">
        <v>391</v>
      </c>
      <c r="G2873" s="1745"/>
      <c r="H2873" s="1745"/>
      <c r="I2873" s="1745"/>
      <c r="J2873" s="1745"/>
      <c r="K2873" s="1745"/>
      <c r="L2873" s="1745"/>
      <c r="M2873" s="1745"/>
      <c r="N2873" s="1745"/>
      <c r="O2873" s="1745"/>
      <c r="P2873" s="1745"/>
      <c r="Q2873" s="1745"/>
      <c r="R2873" s="1745"/>
      <c r="W2873" t="s">
        <v>2089</v>
      </c>
    </row>
    <row r="2874" spans="1:23" ht="13.15" customHeight="1" x14ac:dyDescent="0.25">
      <c r="A2874" s="2" t="s">
        <v>2248</v>
      </c>
      <c r="B2874" s="2">
        <f t="shared" si="88"/>
        <v>2019</v>
      </c>
      <c r="C2874" s="2" t="str">
        <f t="shared" si="89"/>
        <v>EC101</v>
      </c>
      <c r="D2874" s="1747">
        <v>2</v>
      </c>
      <c r="E2874" s="2">
        <v>57</v>
      </c>
      <c r="F2874" s="704" t="s">
        <v>1132</v>
      </c>
      <c r="G2874" s="1745"/>
      <c r="H2874" s="1745"/>
      <c r="I2874" s="1745"/>
      <c r="J2874" s="1745"/>
      <c r="K2874" s="1745"/>
      <c r="L2874" s="1745"/>
      <c r="M2874" s="1745"/>
      <c r="N2874" s="1745"/>
      <c r="O2874" s="1745"/>
      <c r="P2874" s="1745"/>
      <c r="Q2874" s="1745"/>
      <c r="R2874" s="1745"/>
      <c r="W2874" t="s">
        <v>2089</v>
      </c>
    </row>
    <row r="2875" spans="1:23" ht="13.15" customHeight="1" x14ac:dyDescent="0.25">
      <c r="A2875" s="2" t="s">
        <v>2248</v>
      </c>
      <c r="B2875" s="2">
        <f t="shared" si="88"/>
        <v>2019</v>
      </c>
      <c r="C2875" s="2" t="str">
        <f t="shared" si="89"/>
        <v>EC101</v>
      </c>
      <c r="D2875" s="1747">
        <v>2</v>
      </c>
      <c r="E2875" s="2">
        <v>58</v>
      </c>
      <c r="F2875" s="704" t="s">
        <v>425</v>
      </c>
      <c r="G2875" s="1745"/>
      <c r="H2875" s="1745"/>
      <c r="I2875" s="1745"/>
      <c r="J2875" s="1745"/>
      <c r="K2875" s="1745"/>
      <c r="L2875" s="1745"/>
      <c r="M2875" s="1745"/>
      <c r="N2875" s="1745"/>
      <c r="O2875" s="1745"/>
      <c r="P2875" s="1745"/>
      <c r="Q2875" s="1745"/>
      <c r="R2875" s="1745"/>
      <c r="W2875" t="s">
        <v>2089</v>
      </c>
    </row>
    <row r="2876" spans="1:23" ht="13.15" customHeight="1" x14ac:dyDescent="0.25">
      <c r="A2876" s="2" t="s">
        <v>2248</v>
      </c>
      <c r="B2876" s="2">
        <f t="shared" si="88"/>
        <v>2019</v>
      </c>
      <c r="C2876" s="2" t="str">
        <f t="shared" si="89"/>
        <v>EC101</v>
      </c>
      <c r="D2876" s="1747">
        <v>2</v>
      </c>
      <c r="E2876" s="2">
        <v>59</v>
      </c>
      <c r="F2876" s="704" t="s">
        <v>677</v>
      </c>
      <c r="G2876" s="1745"/>
      <c r="H2876" s="1745"/>
      <c r="I2876" s="1745"/>
      <c r="J2876" s="1745"/>
      <c r="K2876" s="1745"/>
      <c r="L2876" s="1745"/>
      <c r="M2876" s="1745"/>
      <c r="N2876" s="1745"/>
      <c r="O2876" s="1745"/>
      <c r="P2876" s="1745"/>
      <c r="Q2876" s="1745"/>
      <c r="R2876" s="1745"/>
      <c r="W2876" t="s">
        <v>2089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68"/>
  <sheetViews>
    <sheetView showGridLines="0" zoomScaleNormal="100" workbookViewId="0">
      <pane xSplit="1" ySplit="3" topLeftCell="B4" activePane="bottomRight" state="frozen"/>
      <selection pane="topRight"/>
      <selection pane="bottomLeft"/>
      <selection pane="bottomRight" sqref="A1:K3"/>
    </sheetView>
  </sheetViews>
  <sheetFormatPr defaultRowHeight="12.75" x14ac:dyDescent="0.25"/>
  <cols>
    <col min="1" max="1" width="32.7109375" style="25" customWidth="1"/>
    <col min="2" max="2" width="12.7109375" style="25" customWidth="1"/>
    <col min="3" max="3" width="7.7109375" style="25" bestFit="1" customWidth="1"/>
    <col min="4" max="4" width="12.7109375" style="25" customWidth="1"/>
    <col min="5" max="11" width="9" style="25" customWidth="1"/>
    <col min="12" max="14" width="7.7109375" style="25" customWidth="1"/>
    <col min="15" max="16384" width="9.140625" style="25"/>
  </cols>
  <sheetData>
    <row r="1" spans="1:11" ht="13.5" customHeight="1" x14ac:dyDescent="0.25">
      <c r="A1" s="1909" t="str">
        <f>muni&amp;" - "&amp;Approve1</f>
        <v>EC101 Dr Beyers Naude - Table A1 Budget Summary</v>
      </c>
      <c r="B1" s="1910"/>
      <c r="C1" s="1910"/>
      <c r="D1" s="24"/>
      <c r="E1" s="24"/>
      <c r="F1" s="24"/>
      <c r="G1" s="24"/>
      <c r="H1" s="24"/>
      <c r="I1" s="24"/>
      <c r="J1" s="24"/>
      <c r="K1" s="24"/>
    </row>
    <row r="2" spans="1:11" ht="28.5" customHeight="1" x14ac:dyDescent="0.25">
      <c r="A2" s="630" t="str">
        <f>desc</f>
        <v>Description</v>
      </c>
      <c r="B2" s="20" t="str">
        <f>head1b</f>
        <v>2015/16</v>
      </c>
      <c r="C2" s="26" t="str">
        <f>head1A</f>
        <v>2016/17</v>
      </c>
      <c r="D2" s="22" t="str">
        <f>Head1</f>
        <v>2017/18</v>
      </c>
      <c r="E2" s="1907" t="str">
        <f>Head2</f>
        <v>Current Year 2018/19</v>
      </c>
      <c r="F2" s="1908"/>
      <c r="G2" s="1908"/>
      <c r="H2" s="1908"/>
      <c r="I2" s="1904" t="str">
        <f>Head3</f>
        <v>2019/20 Medium Term Revenue &amp; Expenditure Framework</v>
      </c>
      <c r="J2" s="1905"/>
      <c r="K2" s="1906"/>
    </row>
    <row r="3" spans="1:11" ht="25.5" x14ac:dyDescent="0.25">
      <c r="A3" s="700" t="s">
        <v>28</v>
      </c>
      <c r="B3" s="141" t="str">
        <f>Head5</f>
        <v>Audited Outcome</v>
      </c>
      <c r="C3" s="203" t="str">
        <f>Head5</f>
        <v>Audited Outcome</v>
      </c>
      <c r="D3" s="204" t="str">
        <f>Head5</f>
        <v>Audited Outcome</v>
      </c>
      <c r="E3" s="141" t="str">
        <f>Head6</f>
        <v>Original Budget</v>
      </c>
      <c r="F3" s="203" t="str">
        <f>Head7</f>
        <v>Adjusted Budget</v>
      </c>
      <c r="G3" s="204" t="str">
        <f>Head8</f>
        <v>Full Year Forecast</v>
      </c>
      <c r="H3" s="202" t="str">
        <f>Head5b</f>
        <v>Pre-audit outcome</v>
      </c>
      <c r="I3" s="141" t="str">
        <f>Head9</f>
        <v>Budget Year 2019/20</v>
      </c>
      <c r="J3" s="203" t="str">
        <f>Head10</f>
        <v>Budget Year +1 2020/21</v>
      </c>
      <c r="K3" s="204" t="str">
        <f>Head11</f>
        <v>Budget Year +2 2021/22</v>
      </c>
    </row>
    <row r="4" spans="1:11" ht="11.25" customHeight="1" x14ac:dyDescent="0.25">
      <c r="A4" s="581" t="s">
        <v>1209</v>
      </c>
      <c r="B4" s="34"/>
      <c r="C4" s="35"/>
      <c r="D4" s="36"/>
      <c r="E4" s="34"/>
      <c r="F4" s="35"/>
      <c r="G4" s="36"/>
      <c r="H4" s="37"/>
      <c r="I4" s="34"/>
      <c r="J4" s="35"/>
      <c r="K4" s="36"/>
    </row>
    <row r="5" spans="1:11" ht="11.25" customHeight="1" x14ac:dyDescent="0.25">
      <c r="A5" s="569" t="s">
        <v>470</v>
      </c>
      <c r="B5" s="86">
        <f>'A4-FinPerf RE'!C5</f>
        <v>0</v>
      </c>
      <c r="C5" s="76">
        <f>'A4-FinPerf RE'!D5</f>
        <v>21625697</v>
      </c>
      <c r="D5" s="332">
        <f>'A4-FinPerf RE'!E5</f>
        <v>31809377</v>
      </c>
      <c r="E5" s="79">
        <f>'A4-FinPerf RE'!F5</f>
        <v>29579265</v>
      </c>
      <c r="F5" s="76">
        <f>'A4-FinPerf RE'!G5</f>
        <v>25976004.670000002</v>
      </c>
      <c r="G5" s="333">
        <f>'A4-FinPerf RE'!H5</f>
        <v>25976004.670000002</v>
      </c>
      <c r="H5" s="75">
        <f>'A4-FinPerf RE'!I5</f>
        <v>25976004.670000002</v>
      </c>
      <c r="I5" s="79">
        <f>'A4-FinPerf RE'!J5</f>
        <v>40992662.229999997</v>
      </c>
      <c r="J5" s="76">
        <f>'A4-FinPerf RE'!K5</f>
        <v>43452221.963799998</v>
      </c>
      <c r="K5" s="333">
        <f>'A4-FinPerf RE'!L5</f>
        <v>46059355.281628005</v>
      </c>
    </row>
    <row r="6" spans="1:11" ht="11.25" customHeight="1" x14ac:dyDescent="0.25">
      <c r="A6" s="569" t="s">
        <v>1428</v>
      </c>
      <c r="B6" s="76">
        <f>SUM('A4-FinPerf RE'!C6:C9)</f>
        <v>0</v>
      </c>
      <c r="C6" s="76">
        <f>SUM('A4-FinPerf RE'!D6:D9)</f>
        <v>116262782</v>
      </c>
      <c r="D6" s="332">
        <f>SUM('A4-FinPerf RE'!E6:E9)</f>
        <v>153904529</v>
      </c>
      <c r="E6" s="79">
        <f>SUM('A4-FinPerf RE'!F6:F9)</f>
        <v>148783408</v>
      </c>
      <c r="F6" s="76">
        <f>SUM('A4-FinPerf RE'!G6:G9)</f>
        <v>165875362</v>
      </c>
      <c r="G6" s="333">
        <f>SUM('A4-FinPerf RE'!H6:H9)</f>
        <v>165875362</v>
      </c>
      <c r="H6" s="75">
        <f>SUM('A4-FinPerf RE'!I6:I9)</f>
        <v>165875362</v>
      </c>
      <c r="I6" s="79">
        <f>SUM('A4-FinPerf RE'!J6:J9)</f>
        <v>196871180</v>
      </c>
      <c r="J6" s="76">
        <f>SUM('A4-FinPerf RE'!K6:K9)</f>
        <v>208683450.80000004</v>
      </c>
      <c r="K6" s="333">
        <f>SUM('A4-FinPerf RE'!L6:L9)</f>
        <v>221204457.84800002</v>
      </c>
    </row>
    <row r="7" spans="1:11" ht="11.25" customHeight="1" x14ac:dyDescent="0.25">
      <c r="A7" s="569" t="s">
        <v>433</v>
      </c>
      <c r="B7" s="76">
        <f>'A4-FinPerf RE'!C12</f>
        <v>0</v>
      </c>
      <c r="C7" s="76">
        <f>'A4-FinPerf RE'!D12</f>
        <v>1726590</v>
      </c>
      <c r="D7" s="332">
        <f>'A4-FinPerf RE'!E12</f>
        <v>1919091</v>
      </c>
      <c r="E7" s="79">
        <f>'A4-FinPerf RE'!F12</f>
        <v>2015398</v>
      </c>
      <c r="F7" s="76">
        <f>'A4-FinPerf RE'!G12</f>
        <v>626234</v>
      </c>
      <c r="G7" s="333">
        <f>'A4-FinPerf RE'!H12</f>
        <v>626234</v>
      </c>
      <c r="H7" s="75">
        <f>'A4-FinPerf RE'!I12</f>
        <v>626234</v>
      </c>
      <c r="I7" s="79">
        <f>'A4-FinPerf RE'!J12</f>
        <v>3268158</v>
      </c>
      <c r="J7" s="76">
        <f>'A4-FinPerf RE'!K12</f>
        <v>3464247.48</v>
      </c>
      <c r="K7" s="333">
        <f>'A4-FinPerf RE'!L12</f>
        <v>3672102.3288000003</v>
      </c>
    </row>
    <row r="8" spans="1:11" ht="11.25" customHeight="1" x14ac:dyDescent="0.25">
      <c r="A8" s="569" t="s">
        <v>29</v>
      </c>
      <c r="B8" s="76">
        <f>'A4-FinPerf RE'!C18</f>
        <v>0</v>
      </c>
      <c r="C8" s="76">
        <f>'A4-FinPerf RE'!D18</f>
        <v>109040331</v>
      </c>
      <c r="D8" s="332">
        <f>'A4-FinPerf RE'!E18</f>
        <v>115191194</v>
      </c>
      <c r="E8" s="79">
        <f>'A4-FinPerf RE'!F18</f>
        <v>97441111</v>
      </c>
      <c r="F8" s="76">
        <f>'A4-FinPerf RE'!G18</f>
        <v>101162356</v>
      </c>
      <c r="G8" s="333">
        <f>'A4-FinPerf RE'!H18</f>
        <v>101162356</v>
      </c>
      <c r="H8" s="75">
        <f>'A4-FinPerf RE'!I18</f>
        <v>101162356</v>
      </c>
      <c r="I8" s="79">
        <f>'A4-FinPerf RE'!J18</f>
        <v>102332054.5</v>
      </c>
      <c r="J8" s="76">
        <f>'A4-FinPerf RE'!K18</f>
        <v>108471977.77000001</v>
      </c>
      <c r="K8" s="333">
        <f>'A4-FinPerf RE'!L18</f>
        <v>114980296.43620002</v>
      </c>
    </row>
    <row r="9" spans="1:11" ht="11.25" customHeight="1" x14ac:dyDescent="0.25">
      <c r="A9" s="569" t="s">
        <v>177</v>
      </c>
      <c r="B9" s="76">
        <f>'A4-FinPerf RE'!C11+'A4-FinPerf RE'!C13+'A4-FinPerf RE'!C14+'A4-FinPerf RE'!C15+'A4-FinPerf RE'!C16+'A4-FinPerf RE'!C17+'A4-FinPerf RE'!C19+'A4-FinPerf RE'!C20</f>
        <v>0</v>
      </c>
      <c r="C9" s="76">
        <f>'A4-FinPerf RE'!D11+'A4-FinPerf RE'!D13+'A4-FinPerf RE'!D14+'A4-FinPerf RE'!D15+'A4-FinPerf RE'!D16+'A4-FinPerf RE'!D17+'A4-FinPerf RE'!D19+'A4-FinPerf RE'!D20</f>
        <v>15149923</v>
      </c>
      <c r="D9" s="332">
        <f>'A4-FinPerf RE'!E11+'A4-FinPerf RE'!E13+'A4-FinPerf RE'!E14+'A4-FinPerf RE'!E15+'A4-FinPerf RE'!E16+'A4-FinPerf RE'!E17+'A4-FinPerf RE'!E19+'A4-FinPerf RE'!E20</f>
        <v>18443285</v>
      </c>
      <c r="E9" s="79">
        <f>'A4-FinPerf RE'!F11+'A4-FinPerf RE'!F13+'A4-FinPerf RE'!F14+'A4-FinPerf RE'!F15+'A4-FinPerf RE'!F16+'A4-FinPerf RE'!F17+'A4-FinPerf RE'!F19+'A4-FinPerf RE'!F20</f>
        <v>19982723.34</v>
      </c>
      <c r="F9" s="76">
        <f>'A4-FinPerf RE'!G11+'A4-FinPerf RE'!G13+'A4-FinPerf RE'!G14+'A4-FinPerf RE'!G15+'A4-FinPerf RE'!G16+'A4-FinPerf RE'!G17+'A4-FinPerf RE'!G19+'A4-FinPerf RE'!G20</f>
        <v>15779828.84</v>
      </c>
      <c r="G9" s="333">
        <f>'A4-FinPerf RE'!H11+'A4-FinPerf RE'!H13+'A4-FinPerf RE'!H14+'A4-FinPerf RE'!H15+'A4-FinPerf RE'!H16+'A4-FinPerf RE'!H17+'A4-FinPerf RE'!H19+'A4-FinPerf RE'!H20</f>
        <v>15779828.84</v>
      </c>
      <c r="H9" s="75">
        <f>'A4-FinPerf RE'!I11+'A4-FinPerf RE'!I13+'A4-FinPerf RE'!I14+'A4-FinPerf RE'!I15+'A4-FinPerf RE'!I16+'A4-FinPerf RE'!I17+'A4-FinPerf RE'!I19+'A4-FinPerf RE'!I20</f>
        <v>15779828.84</v>
      </c>
      <c r="I9" s="79">
        <f>'A4-FinPerf RE'!J11+'A4-FinPerf RE'!J13+'A4-FinPerf RE'!J14+'A4-FinPerf RE'!J15+'A4-FinPerf RE'!J16+'A4-FinPerf RE'!J17+'A4-FinPerf RE'!J19+'A4-FinPerf RE'!J20</f>
        <v>15930273.304</v>
      </c>
      <c r="J9" s="76">
        <f>'A4-FinPerf RE'!K11+'A4-FinPerf RE'!K13+'A4-FinPerf RE'!K14+'A4-FinPerf RE'!K15+'A4-FinPerf RE'!K16+'A4-FinPerf RE'!K17+'A4-FinPerf RE'!K19+'A4-FinPerf RE'!K20</f>
        <v>16886089.702240001</v>
      </c>
      <c r="K9" s="333">
        <f>'A4-FinPerf RE'!L11+'A4-FinPerf RE'!L13+'A4-FinPerf RE'!L14+'A4-FinPerf RE'!L15+'A4-FinPerf RE'!L16+'A4-FinPerf RE'!L17+'A4-FinPerf RE'!L19+'A4-FinPerf RE'!L20</f>
        <v>17899255.084374402</v>
      </c>
    </row>
    <row r="10" spans="1:11" ht="25.5" customHeight="1" x14ac:dyDescent="0.25">
      <c r="A10" s="139" t="str">
        <f>'A4-FinPerf RE'!A21</f>
        <v>Total Revenue (excluding capital transfers and contributions)</v>
      </c>
      <c r="B10" s="772">
        <f t="shared" ref="B10:K10" si="0">SUM(B5:B9)</f>
        <v>0</v>
      </c>
      <c r="C10" s="772">
        <f t="shared" si="0"/>
        <v>263805323</v>
      </c>
      <c r="D10" s="773">
        <f t="shared" si="0"/>
        <v>321267476</v>
      </c>
      <c r="E10" s="771">
        <f t="shared" si="0"/>
        <v>297801905.33999997</v>
      </c>
      <c r="F10" s="772">
        <f t="shared" si="0"/>
        <v>309419785.50999999</v>
      </c>
      <c r="G10" s="774">
        <f t="shared" si="0"/>
        <v>309419785.50999999</v>
      </c>
      <c r="H10" s="775">
        <f t="shared" si="0"/>
        <v>309419785.50999999</v>
      </c>
      <c r="I10" s="771">
        <f t="shared" si="0"/>
        <v>359394328.03400004</v>
      </c>
      <c r="J10" s="772">
        <f t="shared" si="0"/>
        <v>380957987.71604002</v>
      </c>
      <c r="K10" s="774">
        <f t="shared" si="0"/>
        <v>403815466.97900248</v>
      </c>
    </row>
    <row r="11" spans="1:11" ht="11.25" customHeight="1" x14ac:dyDescent="0.25">
      <c r="A11" s="569" t="s">
        <v>426</v>
      </c>
      <c r="B11" s="76">
        <f>'A4-FinPerf RE'!C24</f>
        <v>0</v>
      </c>
      <c r="C11" s="76">
        <f>'A4-FinPerf RE'!D24</f>
        <v>108123103</v>
      </c>
      <c r="D11" s="332">
        <f>'A4-FinPerf RE'!E24</f>
        <v>138171291</v>
      </c>
      <c r="E11" s="79">
        <f>'A4-FinPerf RE'!F24</f>
        <v>136617502</v>
      </c>
      <c r="F11" s="76">
        <f>'A4-FinPerf RE'!G24</f>
        <v>153963869</v>
      </c>
      <c r="G11" s="333">
        <f>'A4-FinPerf RE'!H24</f>
        <v>153963869</v>
      </c>
      <c r="H11" s="75">
        <f>'A4-FinPerf RE'!I24</f>
        <v>153963869</v>
      </c>
      <c r="I11" s="79">
        <f>'A4-FinPerf RE'!J24</f>
        <v>156731824.61079994</v>
      </c>
      <c r="J11" s="76">
        <f>'A4-FinPerf RE'!K24</f>
        <v>166135734.08744794</v>
      </c>
      <c r="K11" s="333">
        <f>'A4-FinPerf RE'!L24</f>
        <v>176103878.13269484</v>
      </c>
    </row>
    <row r="12" spans="1:11" ht="11.25" customHeight="1" x14ac:dyDescent="0.25">
      <c r="A12" s="569" t="s">
        <v>461</v>
      </c>
      <c r="B12" s="76">
        <f>'A4-FinPerf RE'!C25</f>
        <v>0</v>
      </c>
      <c r="C12" s="76">
        <f>'A4-FinPerf RE'!D25</f>
        <v>7367925</v>
      </c>
      <c r="D12" s="332">
        <f>'A4-FinPerf RE'!E25</f>
        <v>9324299</v>
      </c>
      <c r="E12" s="79">
        <f>'A4-FinPerf RE'!F25</f>
        <v>9883760</v>
      </c>
      <c r="F12" s="76">
        <f>'A4-FinPerf RE'!G25</f>
        <v>9212497</v>
      </c>
      <c r="G12" s="333">
        <f>'A4-FinPerf RE'!H25</f>
        <v>9212497</v>
      </c>
      <c r="H12" s="75">
        <f>'A4-FinPerf RE'!I25</f>
        <v>9212497</v>
      </c>
      <c r="I12" s="79">
        <f>'A4-FinPerf RE'!J25</f>
        <v>9914897.4839999992</v>
      </c>
      <c r="J12" s="76">
        <f>'A4-FinPerf RE'!K25</f>
        <v>10509791.333039999</v>
      </c>
      <c r="K12" s="333">
        <f>'A4-FinPerf RE'!L25</f>
        <v>11140378.813022399</v>
      </c>
    </row>
    <row r="13" spans="1:11" ht="11.25" customHeight="1" x14ac:dyDescent="0.25">
      <c r="A13" s="569" t="s">
        <v>1329</v>
      </c>
      <c r="B13" s="76">
        <f>'A4-FinPerf RE'!C27</f>
        <v>0</v>
      </c>
      <c r="C13" s="76">
        <f>'A4-FinPerf RE'!D27</f>
        <v>65115683</v>
      </c>
      <c r="D13" s="332">
        <f>'A4-FinPerf RE'!E27</f>
        <v>62710848</v>
      </c>
      <c r="E13" s="79">
        <f>'A4-FinPerf RE'!F27</f>
        <v>35452742.372000001</v>
      </c>
      <c r="F13" s="76">
        <f>'A4-FinPerf RE'!G27</f>
        <v>65848563</v>
      </c>
      <c r="G13" s="333">
        <f>'A4-FinPerf RE'!H27</f>
        <v>65848563</v>
      </c>
      <c r="H13" s="75">
        <f>'A4-FinPerf RE'!I27</f>
        <v>65848563</v>
      </c>
      <c r="I13" s="79">
        <f>'A4-FinPerf RE'!J27</f>
        <v>65848563.600000001</v>
      </c>
      <c r="J13" s="76">
        <f>'A4-FinPerf RE'!K27</f>
        <v>69799477.416000009</v>
      </c>
      <c r="K13" s="333">
        <f>'A4-FinPerf RE'!L27</f>
        <v>73987446.06096001</v>
      </c>
    </row>
    <row r="14" spans="1:11" ht="11.25" customHeight="1" x14ac:dyDescent="0.25">
      <c r="A14" s="569" t="s">
        <v>1383</v>
      </c>
      <c r="B14" s="76">
        <f>'A4-FinPerf RE'!C28</f>
        <v>0</v>
      </c>
      <c r="C14" s="76">
        <f>'A4-FinPerf RE'!D28</f>
        <v>6160131</v>
      </c>
      <c r="D14" s="332">
        <f>'A4-FinPerf RE'!E28</f>
        <v>7228759</v>
      </c>
      <c r="E14" s="79">
        <f>'A4-FinPerf RE'!F28</f>
        <v>5575600</v>
      </c>
      <c r="F14" s="76">
        <f>'A4-FinPerf RE'!G28</f>
        <v>2787800</v>
      </c>
      <c r="G14" s="333">
        <f>'A4-FinPerf RE'!H28</f>
        <v>2787800</v>
      </c>
      <c r="H14" s="75">
        <f>'A4-FinPerf RE'!I28</f>
        <v>2787800</v>
      </c>
      <c r="I14" s="79">
        <f>'A4-FinPerf RE'!J28</f>
        <v>3787800</v>
      </c>
      <c r="J14" s="76">
        <f>'A4-FinPerf RE'!K28</f>
        <v>4015068</v>
      </c>
      <c r="K14" s="333">
        <f>'A4-FinPerf RE'!L28</f>
        <v>4255972.08</v>
      </c>
    </row>
    <row r="15" spans="1:11" ht="11.25" customHeight="1" x14ac:dyDescent="0.25">
      <c r="A15" s="569" t="s">
        <v>432</v>
      </c>
      <c r="B15" s="76">
        <f>'A4-FinPerf RE'!C29+'A4-FinPerf RE'!C30</f>
        <v>0</v>
      </c>
      <c r="C15" s="76">
        <f>'A4-FinPerf RE'!D29+'A4-FinPerf RE'!D30</f>
        <v>69092068</v>
      </c>
      <c r="D15" s="332">
        <f>'A4-FinPerf RE'!E29+'A4-FinPerf RE'!E30</f>
        <v>81207643</v>
      </c>
      <c r="E15" s="79">
        <f>'A4-FinPerf RE'!F29+'A4-FinPerf RE'!F30</f>
        <v>82368100</v>
      </c>
      <c r="F15" s="76">
        <f>'A4-FinPerf RE'!G29+'A4-FinPerf RE'!G30</f>
        <v>82368100</v>
      </c>
      <c r="G15" s="333">
        <f>'A4-FinPerf RE'!H29+'A4-FinPerf RE'!H30</f>
        <v>82368100</v>
      </c>
      <c r="H15" s="75">
        <f>'A4-FinPerf RE'!I29+'A4-FinPerf RE'!I30</f>
        <v>82368100</v>
      </c>
      <c r="I15" s="79">
        <f>'A4-FinPerf RE'!J29+'A4-FinPerf RE'!J30</f>
        <v>90604910</v>
      </c>
      <c r="J15" s="76">
        <f>'A4-FinPerf RE'!K29+'A4-FinPerf RE'!K30</f>
        <v>96041204.600000009</v>
      </c>
      <c r="K15" s="333">
        <f>'A4-FinPerf RE'!L29+'A4-FinPerf RE'!L30</f>
        <v>101803676.87600002</v>
      </c>
    </row>
    <row r="16" spans="1:11" ht="11.25" customHeight="1" x14ac:dyDescent="0.25">
      <c r="A16" s="569" t="s">
        <v>683</v>
      </c>
      <c r="B16" s="76">
        <f>'A4-FinPerf RE'!C32</f>
        <v>0</v>
      </c>
      <c r="C16" s="76">
        <f>'A4-FinPerf RE'!D32</f>
        <v>0</v>
      </c>
      <c r="D16" s="332">
        <f>'A4-FinPerf RE'!E32</f>
        <v>0</v>
      </c>
      <c r="E16" s="79">
        <f>'A4-FinPerf RE'!F32</f>
        <v>239188.76</v>
      </c>
      <c r="F16" s="76">
        <f>'A4-FinPerf RE'!G32</f>
        <v>202593.76</v>
      </c>
      <c r="G16" s="333">
        <f>'A4-FinPerf RE'!H32</f>
        <v>202593.76</v>
      </c>
      <c r="H16" s="75">
        <f>'A4-FinPerf RE'!I32</f>
        <v>202593.76</v>
      </c>
      <c r="I16" s="79">
        <f>'A4-FinPerf RE'!J32</f>
        <v>35394</v>
      </c>
      <c r="J16" s="76">
        <f>'A4-FinPerf RE'!K32</f>
        <v>37517.64</v>
      </c>
      <c r="K16" s="333">
        <f>'A4-FinPerf RE'!L32</f>
        <v>39768.698400000001</v>
      </c>
    </row>
    <row r="17" spans="1:11" ht="11.25" customHeight="1" x14ac:dyDescent="0.25">
      <c r="A17" s="569" t="s">
        <v>837</v>
      </c>
      <c r="B17" s="76">
        <f>'A4-FinPerf RE'!C26+'A4-FinPerf RE'!C31+'A4-FinPerf RE'!C33+'A4-FinPerf RE'!C34</f>
        <v>0</v>
      </c>
      <c r="C17" s="76">
        <f>'A4-FinPerf RE'!D26+'A4-FinPerf RE'!D31+'A4-FinPerf RE'!D33+'A4-FinPerf RE'!D34</f>
        <v>118308676</v>
      </c>
      <c r="D17" s="332">
        <f>'A4-FinPerf RE'!E26+'A4-FinPerf RE'!E31+'A4-FinPerf RE'!E33+'A4-FinPerf RE'!E34</f>
        <v>120874449</v>
      </c>
      <c r="E17" s="79">
        <f>'A4-FinPerf RE'!F26+'A4-FinPerf RE'!F31+'A4-FinPerf RE'!F33+'A4-FinPerf RE'!F34</f>
        <v>95914205.531091601</v>
      </c>
      <c r="F17" s="76">
        <f>'A4-FinPerf RE'!G26+'A4-FinPerf RE'!G31+'A4-FinPerf RE'!G33+'A4-FinPerf RE'!G34</f>
        <v>66928554.845091619</v>
      </c>
      <c r="G17" s="333">
        <f>'A4-FinPerf RE'!H26+'A4-FinPerf RE'!H31+'A4-FinPerf RE'!H33+'A4-FinPerf RE'!H34</f>
        <v>66928554.845091619</v>
      </c>
      <c r="H17" s="75">
        <f>'A4-FinPerf RE'!I26+'A4-FinPerf RE'!I31+'A4-FinPerf RE'!I33+'A4-FinPerf RE'!I34</f>
        <v>66928554.845091619</v>
      </c>
      <c r="I17" s="79">
        <f>'A4-FinPerf RE'!J26+'A4-FinPerf RE'!J31+'A4-FinPerf RE'!J33+'A4-FinPerf RE'!J34</f>
        <v>65736465.935000017</v>
      </c>
      <c r="J17" s="76">
        <f>'A4-FinPerf RE'!K26+'A4-FinPerf RE'!K31+'A4-FinPerf RE'!K33+'A4-FinPerf RE'!K34</f>
        <v>69680653.891100019</v>
      </c>
      <c r="K17" s="333">
        <f>'A4-FinPerf RE'!L26+'A4-FinPerf RE'!L31+'A4-FinPerf RE'!L33+'A4-FinPerf RE'!L34</f>
        <v>73861493.124566019</v>
      </c>
    </row>
    <row r="18" spans="1:11" ht="11.25" customHeight="1" x14ac:dyDescent="0.25">
      <c r="A18" s="570" t="str">
        <f>'A4-FinPerf RE'!A35</f>
        <v>Total Expenditure</v>
      </c>
      <c r="B18" s="760">
        <f>SUM(B11:B17)</f>
        <v>0</v>
      </c>
      <c r="C18" s="761">
        <f t="shared" ref="C18:K18" si="1">SUM(C11:C17)</f>
        <v>374167586</v>
      </c>
      <c r="D18" s="762">
        <f t="shared" si="1"/>
        <v>419517289</v>
      </c>
      <c r="E18" s="760">
        <f t="shared" si="1"/>
        <v>366051098.66309154</v>
      </c>
      <c r="F18" s="761">
        <f t="shared" si="1"/>
        <v>381311977.60509163</v>
      </c>
      <c r="G18" s="763">
        <f t="shared" si="1"/>
        <v>381311977.60509163</v>
      </c>
      <c r="H18" s="764">
        <f t="shared" si="1"/>
        <v>381311977.60509163</v>
      </c>
      <c r="I18" s="760">
        <f t="shared" si="1"/>
        <v>392659855.6297999</v>
      </c>
      <c r="J18" s="761">
        <f t="shared" si="1"/>
        <v>416219446.96758795</v>
      </c>
      <c r="K18" s="763">
        <f t="shared" si="1"/>
        <v>441192613.78564334</v>
      </c>
    </row>
    <row r="19" spans="1:11" ht="11.25" customHeight="1" x14ac:dyDescent="0.25">
      <c r="A19" s="570" t="str">
        <f>'A4-FinPerf RE'!A37</f>
        <v>Surplus/(Deficit)</v>
      </c>
      <c r="B19" s="217">
        <f t="shared" ref="B19:K19" si="2">B10-B18</f>
        <v>0</v>
      </c>
      <c r="C19" s="185">
        <f t="shared" si="2"/>
        <v>-110362263</v>
      </c>
      <c r="D19" s="759">
        <f t="shared" si="2"/>
        <v>-98249813</v>
      </c>
      <c r="E19" s="217">
        <f t="shared" si="2"/>
        <v>-68249193.323091567</v>
      </c>
      <c r="F19" s="185">
        <f t="shared" si="2"/>
        <v>-71892192.095091641</v>
      </c>
      <c r="G19" s="699">
        <f t="shared" si="2"/>
        <v>-71892192.095091641</v>
      </c>
      <c r="H19" s="216">
        <f t="shared" si="2"/>
        <v>-71892192.095091641</v>
      </c>
      <c r="I19" s="217">
        <f t="shared" si="2"/>
        <v>-33265527.595799863</v>
      </c>
      <c r="J19" s="185">
        <f t="shared" si="2"/>
        <v>-35261459.251547933</v>
      </c>
      <c r="K19" s="699">
        <f t="shared" si="2"/>
        <v>-37377146.806640863</v>
      </c>
    </row>
    <row r="20" spans="1:11" ht="11.25" customHeight="1" x14ac:dyDescent="0.25">
      <c r="A20" s="569" t="str">
        <f>'A4-FinPerf RE'!A38</f>
        <v>Transfers and subsidies - capital (monetary allocations) (National / Provincial and District)</v>
      </c>
      <c r="B20" s="79">
        <f>'A4-FinPerf RE'!C38</f>
        <v>0</v>
      </c>
      <c r="C20" s="76">
        <f>'A4-FinPerf RE'!D38</f>
        <v>66635389</v>
      </c>
      <c r="D20" s="332">
        <f>'A4-FinPerf RE'!E38</f>
        <v>54995982</v>
      </c>
      <c r="E20" s="79">
        <f>'A4-FinPerf RE'!F38</f>
        <v>44517000</v>
      </c>
      <c r="F20" s="76">
        <f>'A4-FinPerf RE'!G38</f>
        <v>64336474</v>
      </c>
      <c r="G20" s="333">
        <f>'A4-FinPerf RE'!H38</f>
        <v>64336474</v>
      </c>
      <c r="H20" s="75">
        <f>'A4-FinPerf RE'!I38</f>
        <v>64336474</v>
      </c>
      <c r="I20" s="79">
        <f>'A4-FinPerf RE'!J38</f>
        <v>33818000</v>
      </c>
      <c r="J20" s="76">
        <f>'A4-FinPerf RE'!K38</f>
        <v>35847080</v>
      </c>
      <c r="K20" s="333">
        <f>'A4-FinPerf RE'!L38</f>
        <v>37997904.800000004</v>
      </c>
    </row>
    <row r="21" spans="1:11" ht="11.25" customHeight="1" x14ac:dyDescent="0.25">
      <c r="A21" s="569" t="s">
        <v>30</v>
      </c>
      <c r="B21" s="698">
        <f>'A4-FinPerf RE'!C39+'A4-FinPerf RE'!C40</f>
        <v>0</v>
      </c>
      <c r="C21" s="694">
        <f>'A4-FinPerf RE'!D39+'A4-FinPerf RE'!D40</f>
        <v>0</v>
      </c>
      <c r="D21" s="765">
        <f>'A4-FinPerf RE'!E39+'A4-FinPerf RE'!E40</f>
        <v>0</v>
      </c>
      <c r="E21" s="698">
        <f>'A4-FinPerf RE'!F39+'A4-FinPerf RE'!F40</f>
        <v>0</v>
      </c>
      <c r="F21" s="694">
        <f>'A4-FinPerf RE'!G39+'A4-FinPerf RE'!G40</f>
        <v>0</v>
      </c>
      <c r="G21" s="766">
        <f>'A4-FinPerf RE'!H39+'A4-FinPerf RE'!H40</f>
        <v>0</v>
      </c>
      <c r="H21" s="697">
        <f>'A4-FinPerf RE'!I39+'A4-FinPerf RE'!I40</f>
        <v>0</v>
      </c>
      <c r="I21" s="698">
        <f>'A4-FinPerf RE'!J39+'A4-FinPerf RE'!J40</f>
        <v>0</v>
      </c>
      <c r="J21" s="694">
        <f>'A4-FinPerf RE'!K39+'A4-FinPerf RE'!K40</f>
        <v>0</v>
      </c>
      <c r="K21" s="766">
        <f>'A4-FinPerf RE'!L39+'A4-FinPerf RE'!L40</f>
        <v>0</v>
      </c>
    </row>
    <row r="22" spans="1:11" ht="25.5" x14ac:dyDescent="0.25">
      <c r="A22" s="701" t="str">
        <f>'A4-FinPerf RE'!A41</f>
        <v>Surplus/(Deficit) after capital transfers &amp; contributions</v>
      </c>
      <c r="B22" s="783">
        <f>B19+SUM(B20:B21)</f>
        <v>0</v>
      </c>
      <c r="C22" s="784">
        <f t="shared" ref="C22:K22" si="3">C19+SUM(C20:C21)</f>
        <v>-43726874</v>
      </c>
      <c r="D22" s="785">
        <f t="shared" si="3"/>
        <v>-43253831</v>
      </c>
      <c r="E22" s="783">
        <f t="shared" si="3"/>
        <v>-23732193.323091567</v>
      </c>
      <c r="F22" s="784">
        <f t="shared" si="3"/>
        <v>-7555718.0950916409</v>
      </c>
      <c r="G22" s="786">
        <f t="shared" si="3"/>
        <v>-7555718.0950916409</v>
      </c>
      <c r="H22" s="787">
        <f t="shared" si="3"/>
        <v>-7555718.0950916409</v>
      </c>
      <c r="I22" s="783">
        <f t="shared" si="3"/>
        <v>552472.40420013666</v>
      </c>
      <c r="J22" s="784">
        <f t="shared" si="3"/>
        <v>585620.74845206738</v>
      </c>
      <c r="K22" s="786">
        <f t="shared" si="3"/>
        <v>620757.99335914105</v>
      </c>
    </row>
    <row r="23" spans="1:11" x14ac:dyDescent="0.25">
      <c r="A23" s="702" t="str">
        <f>'A4-FinPerf RE'!A46</f>
        <v>Share of surplus/ (deficit) of associate</v>
      </c>
      <c r="B23" s="76">
        <f>'A4-FinPerf RE'!C46</f>
        <v>0</v>
      </c>
      <c r="C23" s="76">
        <f>'A4-FinPerf RE'!D46</f>
        <v>0</v>
      </c>
      <c r="D23" s="332">
        <f>'A4-FinPerf RE'!E46</f>
        <v>0</v>
      </c>
      <c r="E23" s="79">
        <f>'A4-FinPerf RE'!F46</f>
        <v>0</v>
      </c>
      <c r="F23" s="76">
        <f>'A4-FinPerf RE'!G46</f>
        <v>0</v>
      </c>
      <c r="G23" s="333">
        <f>'A4-FinPerf RE'!H46</f>
        <v>0</v>
      </c>
      <c r="H23" s="75">
        <f>'A4-FinPerf RE'!I46</f>
        <v>0</v>
      </c>
      <c r="I23" s="79">
        <f>'A4-FinPerf RE'!J46</f>
        <v>0</v>
      </c>
      <c r="J23" s="76">
        <f>'A4-FinPerf RE'!K46</f>
        <v>0</v>
      </c>
      <c r="K23" s="333">
        <f>'A4-FinPerf RE'!L46</f>
        <v>0</v>
      </c>
    </row>
    <row r="24" spans="1:11" x14ac:dyDescent="0.25">
      <c r="A24" s="701" t="str">
        <f>'A4-FinPerf RE'!A47</f>
        <v>Surplus/(Deficit) for the year</v>
      </c>
      <c r="B24" s="217">
        <f>B22+B23</f>
        <v>0</v>
      </c>
      <c r="C24" s="185">
        <f t="shared" ref="C24:K24" si="4">C22+C23</f>
        <v>-43726874</v>
      </c>
      <c r="D24" s="759">
        <f t="shared" si="4"/>
        <v>-43253831</v>
      </c>
      <c r="E24" s="217">
        <f t="shared" si="4"/>
        <v>-23732193.323091567</v>
      </c>
      <c r="F24" s="185">
        <f t="shared" si="4"/>
        <v>-7555718.0950916409</v>
      </c>
      <c r="G24" s="699">
        <f t="shared" si="4"/>
        <v>-7555718.0950916409</v>
      </c>
      <c r="H24" s="216">
        <f t="shared" si="4"/>
        <v>-7555718.0950916409</v>
      </c>
      <c r="I24" s="217">
        <f t="shared" si="4"/>
        <v>552472.40420013666</v>
      </c>
      <c r="J24" s="185">
        <f t="shared" si="4"/>
        <v>585620.74845206738</v>
      </c>
      <c r="K24" s="699">
        <f t="shared" si="4"/>
        <v>620757.99335914105</v>
      </c>
    </row>
    <row r="25" spans="1:11" ht="10.5" customHeight="1" x14ac:dyDescent="0.25">
      <c r="A25" s="355"/>
      <c r="B25" s="34"/>
      <c r="C25" s="35"/>
      <c r="D25" s="36"/>
      <c r="E25" s="34"/>
      <c r="F25" s="35"/>
      <c r="G25" s="36"/>
      <c r="H25" s="37"/>
      <c r="I25" s="34"/>
      <c r="J25" s="35"/>
      <c r="K25" s="36"/>
    </row>
    <row r="26" spans="1:11" ht="11.25" customHeight="1" x14ac:dyDescent="0.25">
      <c r="A26" s="566" t="s">
        <v>938</v>
      </c>
      <c r="B26" s="38"/>
      <c r="C26" s="39"/>
      <c r="D26" s="40"/>
      <c r="E26" s="38"/>
      <c r="F26" s="39"/>
      <c r="G26" s="40"/>
      <c r="H26" s="41"/>
      <c r="I26" s="38"/>
      <c r="J26" s="39"/>
      <c r="K26" s="40"/>
    </row>
    <row r="27" spans="1:11" ht="11.25" customHeight="1" x14ac:dyDescent="0.25">
      <c r="A27" s="570" t="s">
        <v>1342</v>
      </c>
      <c r="B27" s="86">
        <f>'A5-Capex'!C63</f>
        <v>0</v>
      </c>
      <c r="C27" s="76">
        <f>'A5-Capex'!D63</f>
        <v>62449782.710000001</v>
      </c>
      <c r="D27" s="332">
        <f>'A5-Capex'!E63</f>
        <v>53459027</v>
      </c>
      <c r="E27" s="79">
        <f>'A5-Capex'!F63</f>
        <v>44883600</v>
      </c>
      <c r="F27" s="76">
        <f>'A5-Capex'!G63</f>
        <v>60681889</v>
      </c>
      <c r="G27" s="333">
        <f>'A5-Capex'!H63</f>
        <v>60681889</v>
      </c>
      <c r="H27" s="75">
        <f>'A5-Capex'!I63</f>
        <v>60681889</v>
      </c>
      <c r="I27" s="79">
        <f>'A5-Capex'!J63</f>
        <v>32447438.100000001</v>
      </c>
      <c r="J27" s="76">
        <f>'A5-Capex'!K63</f>
        <v>49972500</v>
      </c>
      <c r="K27" s="333">
        <f>'A5-Capex'!L63</f>
        <v>0</v>
      </c>
    </row>
    <row r="28" spans="1:11" ht="11.25" customHeight="1" x14ac:dyDescent="0.25">
      <c r="A28" s="875" t="s">
        <v>1190</v>
      </c>
      <c r="B28" s="86">
        <f>'A5-Capex'!C70</f>
        <v>0</v>
      </c>
      <c r="C28" s="76">
        <f>'A5-Capex'!D70</f>
        <v>62449782.710000001</v>
      </c>
      <c r="D28" s="332">
        <f>'A5-Capex'!E70</f>
        <v>53459027</v>
      </c>
      <c r="E28" s="79">
        <f>'A5-Capex'!F70</f>
        <v>43562250</v>
      </c>
      <c r="F28" s="76">
        <f>'A5-Capex'!G70</f>
        <v>60020139</v>
      </c>
      <c r="G28" s="333">
        <f>'A5-Capex'!H70</f>
        <v>60020139</v>
      </c>
      <c r="H28" s="75">
        <f>'A5-Capex'!I70</f>
        <v>60020139</v>
      </c>
      <c r="I28" s="79">
        <f>'A5-Capex'!J70</f>
        <v>32447438.100000001</v>
      </c>
      <c r="J28" s="76">
        <f>'A5-Capex'!K70</f>
        <v>49972500</v>
      </c>
      <c r="K28" s="333">
        <f>'A5-Capex'!L70</f>
        <v>0</v>
      </c>
    </row>
    <row r="29" spans="1:11" ht="1.9" customHeight="1" x14ac:dyDescent="0.25">
      <c r="A29" s="569"/>
      <c r="B29" s="86"/>
      <c r="C29" s="76"/>
      <c r="D29" s="332"/>
      <c r="E29" s="79"/>
      <c r="F29" s="76"/>
      <c r="G29" s="333"/>
      <c r="H29" s="75"/>
      <c r="I29" s="79"/>
      <c r="J29" s="76"/>
      <c r="K29" s="333"/>
    </row>
    <row r="30" spans="1:11" ht="11.25" customHeight="1" x14ac:dyDescent="0.25">
      <c r="A30" s="569" t="str">
        <f>'A5-Capex'!A72</f>
        <v>Borrowing</v>
      </c>
      <c r="B30" s="86">
        <f>'A5-Capex'!C72</f>
        <v>0</v>
      </c>
      <c r="C30" s="76">
        <f>'A5-Capex'!D72</f>
        <v>0</v>
      </c>
      <c r="D30" s="332">
        <f>'A5-Capex'!E72</f>
        <v>0</v>
      </c>
      <c r="E30" s="79">
        <f>'A5-Capex'!F72</f>
        <v>0</v>
      </c>
      <c r="F30" s="76">
        <f>'A5-Capex'!G72</f>
        <v>0</v>
      </c>
      <c r="G30" s="333">
        <f>'A5-Capex'!H72</f>
        <v>0</v>
      </c>
      <c r="H30" s="75">
        <f>'A5-Capex'!I72</f>
        <v>0</v>
      </c>
      <c r="I30" s="79">
        <f>'A5-Capex'!J72</f>
        <v>0</v>
      </c>
      <c r="J30" s="76">
        <f>'A5-Capex'!K72</f>
        <v>0</v>
      </c>
      <c r="K30" s="333">
        <f>'A5-Capex'!L72</f>
        <v>0</v>
      </c>
    </row>
    <row r="31" spans="1:11" ht="11.25" customHeight="1" x14ac:dyDescent="0.25">
      <c r="A31" s="569" t="str">
        <f>'A5-Capex'!A73</f>
        <v>Internally generated funds</v>
      </c>
      <c r="B31" s="86">
        <f>'A5-Capex'!C73</f>
        <v>0</v>
      </c>
      <c r="C31" s="76">
        <f>'A5-Capex'!D73</f>
        <v>0</v>
      </c>
      <c r="D31" s="332">
        <f>'A5-Capex'!E73</f>
        <v>0</v>
      </c>
      <c r="E31" s="79">
        <f>'A5-Capex'!F73</f>
        <v>1321350</v>
      </c>
      <c r="F31" s="76">
        <f>'A5-Capex'!G73</f>
        <v>661750</v>
      </c>
      <c r="G31" s="333">
        <f>'A5-Capex'!H73</f>
        <v>661750</v>
      </c>
      <c r="H31" s="75">
        <f>'A5-Capex'!I73</f>
        <v>661750</v>
      </c>
      <c r="I31" s="79">
        <f>'A5-Capex'!J73</f>
        <v>0</v>
      </c>
      <c r="J31" s="76">
        <f>'A5-Capex'!K73</f>
        <v>0</v>
      </c>
      <c r="K31" s="333">
        <f>'A5-Capex'!L73</f>
        <v>0</v>
      </c>
    </row>
    <row r="32" spans="1:11" ht="11.25" customHeight="1" x14ac:dyDescent="0.25">
      <c r="A32" s="570" t="s">
        <v>334</v>
      </c>
      <c r="B32" s="86">
        <f>+B28+B30+B31</f>
        <v>0</v>
      </c>
      <c r="C32" s="76">
        <f t="shared" ref="C32:K32" si="5">+C28+C30+C31</f>
        <v>62449782.710000001</v>
      </c>
      <c r="D32" s="332">
        <f t="shared" si="5"/>
        <v>53459027</v>
      </c>
      <c r="E32" s="79">
        <f t="shared" si="5"/>
        <v>44883600</v>
      </c>
      <c r="F32" s="76">
        <f t="shared" si="5"/>
        <v>60681889</v>
      </c>
      <c r="G32" s="333">
        <f t="shared" si="5"/>
        <v>60681889</v>
      </c>
      <c r="H32" s="75">
        <f t="shared" si="5"/>
        <v>60681889</v>
      </c>
      <c r="I32" s="79">
        <f t="shared" si="5"/>
        <v>32447438.100000001</v>
      </c>
      <c r="J32" s="76">
        <f t="shared" si="5"/>
        <v>49972500</v>
      </c>
      <c r="K32" s="333">
        <f t="shared" si="5"/>
        <v>0</v>
      </c>
    </row>
    <row r="33" spans="1:11" ht="4.9000000000000004" customHeight="1" x14ac:dyDescent="0.25">
      <c r="A33" s="570"/>
      <c r="B33" s="42"/>
      <c r="C33" s="43"/>
      <c r="D33" s="44"/>
      <c r="E33" s="42"/>
      <c r="F33" s="43"/>
      <c r="G33" s="44"/>
      <c r="H33" s="45"/>
      <c r="I33" s="42"/>
      <c r="J33" s="43"/>
      <c r="K33" s="44"/>
    </row>
    <row r="34" spans="1:11" ht="11.25" customHeight="1" x14ac:dyDescent="0.25">
      <c r="A34" s="566" t="s">
        <v>175</v>
      </c>
      <c r="B34" s="38"/>
      <c r="C34" s="39"/>
      <c r="D34" s="40"/>
      <c r="E34" s="38"/>
      <c r="F34" s="39"/>
      <c r="G34" s="40"/>
      <c r="H34" s="41"/>
      <c r="I34" s="38"/>
      <c r="J34" s="39"/>
      <c r="K34" s="40"/>
    </row>
    <row r="35" spans="1:11" ht="11.25" customHeight="1" x14ac:dyDescent="0.25">
      <c r="A35" s="569" t="str">
        <f>'A6-FinPos'!A12</f>
        <v>Total current assets</v>
      </c>
      <c r="B35" s="86">
        <f>'A6-FinPos'!C12</f>
        <v>0</v>
      </c>
      <c r="C35" s="76">
        <f>'A6-FinPos'!D12</f>
        <v>52958520</v>
      </c>
      <c r="D35" s="332">
        <f>'A6-FinPos'!E12</f>
        <v>49025145</v>
      </c>
      <c r="E35" s="79">
        <f>'A6-FinPos'!F12</f>
        <v>62027171.140208423</v>
      </c>
      <c r="F35" s="76">
        <f>'A6-FinPos'!G12</f>
        <v>83463976.140208423</v>
      </c>
      <c r="G35" s="333">
        <f>'A6-FinPos'!H12</f>
        <v>83463976.140208423</v>
      </c>
      <c r="H35" s="75">
        <f>'A6-FinPos'!I12</f>
        <v>83463976.140208423</v>
      </c>
      <c r="I35" s="79">
        <f>'A6-FinPos'!J12</f>
        <v>114452941.95330003</v>
      </c>
      <c r="J35" s="76">
        <f>'A6-FinPos'!K12</f>
        <v>113865540.1089981</v>
      </c>
      <c r="K35" s="333">
        <f>'A6-FinPos'!L12</f>
        <v>177219329.59759808</v>
      </c>
    </row>
    <row r="36" spans="1:11" ht="11.25" customHeight="1" x14ac:dyDescent="0.25">
      <c r="A36" s="569" t="str">
        <f>'A6-FinPos'!A24</f>
        <v>Total non current assets</v>
      </c>
      <c r="B36" s="86">
        <f>'A6-FinPos'!C24</f>
        <v>0</v>
      </c>
      <c r="C36" s="76">
        <f>'A6-FinPos'!D24</f>
        <v>1190916735</v>
      </c>
      <c r="D36" s="332">
        <f>'A6-FinPos'!E24</f>
        <v>1181055974</v>
      </c>
      <c r="E36" s="79">
        <f>'A6-FinPos'!F24</f>
        <v>1199187808.128</v>
      </c>
      <c r="F36" s="76">
        <f>'A6-FinPos'!G24</f>
        <v>1184590277.128</v>
      </c>
      <c r="G36" s="333">
        <f>'A6-FinPos'!H24</f>
        <v>1184590277.128</v>
      </c>
      <c r="H36" s="75">
        <f>'A6-FinPos'!I24</f>
        <v>1184590277.128</v>
      </c>
      <c r="I36" s="79">
        <f>'A6-FinPos'!J24</f>
        <v>1151189151.6279998</v>
      </c>
      <c r="J36" s="76">
        <f>'A6-FinPos'!K24</f>
        <v>1131362174.2119999</v>
      </c>
      <c r="K36" s="333">
        <f>'A6-FinPos'!L24</f>
        <v>1057374728.1510397</v>
      </c>
    </row>
    <row r="37" spans="1:11" ht="11.25" customHeight="1" x14ac:dyDescent="0.25">
      <c r="A37" s="569" t="str">
        <f>'A6-FinPos'!A34</f>
        <v>Total current liabilities</v>
      </c>
      <c r="B37" s="86">
        <f>'A6-FinPos'!C34</f>
        <v>0</v>
      </c>
      <c r="C37" s="76">
        <f>'A6-FinPos'!D34</f>
        <v>127011929</v>
      </c>
      <c r="D37" s="332">
        <f>'A6-FinPos'!E34</f>
        <v>147444854</v>
      </c>
      <c r="E37" s="79">
        <f>'A6-FinPos'!F34</f>
        <v>102467644</v>
      </c>
      <c r="F37" s="76">
        <f>'A6-FinPos'!G34</f>
        <v>124188644</v>
      </c>
      <c r="G37" s="333">
        <f>'A6-FinPos'!H34</f>
        <v>124188644</v>
      </c>
      <c r="H37" s="75">
        <f>'A6-FinPos'!I34</f>
        <v>124188644</v>
      </c>
      <c r="I37" s="79">
        <f>'A6-FinPos'!J34</f>
        <v>63029730</v>
      </c>
      <c r="J37" s="76">
        <f>'A6-FinPos'!K34</f>
        <v>57029730</v>
      </c>
      <c r="K37" s="333">
        <f>'A6-FinPos'!L34</f>
        <v>59684730</v>
      </c>
    </row>
    <row r="38" spans="1:11" ht="11.25" customHeight="1" x14ac:dyDescent="0.25">
      <c r="A38" s="569" t="str">
        <f>'A6-FinPos'!A39</f>
        <v>Total non current liabilities</v>
      </c>
      <c r="B38" s="86">
        <f>'A6-FinPos'!C39</f>
        <v>0</v>
      </c>
      <c r="C38" s="76">
        <f>'A6-FinPos'!D39</f>
        <v>58797341</v>
      </c>
      <c r="D38" s="332">
        <f>'A6-FinPos'!E39</f>
        <v>67824111</v>
      </c>
      <c r="E38" s="79">
        <f>'A6-FinPos'!F39</f>
        <v>62409767</v>
      </c>
      <c r="F38" s="76">
        <f>'A6-FinPos'!G39</f>
        <v>62409767</v>
      </c>
      <c r="G38" s="333">
        <f>'A6-FinPos'!H39</f>
        <v>62409767</v>
      </c>
      <c r="H38" s="75">
        <f>'A6-FinPos'!I39</f>
        <v>62409767</v>
      </c>
      <c r="I38" s="79">
        <f>'A6-FinPos'!J39</f>
        <v>128159767</v>
      </c>
      <c r="J38" s="76">
        <f>'A6-FinPos'!K39</f>
        <v>113159767</v>
      </c>
      <c r="K38" s="333">
        <f>'A6-FinPos'!L39</f>
        <v>99250353.020000011</v>
      </c>
    </row>
    <row r="39" spans="1:11" ht="11.25" customHeight="1" x14ac:dyDescent="0.25">
      <c r="A39" s="569" t="s">
        <v>31</v>
      </c>
      <c r="B39" s="86">
        <f>'A6-FinPos'!C48</f>
        <v>0</v>
      </c>
      <c r="C39" s="76">
        <f>'A6-FinPos'!D48</f>
        <v>1058065985</v>
      </c>
      <c r="D39" s="332">
        <f>'A6-FinPos'!E48</f>
        <v>1014812154</v>
      </c>
      <c r="E39" s="79">
        <f>'A6-FinPos'!F48</f>
        <v>1096337568.2682085</v>
      </c>
      <c r="F39" s="76">
        <f>'A6-FinPos'!G48</f>
        <v>1081455842.2682085</v>
      </c>
      <c r="G39" s="333">
        <f>'A6-FinPos'!H48</f>
        <v>1081455842.2682085</v>
      </c>
      <c r="H39" s="75">
        <f>'A6-FinPos'!I48</f>
        <v>1081455842.2682085</v>
      </c>
      <c r="I39" s="79">
        <f>'A6-FinPos'!J48</f>
        <v>1074452596.577317</v>
      </c>
      <c r="J39" s="76">
        <f>'A6-FinPos'!K48</f>
        <v>1075038217.3257689</v>
      </c>
      <c r="K39" s="333">
        <f>'A6-FinPos'!L48</f>
        <v>1075658975.319128</v>
      </c>
    </row>
    <row r="40" spans="1:11" ht="4.9000000000000004" customHeight="1" x14ac:dyDescent="0.25">
      <c r="A40" s="355"/>
      <c r="B40" s="34"/>
      <c r="C40" s="35"/>
      <c r="D40" s="36"/>
      <c r="E40" s="34"/>
      <c r="F40" s="35"/>
      <c r="G40" s="36"/>
      <c r="H40" s="37"/>
      <c r="I40" s="34"/>
      <c r="J40" s="35"/>
      <c r="K40" s="36"/>
    </row>
    <row r="41" spans="1:11" ht="11.25" customHeight="1" x14ac:dyDescent="0.25">
      <c r="A41" s="566" t="s">
        <v>176</v>
      </c>
      <c r="B41" s="38"/>
      <c r="C41" s="39"/>
      <c r="D41" s="40"/>
      <c r="E41" s="38"/>
      <c r="F41" s="39"/>
      <c r="G41" s="40"/>
      <c r="H41" s="41"/>
      <c r="I41" s="38"/>
      <c r="J41" s="39"/>
      <c r="K41" s="40"/>
    </row>
    <row r="42" spans="1:11" ht="11.25" customHeight="1" x14ac:dyDescent="0.25">
      <c r="A42" s="569" t="s">
        <v>862</v>
      </c>
      <c r="B42" s="86">
        <f>'A7-CFlow'!C17</f>
        <v>0</v>
      </c>
      <c r="C42" s="76">
        <f>'A7-CFlow'!D17</f>
        <v>83323925</v>
      </c>
      <c r="D42" s="332">
        <f>'A7-CFlow'!E17</f>
        <v>15105729</v>
      </c>
      <c r="E42" s="79">
        <f>'A7-CFlow'!F17</f>
        <v>27774325.617708385</v>
      </c>
      <c r="F42" s="76">
        <f>'A7-CFlow'!G17</f>
        <v>44627864.342008412</v>
      </c>
      <c r="G42" s="333">
        <f>'A7-CFlow'!H17</f>
        <v>44627864.342008412</v>
      </c>
      <c r="H42" s="75">
        <f>'A7-CFlow'!I17</f>
        <v>44627864.342008412</v>
      </c>
      <c r="I42" s="79">
        <f>'A7-CFlow'!J17</f>
        <v>32578770.263300002</v>
      </c>
      <c r="J42" s="76">
        <f>'A7-CFlow'!K17</f>
        <v>35058456.479098082</v>
      </c>
      <c r="K42" s="333">
        <f>'A7-CFlow'!L17</f>
        <v>48162923.867843926</v>
      </c>
    </row>
    <row r="43" spans="1:11" ht="11.25" customHeight="1" x14ac:dyDescent="0.25">
      <c r="A43" s="569" t="s">
        <v>863</v>
      </c>
      <c r="B43" s="86">
        <f>'A7-CFlow'!C27</f>
        <v>0</v>
      </c>
      <c r="C43" s="76">
        <f>'A7-CFlow'!D27</f>
        <v>-58839269</v>
      </c>
      <c r="D43" s="332">
        <f>'A7-CFlow'!E27</f>
        <v>-53448927</v>
      </c>
      <c r="E43" s="79">
        <f>'A7-CFlow'!F27</f>
        <v>-31817000</v>
      </c>
      <c r="F43" s="76">
        <f>'A7-CFlow'!G27</f>
        <v>-47615289</v>
      </c>
      <c r="G43" s="333">
        <f>'A7-CFlow'!H27</f>
        <v>-47615289</v>
      </c>
      <c r="H43" s="75">
        <f>'A7-CFlow'!I27</f>
        <v>-47615289</v>
      </c>
      <c r="I43" s="79">
        <f>'A7-CFlow'!J27</f>
        <v>-32447438.100000001</v>
      </c>
      <c r="J43" s="76">
        <f>'A7-CFlow'!K27</f>
        <v>-32447438.100000001</v>
      </c>
      <c r="K43" s="333">
        <f>'A7-CFlow'!L27</f>
        <v>-49972500</v>
      </c>
    </row>
    <row r="44" spans="1:11" ht="11.25" customHeight="1" x14ac:dyDescent="0.25">
      <c r="A44" s="569" t="s">
        <v>861</v>
      </c>
      <c r="B44" s="86">
        <f>'A7-CFlow'!C36</f>
        <v>0</v>
      </c>
      <c r="C44" s="76">
        <f>'A7-CFlow'!D36</f>
        <v>0</v>
      </c>
      <c r="D44" s="332">
        <f>'A7-CFlow'!E36</f>
        <v>0</v>
      </c>
      <c r="E44" s="79">
        <f>'A7-CFlow'!F36</f>
        <v>100000</v>
      </c>
      <c r="F44" s="76">
        <f>'A7-CFlow'!G36</f>
        <v>100000</v>
      </c>
      <c r="G44" s="333">
        <f>'A7-CFlow'!H36</f>
        <v>100000</v>
      </c>
      <c r="H44" s="75">
        <f>'A7-CFlow'!I36</f>
        <v>100000</v>
      </c>
      <c r="I44" s="79">
        <f>'A7-CFlow'!J36</f>
        <v>0</v>
      </c>
      <c r="J44" s="76">
        <f>'A7-CFlow'!K36</f>
        <v>0</v>
      </c>
      <c r="K44" s="333">
        <f>'A7-CFlow'!L36</f>
        <v>0</v>
      </c>
    </row>
    <row r="45" spans="1:11" ht="11.25" customHeight="1" x14ac:dyDescent="0.25">
      <c r="A45" s="570" t="str">
        <f>LEFT('A7-CFlow'!A40,37)</f>
        <v>Cash/cash equivalents at the year end</v>
      </c>
      <c r="B45" s="86">
        <f>'A7-CFlow'!C40</f>
        <v>0</v>
      </c>
      <c r="C45" s="76">
        <f>'A7-CFlow'!D40</f>
        <v>27454611</v>
      </c>
      <c r="D45" s="332">
        <f>'A7-CFlow'!E40</f>
        <v>-10888587</v>
      </c>
      <c r="E45" s="79">
        <f>'A7-CFlow'!F40</f>
        <v>1821586.1402084231</v>
      </c>
      <c r="F45" s="76">
        <f>'A7-CFlow'!G40</f>
        <v>2876835.86450845</v>
      </c>
      <c r="G45" s="333">
        <f>'A7-CFlow'!H40</f>
        <v>2876835.86450845</v>
      </c>
      <c r="H45" s="75">
        <f>'A7-CFlow'!I40</f>
        <v>2876835.86450845</v>
      </c>
      <c r="I45" s="79">
        <f>'A7-CFlow'!J40</f>
        <v>131332.16330000013</v>
      </c>
      <c r="J45" s="76">
        <f>'A7-CFlow'!K40</f>
        <v>2742350.5423980802</v>
      </c>
      <c r="K45" s="333">
        <f>'A7-CFlow'!L40</f>
        <v>932774.41024200618</v>
      </c>
    </row>
    <row r="46" spans="1:11" ht="4.9000000000000004" customHeight="1" x14ac:dyDescent="0.25">
      <c r="A46" s="355"/>
      <c r="B46" s="34"/>
      <c r="C46" s="35"/>
      <c r="D46" s="36"/>
      <c r="E46" s="34"/>
      <c r="F46" s="35"/>
      <c r="G46" s="36"/>
      <c r="H46" s="37"/>
      <c r="I46" s="34"/>
      <c r="J46" s="35"/>
      <c r="K46" s="36"/>
    </row>
    <row r="47" spans="1:11" ht="11.25" customHeight="1" x14ac:dyDescent="0.25">
      <c r="A47" s="566" t="s">
        <v>242</v>
      </c>
      <c r="B47" s="38"/>
      <c r="C47" s="39"/>
      <c r="D47" s="40"/>
      <c r="E47" s="38"/>
      <c r="F47" s="39"/>
      <c r="G47" s="40"/>
      <c r="H47" s="41"/>
      <c r="I47" s="38"/>
      <c r="J47" s="39"/>
      <c r="K47" s="40"/>
    </row>
    <row r="48" spans="1:11" ht="11.25" customHeight="1" x14ac:dyDescent="0.25">
      <c r="A48" s="569" t="str">
        <f>'A8-ResRecon'!A4</f>
        <v>Cash and investments available</v>
      </c>
      <c r="B48" s="86">
        <f>'A8-ResRecon'!C8</f>
        <v>0</v>
      </c>
      <c r="C48" s="76">
        <f>'A8-ResRecon'!D8</f>
        <v>27454611</v>
      </c>
      <c r="D48" s="332">
        <f>'A8-ResRecon'!E8</f>
        <v>-10888587</v>
      </c>
      <c r="E48" s="79">
        <f>'A8-ResRecon'!F8</f>
        <v>5519997.1402084231</v>
      </c>
      <c r="F48" s="76">
        <f>'A8-ResRecon'!G8</f>
        <v>5519997.1402084231</v>
      </c>
      <c r="G48" s="333">
        <f>'A8-ResRecon'!H8</f>
        <v>5519997.1402084231</v>
      </c>
      <c r="H48" s="75">
        <f>'A8-ResRecon'!I8</f>
        <v>5519997.1402084231</v>
      </c>
      <c r="I48" s="79">
        <f>'A8-ResRecon'!J8</f>
        <v>3779332.1633000001</v>
      </c>
      <c r="J48" s="76">
        <f>'A8-ResRecon'!K8</f>
        <v>6390350.5423980802</v>
      </c>
      <c r="K48" s="333">
        <f>'A8-ResRecon'!L8</f>
        <v>4580774.4102420062</v>
      </c>
    </row>
    <row r="49" spans="1:11" ht="11.25" customHeight="1" x14ac:dyDescent="0.25">
      <c r="A49" s="569" t="str">
        <f>'A8-ResRecon'!A10</f>
        <v>Application of cash and investments</v>
      </c>
      <c r="B49" s="86">
        <f>'A8-ResRecon'!C18</f>
        <v>0</v>
      </c>
      <c r="C49" s="76">
        <f>'A8-ResRecon'!D18</f>
        <v>106120825</v>
      </c>
      <c r="D49" s="332">
        <f>'A8-ResRecon'!E18</f>
        <v>98295407</v>
      </c>
      <c r="E49" s="79">
        <f>'A8-ResRecon'!F18</f>
        <v>43296914</v>
      </c>
      <c r="F49" s="76">
        <f>'A8-ResRecon'!G18</f>
        <v>43938914</v>
      </c>
      <c r="G49" s="333">
        <f>'A8-ResRecon'!H18</f>
        <v>43938914</v>
      </c>
      <c r="H49" s="75">
        <f>'A8-ResRecon'!I18</f>
        <v>43938914</v>
      </c>
      <c r="I49" s="79">
        <f>'A8-ResRecon'!J18</f>
        <v>-49941000</v>
      </c>
      <c r="J49" s="76">
        <f>'A8-ResRecon'!K18</f>
        <v>-52806000</v>
      </c>
      <c r="K49" s="333">
        <f>'A8-ResRecon'!L18</f>
        <v>-111108000</v>
      </c>
    </row>
    <row r="50" spans="1:11" ht="11.25" customHeight="1" x14ac:dyDescent="0.25">
      <c r="A50" s="570" t="s">
        <v>955</v>
      </c>
      <c r="B50" s="86">
        <f>B48-B49</f>
        <v>0</v>
      </c>
      <c r="C50" s="76">
        <f t="shared" ref="C50:K50" si="6">C48-C49</f>
        <v>-78666214</v>
      </c>
      <c r="D50" s="332">
        <f t="shared" si="6"/>
        <v>-109183994</v>
      </c>
      <c r="E50" s="79">
        <f t="shared" si="6"/>
        <v>-37776916.859791577</v>
      </c>
      <c r="F50" s="76">
        <f t="shared" si="6"/>
        <v>-38418916.859791577</v>
      </c>
      <c r="G50" s="333">
        <f t="shared" si="6"/>
        <v>-38418916.859791577</v>
      </c>
      <c r="H50" s="75">
        <f t="shared" si="6"/>
        <v>-38418916.859791577</v>
      </c>
      <c r="I50" s="79">
        <f t="shared" si="6"/>
        <v>53720332.1633</v>
      </c>
      <c r="J50" s="76">
        <f t="shared" si="6"/>
        <v>59196350.54239808</v>
      </c>
      <c r="K50" s="333">
        <f t="shared" si="6"/>
        <v>115688774.41024201</v>
      </c>
    </row>
    <row r="51" spans="1:11" ht="4.9000000000000004" customHeight="1" x14ac:dyDescent="0.25">
      <c r="A51" s="564"/>
      <c r="B51" s="47"/>
      <c r="C51" s="48"/>
      <c r="D51" s="49"/>
      <c r="E51" s="47"/>
      <c r="F51" s="48"/>
      <c r="G51" s="49"/>
      <c r="H51" s="50"/>
      <c r="I51" s="47"/>
      <c r="J51" s="48"/>
      <c r="K51" s="49"/>
    </row>
    <row r="52" spans="1:11" ht="11.25" customHeight="1" x14ac:dyDescent="0.25">
      <c r="A52" s="566" t="s">
        <v>1094</v>
      </c>
      <c r="B52" s="34"/>
      <c r="C52" s="35"/>
      <c r="D52" s="36"/>
      <c r="E52" s="34"/>
      <c r="F52" s="35"/>
      <c r="G52" s="36"/>
      <c r="H52" s="37"/>
      <c r="I52" s="34"/>
      <c r="J52" s="35"/>
      <c r="K52" s="36"/>
    </row>
    <row r="53" spans="1:11" ht="11.25" customHeight="1" x14ac:dyDescent="0.25">
      <c r="A53" s="569" t="s">
        <v>839</v>
      </c>
      <c r="B53" s="86">
        <f>'A9-Asset'!C165</f>
        <v>0</v>
      </c>
      <c r="C53" s="76">
        <f>'A9-Asset'!D165</f>
        <v>0</v>
      </c>
      <c r="D53" s="332">
        <f>'A9-Asset'!E165</f>
        <v>0</v>
      </c>
      <c r="E53" s="79">
        <f>'A9-Asset'!F165</f>
        <v>1187108949.9999998</v>
      </c>
      <c r="F53" s="76">
        <f>'A9-Asset'!G165</f>
        <v>1187108949.9999998</v>
      </c>
      <c r="G53" s="333">
        <f>'A9-Asset'!H165</f>
        <v>1187108949.9999998</v>
      </c>
      <c r="H53" s="75">
        <f>'A9-Asset'!H165</f>
        <v>1187108949.9999998</v>
      </c>
      <c r="I53" s="79">
        <f>'A9-Asset'!I165</f>
        <v>0</v>
      </c>
      <c r="J53" s="76">
        <f>'A9-Asset'!J165</f>
        <v>0</v>
      </c>
      <c r="K53" s="333">
        <f>'A9-Asset'!K165</f>
        <v>0</v>
      </c>
    </row>
    <row r="54" spans="1:11" ht="11.25" customHeight="1" x14ac:dyDescent="0.25">
      <c r="A54" s="569" t="str">
        <f>'A9-Asset'!A168</f>
        <v>Depreciation</v>
      </c>
      <c r="B54" s="86">
        <f>'A9-Asset'!C168</f>
        <v>0</v>
      </c>
      <c r="C54" s="76">
        <f>'A9-Asset'!D168</f>
        <v>65115683</v>
      </c>
      <c r="D54" s="332">
        <f>'A9-Asset'!E168</f>
        <v>62710848</v>
      </c>
      <c r="E54" s="79">
        <f>'A9-Asset'!F168</f>
        <v>35452741.871999994</v>
      </c>
      <c r="F54" s="76">
        <f>'A9-Asset'!G168</f>
        <v>65848561.987999998</v>
      </c>
      <c r="G54" s="333">
        <f>'A9-Asset'!H168</f>
        <v>65848561.987999998</v>
      </c>
      <c r="H54" s="75">
        <f>'A9-Asset'!H168</f>
        <v>65848561.987999998</v>
      </c>
      <c r="I54" s="79">
        <f>'A9-Asset'!I168</f>
        <v>65848563</v>
      </c>
      <c r="J54" s="76">
        <f>'A9-Asset'!J168</f>
        <v>65848563.600000001</v>
      </c>
      <c r="K54" s="333">
        <f>'A9-Asset'!K168</f>
        <v>69799477.415999994</v>
      </c>
    </row>
    <row r="55" spans="1:11" ht="11.25" customHeight="1" x14ac:dyDescent="0.25">
      <c r="A55" s="569" t="s">
        <v>2565</v>
      </c>
      <c r="B55" s="86">
        <f>'A9-Asset'!C37+'A9-Asset'!C69</f>
        <v>0</v>
      </c>
      <c r="C55" s="76">
        <f>'A9-Asset'!D37+'A9-Asset'!D69</f>
        <v>0</v>
      </c>
      <c r="D55" s="332">
        <f>'A9-Asset'!E37+'A9-Asset'!E69</f>
        <v>0</v>
      </c>
      <c r="E55" s="79">
        <f>'A9-Asset'!F37+'A9-Asset'!F69</f>
        <v>29284050</v>
      </c>
      <c r="F55" s="76">
        <f>'A9-Asset'!G37+'A9-Asset'!G69</f>
        <v>20817524</v>
      </c>
      <c r="G55" s="333">
        <f>'A9-Asset'!H37+'A9-Asset'!H69</f>
        <v>20817524</v>
      </c>
      <c r="H55" s="75">
        <f>'A9-Asset'!H37+'A9-Asset'!H69</f>
        <v>20817524</v>
      </c>
      <c r="I55" s="79">
        <f>'A9-Asset'!I37+'A9-Asset'!I69</f>
        <v>16340973</v>
      </c>
      <c r="J55" s="76">
        <f>'A9-Asset'!J37+'A9-Asset'!J69</f>
        <v>18922359</v>
      </c>
      <c r="K55" s="333">
        <f>'A9-Asset'!K37+'A9-Asset'!K69</f>
        <v>0</v>
      </c>
    </row>
    <row r="56" spans="1:11" ht="11.25" customHeight="1" x14ac:dyDescent="0.25">
      <c r="A56" s="569" t="s">
        <v>381</v>
      </c>
      <c r="B56" s="86">
        <f>'A9-Asset'!C169</f>
        <v>0</v>
      </c>
      <c r="C56" s="76">
        <f>'A9-Asset'!D169</f>
        <v>5783109</v>
      </c>
      <c r="D56" s="332">
        <f>'A9-Asset'!E169</f>
        <v>7401663</v>
      </c>
      <c r="E56" s="79">
        <f>'A9-Asset'!F169</f>
        <v>11585379.365</v>
      </c>
      <c r="F56" s="76">
        <f>'A9-Asset'!G169</f>
        <v>6758329.368999999</v>
      </c>
      <c r="G56" s="333">
        <f>'A9-Asset'!H169</f>
        <v>6758329.368999999</v>
      </c>
      <c r="H56" s="75">
        <f>'A9-Asset'!H169</f>
        <v>6758329.368999999</v>
      </c>
      <c r="I56" s="79">
        <f>'A9-Asset'!I169</f>
        <v>10052342.4706</v>
      </c>
      <c r="J56" s="76">
        <f>'A9-Asset'!J169</f>
        <v>10655483.018835999</v>
      </c>
      <c r="K56" s="333">
        <f>'A9-Asset'!K169</f>
        <v>11294811.999966159</v>
      </c>
    </row>
    <row r="57" spans="1:11" ht="4.9000000000000004" customHeight="1" x14ac:dyDescent="0.25">
      <c r="A57" s="564"/>
      <c r="B57" s="47"/>
      <c r="C57" s="48"/>
      <c r="D57" s="49"/>
      <c r="E57" s="47"/>
      <c r="F57" s="48"/>
      <c r="G57" s="49"/>
      <c r="H57" s="50"/>
      <c r="I57" s="47"/>
      <c r="J57" s="48"/>
      <c r="K57" s="49"/>
    </row>
    <row r="58" spans="1:11" ht="11.25" customHeight="1" x14ac:dyDescent="0.25">
      <c r="A58" s="566" t="s">
        <v>705</v>
      </c>
      <c r="B58" s="34"/>
      <c r="C58" s="35"/>
      <c r="D58" s="36"/>
      <c r="E58" s="34"/>
      <c r="F58" s="35"/>
      <c r="G58" s="36"/>
      <c r="H58" s="37"/>
      <c r="I58" s="34"/>
      <c r="J58" s="35"/>
      <c r="K58" s="36"/>
    </row>
    <row r="59" spans="1:11" ht="11.25" customHeight="1" x14ac:dyDescent="0.25">
      <c r="A59" s="569" t="s">
        <v>707</v>
      </c>
      <c r="B59" s="86">
        <f>'A10-SerDel'!C60</f>
        <v>0</v>
      </c>
      <c r="C59" s="76">
        <f>'A10-SerDel'!D60</f>
        <v>15814806</v>
      </c>
      <c r="D59" s="332">
        <f>'A10-SerDel'!E60</f>
        <v>18057879.149999999</v>
      </c>
      <c r="E59" s="79">
        <f>'A10-SerDel'!F60</f>
        <v>21777556</v>
      </c>
      <c r="F59" s="76">
        <f>'A10-SerDel'!G60</f>
        <v>18793500</v>
      </c>
      <c r="G59" s="333">
        <f>'A10-SerDel'!H60</f>
        <v>18793500</v>
      </c>
      <c r="H59" s="75">
        <f>'A10-SerDel'!I60</f>
        <v>20696111</v>
      </c>
      <c r="I59" s="79">
        <f>'A10-SerDel'!I60</f>
        <v>20696111</v>
      </c>
      <c r="J59" s="76">
        <f>'A10-SerDel'!J60</f>
        <v>21937877.660000004</v>
      </c>
      <c r="K59" s="333">
        <f>'A10-SerDel'!K60</f>
        <v>23254150.319600001</v>
      </c>
    </row>
    <row r="60" spans="1:11" ht="11.25" customHeight="1" x14ac:dyDescent="0.25">
      <c r="A60" s="569" t="s">
        <v>430</v>
      </c>
      <c r="B60" s="86">
        <f>'A10-SerDel'!C79</f>
        <v>0</v>
      </c>
      <c r="C60" s="76">
        <f>'A10-SerDel'!D79</f>
        <v>0</v>
      </c>
      <c r="D60" s="332">
        <f>'A10-SerDel'!E79</f>
        <v>0</v>
      </c>
      <c r="E60" s="79">
        <f>'A10-SerDel'!F79</f>
        <v>5133011</v>
      </c>
      <c r="F60" s="76">
        <f>'A10-SerDel'!G79</f>
        <v>8769190</v>
      </c>
      <c r="G60" s="333">
        <f>'A10-SerDel'!H79</f>
        <v>8769190</v>
      </c>
      <c r="H60" s="75">
        <f>'A10-SerDel'!I79</f>
        <v>4390400</v>
      </c>
      <c r="I60" s="79">
        <f>'A10-SerDel'!I79</f>
        <v>4390400</v>
      </c>
      <c r="J60" s="76">
        <f>'A10-SerDel'!J79</f>
        <v>4653824</v>
      </c>
      <c r="K60" s="333">
        <f>'A10-SerDel'!K79</f>
        <v>4933053.4400000004</v>
      </c>
    </row>
    <row r="61" spans="1:11" ht="11.25" customHeight="1" x14ac:dyDescent="0.25">
      <c r="A61" s="876" t="s">
        <v>706</v>
      </c>
      <c r="B61" s="34"/>
      <c r="C61" s="35"/>
      <c r="D61" s="36"/>
      <c r="E61" s="34"/>
      <c r="F61" s="35"/>
      <c r="G61" s="36"/>
      <c r="H61" s="37"/>
      <c r="I61" s="34"/>
      <c r="J61" s="35"/>
      <c r="K61" s="36"/>
    </row>
    <row r="62" spans="1:11" ht="11.25" customHeight="1" x14ac:dyDescent="0.25">
      <c r="A62" s="776" t="str">
        <f>'A10-SerDel'!A5</f>
        <v>Water:</v>
      </c>
      <c r="B62" s="115">
        <f>'A10-SerDel'!C14</f>
        <v>0</v>
      </c>
      <c r="C62" s="114">
        <f>'A10-SerDel'!D14</f>
        <v>0</v>
      </c>
      <c r="D62" s="116">
        <f>'A10-SerDel'!E14</f>
        <v>0</v>
      </c>
      <c r="E62" s="115">
        <f>'A10-SerDel'!F14</f>
        <v>0</v>
      </c>
      <c r="F62" s="114">
        <f>'A10-SerDel'!G14</f>
        <v>0</v>
      </c>
      <c r="G62" s="116">
        <f>'A10-SerDel'!H14</f>
        <v>0</v>
      </c>
      <c r="H62" s="113">
        <f>'A10-SerDel'!I14</f>
        <v>0</v>
      </c>
      <c r="I62" s="115">
        <f>'A10-SerDel'!I14</f>
        <v>0</v>
      </c>
      <c r="J62" s="114">
        <f>'A10-SerDel'!J14</f>
        <v>0</v>
      </c>
      <c r="K62" s="116">
        <f>'A10-SerDel'!K14</f>
        <v>0</v>
      </c>
    </row>
    <row r="63" spans="1:11" ht="11.25" customHeight="1" x14ac:dyDescent="0.25">
      <c r="A63" s="776" t="str">
        <f>'A10-SerDel'!A16</f>
        <v>Sanitation/sewerage:</v>
      </c>
      <c r="B63" s="115">
        <f>'A10-SerDel'!C26</f>
        <v>0</v>
      </c>
      <c r="C63" s="114">
        <f>'A10-SerDel'!D26</f>
        <v>0</v>
      </c>
      <c r="D63" s="116">
        <f>'A10-SerDel'!E26</f>
        <v>0</v>
      </c>
      <c r="E63" s="115">
        <f>'A10-SerDel'!F26</f>
        <v>410</v>
      </c>
      <c r="F63" s="114">
        <f>'A10-SerDel'!G26</f>
        <v>410</v>
      </c>
      <c r="G63" s="116">
        <f>'A10-SerDel'!H26</f>
        <v>410</v>
      </c>
      <c r="H63" s="113">
        <f>'A10-SerDel'!I26</f>
        <v>410</v>
      </c>
      <c r="I63" s="115">
        <f>'A10-SerDel'!I26</f>
        <v>410</v>
      </c>
      <c r="J63" s="114">
        <f>'A10-SerDel'!J26</f>
        <v>410</v>
      </c>
      <c r="K63" s="116">
        <f>'A10-SerDel'!K26</f>
        <v>410</v>
      </c>
    </row>
    <row r="64" spans="1:11" ht="11.25" customHeight="1" x14ac:dyDescent="0.25">
      <c r="A64" s="776" t="str">
        <f>'A10-SerDel'!A28</f>
        <v>Energy:</v>
      </c>
      <c r="B64" s="115">
        <f>'A10-SerDel'!C35</f>
        <v>0</v>
      </c>
      <c r="C64" s="114">
        <f>'A10-SerDel'!D35</f>
        <v>77</v>
      </c>
      <c r="D64" s="116">
        <f>'A10-SerDel'!E35</f>
        <v>0</v>
      </c>
      <c r="E64" s="115">
        <f>'A10-SerDel'!F35</f>
        <v>0</v>
      </c>
      <c r="F64" s="114">
        <f>'A10-SerDel'!G35</f>
        <v>0</v>
      </c>
      <c r="G64" s="116">
        <f>'A10-SerDel'!H35</f>
        <v>0</v>
      </c>
      <c r="H64" s="113">
        <f>'A10-SerDel'!I35</f>
        <v>0</v>
      </c>
      <c r="I64" s="115">
        <f>'A10-SerDel'!I35</f>
        <v>0</v>
      </c>
      <c r="J64" s="114">
        <f>'A10-SerDel'!J35</f>
        <v>0</v>
      </c>
      <c r="K64" s="116">
        <f>'A10-SerDel'!K35</f>
        <v>0</v>
      </c>
    </row>
    <row r="65" spans="1:11" ht="11.25" customHeight="1" x14ac:dyDescent="0.25">
      <c r="A65" s="776" t="str">
        <f>'A10-SerDel'!A37</f>
        <v>Refuse:</v>
      </c>
      <c r="B65" s="115">
        <f>'A10-SerDel'!C45</f>
        <v>0</v>
      </c>
      <c r="C65" s="114">
        <f>'A10-SerDel'!D45</f>
        <v>2755</v>
      </c>
      <c r="D65" s="116">
        <f>'A10-SerDel'!E45</f>
        <v>2755</v>
      </c>
      <c r="E65" s="115">
        <f>'A10-SerDel'!F45</f>
        <v>2755</v>
      </c>
      <c r="F65" s="114">
        <f>'A10-SerDel'!G45</f>
        <v>2755</v>
      </c>
      <c r="G65" s="116">
        <f>'A10-SerDel'!H45</f>
        <v>2755</v>
      </c>
      <c r="H65" s="113">
        <f>'A10-SerDel'!I45</f>
        <v>2755</v>
      </c>
      <c r="I65" s="115">
        <f>'A10-SerDel'!I45</f>
        <v>2755</v>
      </c>
      <c r="J65" s="114">
        <f>'A10-SerDel'!J45</f>
        <v>2755</v>
      </c>
      <c r="K65" s="116">
        <f>'A10-SerDel'!K45</f>
        <v>2755</v>
      </c>
    </row>
    <row r="66" spans="1:11" ht="4.9000000000000004" customHeight="1" x14ac:dyDescent="0.25">
      <c r="A66" s="564"/>
      <c r="B66" s="47"/>
      <c r="C66" s="48"/>
      <c r="D66" s="49"/>
      <c r="E66" s="47"/>
      <c r="F66" s="48"/>
      <c r="G66" s="49"/>
      <c r="H66" s="50"/>
      <c r="I66" s="47"/>
      <c r="J66" s="48"/>
      <c r="K66" s="49"/>
    </row>
    <row r="67" spans="1:11" ht="4.5" customHeight="1" x14ac:dyDescent="0.25">
      <c r="B67" s="37"/>
      <c r="C67" s="37"/>
      <c r="D67" s="37"/>
      <c r="E67" s="37"/>
      <c r="F67" s="37"/>
      <c r="G67" s="37"/>
      <c r="H67" s="37"/>
      <c r="I67" s="37"/>
      <c r="J67" s="37"/>
      <c r="K67" s="37"/>
    </row>
    <row r="68" spans="1:11" x14ac:dyDescent="0.25">
      <c r="A68" s="51"/>
      <c r="B68" s="51"/>
      <c r="C68" s="51"/>
      <c r="D68" s="51"/>
      <c r="E68" s="51"/>
      <c r="F68" s="51"/>
      <c r="G68" s="51"/>
      <c r="H68" s="51"/>
      <c r="I68" s="51"/>
      <c r="J68" s="51"/>
      <c r="K68" s="51"/>
    </row>
  </sheetData>
  <mergeCells count="3">
    <mergeCell ref="I2:K2"/>
    <mergeCell ref="E2:H2"/>
    <mergeCell ref="A1:C1"/>
  </mergeCells>
  <phoneticPr fontId="3" type="noConversion"/>
  <printOptions horizontalCentered="1"/>
  <pageMargins left="0.35" right="0.2" top="0.78740157480314998" bottom="0.59055118110236204" header="0.511811023622047" footer="0.39370078740157499"/>
  <pageSetup paperSize="9" scale="83"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R92"/>
  <sheetViews>
    <sheetView showGridLines="0" tabSelected="1" zoomScaleNormal="100" workbookViewId="0">
      <pane xSplit="2" ySplit="3" topLeftCell="C4" activePane="bottomRight" state="frozen"/>
      <selection pane="topRight"/>
      <selection pane="bottomLeft"/>
      <selection pane="bottomRight" sqref="A1:K49"/>
    </sheetView>
  </sheetViews>
  <sheetFormatPr defaultRowHeight="12.75" x14ac:dyDescent="0.25"/>
  <cols>
    <col min="1" max="1" width="31.42578125" style="25" customWidth="1"/>
    <col min="2" max="2" width="3.140625" style="102" bestFit="1" customWidth="1"/>
    <col min="3" max="5" width="6.85546875" style="25" bestFit="1" customWidth="1"/>
    <col min="6" max="6" width="6.5703125" style="25" bestFit="1" customWidth="1"/>
    <col min="7" max="8" width="6.85546875" style="25" bestFit="1" customWidth="1"/>
    <col min="9" max="11" width="9" style="25" bestFit="1" customWidth="1"/>
    <col min="12" max="41" width="9.42578125" style="25" customWidth="1"/>
    <col min="42" max="16384" width="9.140625" style="25"/>
  </cols>
  <sheetData>
    <row r="1" spans="1:18" ht="13.5" x14ac:dyDescent="0.25">
      <c r="A1" s="23" t="str">
        <f>muni&amp;" - "&amp;Approve3</f>
        <v>EC101 Dr Beyers Naude - Table A2 Budgeted Financial Performance (revenue and expenditure by functional classification)</v>
      </c>
      <c r="B1" s="110"/>
      <c r="C1" s="110"/>
      <c r="D1" s="110"/>
      <c r="E1" s="110"/>
      <c r="F1" s="110"/>
      <c r="G1" s="110"/>
      <c r="H1" s="110"/>
      <c r="I1" s="110"/>
      <c r="J1" s="110"/>
      <c r="K1" s="110"/>
    </row>
    <row r="2" spans="1:18" ht="28.5" customHeight="1" x14ac:dyDescent="0.25">
      <c r="A2" s="609" t="str">
        <f>"Functional Classification "&amp;desc</f>
        <v>Functional Classification Description</v>
      </c>
      <c r="B2" s="220" t="str">
        <f>head27</f>
        <v>Ref</v>
      </c>
      <c r="C2" s="26" t="str">
        <f>head1b</f>
        <v>2015/16</v>
      </c>
      <c r="D2" s="26" t="str">
        <f>head1A</f>
        <v>2016/17</v>
      </c>
      <c r="E2" s="22" t="str">
        <f>Head1</f>
        <v>2017/18</v>
      </c>
      <c r="F2" s="1907" t="str">
        <f>Head2</f>
        <v>Current Year 2018/19</v>
      </c>
      <c r="G2" s="1908"/>
      <c r="H2" s="1912"/>
      <c r="I2" s="1904" t="str">
        <f>Head3</f>
        <v>2019/20 Medium Term Revenue &amp; Expenditure Framework</v>
      </c>
      <c r="J2" s="1905"/>
      <c r="K2" s="1906"/>
    </row>
    <row r="3" spans="1:18" ht="25.5" x14ac:dyDescent="0.25">
      <c r="A3" s="53" t="s">
        <v>573</v>
      </c>
      <c r="B3" s="615">
        <v>1</v>
      </c>
      <c r="C3" s="203" t="str">
        <f>Head5</f>
        <v>Audited Outcome</v>
      </c>
      <c r="D3" s="203" t="str">
        <f>Head5</f>
        <v>Audited Outcome</v>
      </c>
      <c r="E3" s="204" t="str">
        <f>Head5</f>
        <v>Audited Outcome</v>
      </c>
      <c r="F3" s="141" t="str">
        <f>Head6</f>
        <v>Original Budget</v>
      </c>
      <c r="G3" s="203" t="str">
        <f>Head7</f>
        <v>Adjusted Budget</v>
      </c>
      <c r="H3" s="204" t="str">
        <f>Head8</f>
        <v>Full Year Forecast</v>
      </c>
      <c r="I3" s="141" t="str">
        <f>Head9</f>
        <v>Budget Year 2019/20</v>
      </c>
      <c r="J3" s="203" t="str">
        <f>Head10</f>
        <v>Budget Year +1 2020/21</v>
      </c>
      <c r="K3" s="204" t="str">
        <f>Head11</f>
        <v>Budget Year +2 2021/22</v>
      </c>
    </row>
    <row r="4" spans="1:18" ht="11.25" customHeight="1" x14ac:dyDescent="0.25">
      <c r="A4" s="54" t="s">
        <v>2489</v>
      </c>
      <c r="B4" s="55"/>
      <c r="C4" s="57"/>
      <c r="D4" s="57"/>
      <c r="E4" s="58"/>
      <c r="F4" s="59"/>
      <c r="G4" s="57"/>
      <c r="H4" s="56"/>
      <c r="I4" s="60"/>
      <c r="J4" s="57"/>
      <c r="K4" s="58"/>
    </row>
    <row r="5" spans="1:18" ht="11.25" customHeight="1" x14ac:dyDescent="0.25">
      <c r="A5" s="728" t="s">
        <v>999</v>
      </c>
      <c r="B5" s="55"/>
      <c r="C5" s="86">
        <f>SUM(C6:C8)</f>
        <v>0</v>
      </c>
      <c r="D5" s="86">
        <f t="shared" ref="D5:K5" si="0">SUM(D6:D8)</f>
        <v>133851965</v>
      </c>
      <c r="E5" s="823">
        <f t="shared" si="0"/>
        <v>154908942</v>
      </c>
      <c r="F5" s="89">
        <f t="shared" si="0"/>
        <v>67478942.834199995</v>
      </c>
      <c r="G5" s="86">
        <f t="shared" si="0"/>
        <v>67158058.010199994</v>
      </c>
      <c r="H5" s="392">
        <f t="shared" si="0"/>
        <v>67158058.010199994</v>
      </c>
      <c r="I5" s="824">
        <f t="shared" si="0"/>
        <v>64209097.868163317</v>
      </c>
      <c r="J5" s="86">
        <f t="shared" si="0"/>
        <v>68061643.740253121</v>
      </c>
      <c r="K5" s="392">
        <f t="shared" si="0"/>
        <v>72145342.36466831</v>
      </c>
      <c r="Q5" s="111"/>
      <c r="R5" s="112"/>
    </row>
    <row r="6" spans="1:18" ht="11.25" customHeight="1" x14ac:dyDescent="0.25">
      <c r="A6" s="187" t="s">
        <v>120</v>
      </c>
      <c r="B6" s="55"/>
      <c r="C6" s="76">
        <f>A2A!C6</f>
        <v>0</v>
      </c>
      <c r="D6" s="76">
        <f>A2A!D6</f>
        <v>24703075</v>
      </c>
      <c r="E6" s="77">
        <f>A2A!E6</f>
        <v>12021647</v>
      </c>
      <c r="F6" s="78">
        <f>A2A!F6</f>
        <v>5600000</v>
      </c>
      <c r="G6" s="76">
        <f>A2A!G6</f>
        <v>6655000</v>
      </c>
      <c r="H6" s="75">
        <f>A2A!H6</f>
        <v>6655000</v>
      </c>
      <c r="I6" s="79">
        <f>A2A!I6</f>
        <v>7017018.5381633202</v>
      </c>
      <c r="J6" s="76">
        <f>A2A!J6</f>
        <v>7438039.6504531195</v>
      </c>
      <c r="K6" s="77">
        <f>A2A!K6</f>
        <v>7884322.0294803074</v>
      </c>
      <c r="Q6" s="111"/>
      <c r="R6" s="112"/>
    </row>
    <row r="7" spans="1:18" ht="11.25" customHeight="1" x14ac:dyDescent="0.25">
      <c r="A7" s="187" t="s">
        <v>2412</v>
      </c>
      <c r="B7" s="55"/>
      <c r="C7" s="114">
        <f>A2A!C9</f>
        <v>0</v>
      </c>
      <c r="D7" s="114">
        <f>A2A!D9</f>
        <v>109148890</v>
      </c>
      <c r="E7" s="116">
        <f>A2A!E9</f>
        <v>142887295</v>
      </c>
      <c r="F7" s="115">
        <f>A2A!F9</f>
        <v>61878942.834199995</v>
      </c>
      <c r="G7" s="114">
        <f>A2A!G9</f>
        <v>60503058.010199994</v>
      </c>
      <c r="H7" s="113">
        <f>A2A!H9</f>
        <v>60503058.010199994</v>
      </c>
      <c r="I7" s="117">
        <f>A2A!I9</f>
        <v>57192079.329999998</v>
      </c>
      <c r="J7" s="114">
        <f>A2A!J9</f>
        <v>60623604.0898</v>
      </c>
      <c r="K7" s="116">
        <f>A2A!K9</f>
        <v>64261020.335188009</v>
      </c>
      <c r="Q7" s="111"/>
      <c r="R7" s="112"/>
    </row>
    <row r="8" spans="1:18" ht="11.25" customHeight="1" x14ac:dyDescent="0.25">
      <c r="A8" s="187" t="s">
        <v>2408</v>
      </c>
      <c r="B8" s="55"/>
      <c r="C8" s="76">
        <f>A2A!C23</f>
        <v>0</v>
      </c>
      <c r="D8" s="76">
        <f>A2A!D23</f>
        <v>0</v>
      </c>
      <c r="E8" s="77">
        <f>A2A!E23</f>
        <v>0</v>
      </c>
      <c r="F8" s="78">
        <f>A2A!F23</f>
        <v>0</v>
      </c>
      <c r="G8" s="76">
        <f>A2A!G23</f>
        <v>0</v>
      </c>
      <c r="H8" s="75">
        <f>A2A!H23</f>
        <v>0</v>
      </c>
      <c r="I8" s="79">
        <f>A2A!I23</f>
        <v>0</v>
      </c>
      <c r="J8" s="76">
        <f>A2A!J23</f>
        <v>0</v>
      </c>
      <c r="K8" s="77">
        <f>A2A!K23</f>
        <v>0</v>
      </c>
      <c r="Q8" s="111"/>
      <c r="R8" s="112"/>
    </row>
    <row r="9" spans="1:18" ht="11.25" customHeight="1" x14ac:dyDescent="0.25">
      <c r="A9" s="728" t="s">
        <v>123</v>
      </c>
      <c r="B9" s="55"/>
      <c r="C9" s="86">
        <f>SUM(C10:C14)</f>
        <v>0</v>
      </c>
      <c r="D9" s="86">
        <f t="shared" ref="D9:K9" si="1">SUM(D10:D14)</f>
        <v>9650226</v>
      </c>
      <c r="E9" s="87">
        <f t="shared" si="1"/>
        <v>6723106</v>
      </c>
      <c r="F9" s="88">
        <f t="shared" si="1"/>
        <v>18631713.779999997</v>
      </c>
      <c r="G9" s="86">
        <f t="shared" si="1"/>
        <v>16427687.9</v>
      </c>
      <c r="H9" s="85">
        <f t="shared" si="1"/>
        <v>16427687.9</v>
      </c>
      <c r="I9" s="89">
        <f t="shared" si="1"/>
        <v>18826179.4208638</v>
      </c>
      <c r="J9" s="86">
        <f t="shared" si="1"/>
        <v>19955750.18611563</v>
      </c>
      <c r="K9" s="87">
        <f t="shared" si="1"/>
        <v>21153095.197282568</v>
      </c>
      <c r="Q9" s="111"/>
      <c r="R9" s="112"/>
    </row>
    <row r="10" spans="1:18" ht="11.25" customHeight="1" x14ac:dyDescent="0.25">
      <c r="A10" s="187" t="s">
        <v>124</v>
      </c>
      <c r="B10" s="55"/>
      <c r="C10" s="76">
        <f>A2A!C26</f>
        <v>0</v>
      </c>
      <c r="D10" s="76">
        <f>A2A!D26</f>
        <v>2554503</v>
      </c>
      <c r="E10" s="77">
        <f>A2A!E26</f>
        <v>2598211</v>
      </c>
      <c r="F10" s="78">
        <f>A2A!F26</f>
        <v>12669974.98</v>
      </c>
      <c r="G10" s="76">
        <f>A2A!G26</f>
        <v>13040826.98</v>
      </c>
      <c r="H10" s="75">
        <f>A2A!H26</f>
        <v>13040826.98</v>
      </c>
      <c r="I10" s="79">
        <f>A2A!I26</f>
        <v>15337910.416863799</v>
      </c>
      <c r="J10" s="76">
        <f>A2A!J26</f>
        <v>16258185.041875627</v>
      </c>
      <c r="K10" s="77">
        <f>A2A!K26</f>
        <v>17233676.144388169</v>
      </c>
      <c r="Q10" s="111"/>
      <c r="R10" s="112"/>
    </row>
    <row r="11" spans="1:18" ht="11.25" customHeight="1" x14ac:dyDescent="0.25">
      <c r="A11" s="187" t="s">
        <v>125</v>
      </c>
      <c r="B11" s="55"/>
      <c r="C11" s="76">
        <f>A2A!C48</f>
        <v>0</v>
      </c>
      <c r="D11" s="76">
        <f>A2A!D48</f>
        <v>70627</v>
      </c>
      <c r="E11" s="77">
        <f>A2A!E48</f>
        <v>72672</v>
      </c>
      <c r="F11" s="78">
        <f>A2A!F48</f>
        <v>2497748.7000000002</v>
      </c>
      <c r="G11" s="76">
        <f>A2A!G48</f>
        <v>11645.700000000186</v>
      </c>
      <c r="H11" s="75">
        <f>A2A!H48</f>
        <v>11645.700000000186</v>
      </c>
      <c r="I11" s="79">
        <f>A2A!I48</f>
        <v>15100</v>
      </c>
      <c r="J11" s="76">
        <f>A2A!J48</f>
        <v>16006</v>
      </c>
      <c r="K11" s="77">
        <f>A2A!K48</f>
        <v>16966.36</v>
      </c>
      <c r="Q11" s="111"/>
      <c r="R11" s="112"/>
    </row>
    <row r="12" spans="1:18" ht="11.25" customHeight="1" x14ac:dyDescent="0.25">
      <c r="A12" s="187" t="s">
        <v>126</v>
      </c>
      <c r="B12" s="55"/>
      <c r="C12" s="76">
        <f>A2A!C54</f>
        <v>0</v>
      </c>
      <c r="D12" s="76">
        <f>A2A!D54</f>
        <v>5086488</v>
      </c>
      <c r="E12" s="77">
        <f>A2A!E54</f>
        <v>2547778</v>
      </c>
      <c r="F12" s="78">
        <f>A2A!F54</f>
        <v>2086342.4000000001</v>
      </c>
      <c r="G12" s="76">
        <f>A2A!G54</f>
        <v>1904712.4000000001</v>
      </c>
      <c r="H12" s="75">
        <f>A2A!H54</f>
        <v>1904712.4000000001</v>
      </c>
      <c r="I12" s="79">
        <f>A2A!I54</f>
        <v>2009822.8</v>
      </c>
      <c r="J12" s="76">
        <f>A2A!J54</f>
        <v>2130412.1680000001</v>
      </c>
      <c r="K12" s="77">
        <f>A2A!K54</f>
        <v>2258236.8980800007</v>
      </c>
      <c r="Q12" s="111"/>
      <c r="R12" s="112"/>
    </row>
    <row r="13" spans="1:18" ht="11.25" customHeight="1" x14ac:dyDescent="0.25">
      <c r="A13" s="187" t="s">
        <v>1513</v>
      </c>
      <c r="B13" s="55"/>
      <c r="C13" s="76">
        <f>A2A!C63</f>
        <v>0</v>
      </c>
      <c r="D13" s="76">
        <f>A2A!D63</f>
        <v>731061</v>
      </c>
      <c r="E13" s="77">
        <f>A2A!E63</f>
        <v>296898</v>
      </c>
      <c r="F13" s="78">
        <f>A2A!F63</f>
        <v>97647.88</v>
      </c>
      <c r="G13" s="76">
        <f>A2A!G63</f>
        <v>101378</v>
      </c>
      <c r="H13" s="75">
        <f>A2A!H63</f>
        <v>101378</v>
      </c>
      <c r="I13" s="79">
        <f>A2A!I63</f>
        <v>12073.704</v>
      </c>
      <c r="J13" s="76">
        <f>A2A!J63</f>
        <v>12798.12624</v>
      </c>
      <c r="K13" s="77">
        <f>A2A!K63</f>
        <v>13566.013814400001</v>
      </c>
      <c r="Q13" s="111"/>
      <c r="R13" s="112"/>
    </row>
    <row r="14" spans="1:18" ht="11.25" customHeight="1" x14ac:dyDescent="0.25">
      <c r="A14" s="187" t="s">
        <v>1577</v>
      </c>
      <c r="B14" s="55"/>
      <c r="C14" s="114">
        <f>A2A!C66</f>
        <v>0</v>
      </c>
      <c r="D14" s="114">
        <f>A2A!D66</f>
        <v>1207547</v>
      </c>
      <c r="E14" s="116">
        <f>A2A!E66</f>
        <v>1207547</v>
      </c>
      <c r="F14" s="115">
        <f>A2A!F66</f>
        <v>1279999.82</v>
      </c>
      <c r="G14" s="114">
        <f>A2A!G66</f>
        <v>1369124.82</v>
      </c>
      <c r="H14" s="113">
        <f>A2A!H66</f>
        <v>1369124.82</v>
      </c>
      <c r="I14" s="117">
        <f>A2A!I66</f>
        <v>1451272.5</v>
      </c>
      <c r="J14" s="114">
        <f>A2A!J66</f>
        <v>1538348.85</v>
      </c>
      <c r="K14" s="116">
        <f>A2A!K66</f>
        <v>1630649.7810000002</v>
      </c>
      <c r="Q14" s="111"/>
      <c r="R14" s="112"/>
    </row>
    <row r="15" spans="1:18" ht="11.25" customHeight="1" x14ac:dyDescent="0.25">
      <c r="A15" s="728" t="s">
        <v>127</v>
      </c>
      <c r="B15" s="55"/>
      <c r="C15" s="86">
        <f>SUM(C16:C18)</f>
        <v>0</v>
      </c>
      <c r="D15" s="86">
        <f t="shared" ref="D15:K15" si="2">SUM(D16:D18)</f>
        <v>840733</v>
      </c>
      <c r="E15" s="87">
        <f t="shared" si="2"/>
        <v>469296</v>
      </c>
      <c r="F15" s="88">
        <f t="shared" si="2"/>
        <v>15718221.170400001</v>
      </c>
      <c r="G15" s="86">
        <f t="shared" si="2"/>
        <v>9138531.1704000011</v>
      </c>
      <c r="H15" s="85">
        <f t="shared" si="2"/>
        <v>9138531.1704000011</v>
      </c>
      <c r="I15" s="89">
        <f t="shared" si="2"/>
        <v>18630668.899999999</v>
      </c>
      <c r="J15" s="86">
        <f t="shared" si="2"/>
        <v>19748509.034000002</v>
      </c>
      <c r="K15" s="87">
        <f t="shared" si="2"/>
        <v>20933419.57604</v>
      </c>
      <c r="Q15" s="111"/>
      <c r="R15" s="112"/>
    </row>
    <row r="16" spans="1:18" ht="11.25" customHeight="1" x14ac:dyDescent="0.25">
      <c r="A16" s="187" t="s">
        <v>128</v>
      </c>
      <c r="B16" s="55"/>
      <c r="C16" s="76">
        <f>A2A!C75</f>
        <v>0</v>
      </c>
      <c r="D16" s="76">
        <f>A2A!D75</f>
        <v>538884</v>
      </c>
      <c r="E16" s="77">
        <f>A2A!E75</f>
        <v>200000</v>
      </c>
      <c r="F16" s="78">
        <f>A2A!F75</f>
        <v>2364120.62</v>
      </c>
      <c r="G16" s="76">
        <f>A2A!G75</f>
        <v>2364120.62</v>
      </c>
      <c r="H16" s="75">
        <f>A2A!H75</f>
        <v>2364120.62</v>
      </c>
      <c r="I16" s="79">
        <f>A2A!I75</f>
        <v>3001905.9</v>
      </c>
      <c r="J16" s="76">
        <f>A2A!J75</f>
        <v>3182020.2540000002</v>
      </c>
      <c r="K16" s="77">
        <f>A2A!K75</f>
        <v>3372941.4692400005</v>
      </c>
      <c r="Q16" s="111"/>
      <c r="R16" s="112"/>
    </row>
    <row r="17" spans="1:18" ht="11.25" customHeight="1" x14ac:dyDescent="0.25">
      <c r="A17" s="187" t="s">
        <v>129</v>
      </c>
      <c r="B17" s="55"/>
      <c r="C17" s="76">
        <f>A2A!C86</f>
        <v>0</v>
      </c>
      <c r="D17" s="76">
        <f>A2A!D86</f>
        <v>301849</v>
      </c>
      <c r="E17" s="77">
        <f>A2A!E86</f>
        <v>269296</v>
      </c>
      <c r="F17" s="78">
        <f>A2A!F86</f>
        <v>13354100.5504</v>
      </c>
      <c r="G17" s="76">
        <f>A2A!G86</f>
        <v>6774410.5504000001</v>
      </c>
      <c r="H17" s="75">
        <f>A2A!H86</f>
        <v>6774410.5504000001</v>
      </c>
      <c r="I17" s="79">
        <f>A2A!I86</f>
        <v>15628763</v>
      </c>
      <c r="J17" s="76">
        <f>A2A!J86</f>
        <v>16566488.780000001</v>
      </c>
      <c r="K17" s="77">
        <f>A2A!K86</f>
        <v>17560478.106800001</v>
      </c>
      <c r="Q17" s="111"/>
      <c r="R17" s="112"/>
    </row>
    <row r="18" spans="1:18" ht="11.25" customHeight="1" x14ac:dyDescent="0.25">
      <c r="A18" s="187" t="s">
        <v>130</v>
      </c>
      <c r="B18" s="55"/>
      <c r="C18" s="76">
        <f>A2A!C91</f>
        <v>0</v>
      </c>
      <c r="D18" s="76">
        <f>A2A!D91</f>
        <v>0</v>
      </c>
      <c r="E18" s="77">
        <f>A2A!E91</f>
        <v>0</v>
      </c>
      <c r="F18" s="78">
        <f>A2A!F91</f>
        <v>0</v>
      </c>
      <c r="G18" s="76">
        <f>A2A!G91</f>
        <v>0</v>
      </c>
      <c r="H18" s="75">
        <f>A2A!H91</f>
        <v>0</v>
      </c>
      <c r="I18" s="79">
        <f>A2A!I91</f>
        <v>0</v>
      </c>
      <c r="J18" s="76">
        <f>A2A!J91</f>
        <v>0</v>
      </c>
      <c r="K18" s="77">
        <f>A2A!K91</f>
        <v>0</v>
      </c>
      <c r="Q18" s="111"/>
      <c r="R18" s="112"/>
    </row>
    <row r="19" spans="1:18" ht="11.25" customHeight="1" x14ac:dyDescent="0.25">
      <c r="A19" s="728" t="s">
        <v>131</v>
      </c>
      <c r="B19" s="55"/>
      <c r="C19" s="86">
        <f>SUM(C20:C23)</f>
        <v>0</v>
      </c>
      <c r="D19" s="86">
        <f t="shared" ref="D19:K19" si="3">SUM(D20:D23)</f>
        <v>186006475</v>
      </c>
      <c r="E19" s="87">
        <f t="shared" si="3"/>
        <v>213999188</v>
      </c>
      <c r="F19" s="88">
        <f t="shared" si="3"/>
        <v>239905005.75559998</v>
      </c>
      <c r="G19" s="86">
        <f t="shared" si="3"/>
        <v>280447022.93559998</v>
      </c>
      <c r="H19" s="85">
        <f t="shared" si="3"/>
        <v>280447022.93559998</v>
      </c>
      <c r="I19" s="89">
        <f t="shared" si="3"/>
        <v>291147977.18897253</v>
      </c>
      <c r="J19" s="86">
        <f>SUM(J20:J23)</f>
        <v>308616855.82031089</v>
      </c>
      <c r="K19" s="87">
        <f t="shared" si="3"/>
        <v>327133867.16952956</v>
      </c>
      <c r="Q19" s="111"/>
      <c r="R19" s="112"/>
    </row>
    <row r="20" spans="1:18" ht="11.25" customHeight="1" x14ac:dyDescent="0.25">
      <c r="A20" s="187" t="s">
        <v>2409</v>
      </c>
      <c r="B20" s="55"/>
      <c r="C20" s="76">
        <f>A2A!C99</f>
        <v>0</v>
      </c>
      <c r="D20" s="76">
        <f>A2A!D99</f>
        <v>88506858</v>
      </c>
      <c r="E20" s="77">
        <f>A2A!E99</f>
        <v>111994059</v>
      </c>
      <c r="F20" s="78">
        <f>A2A!F99</f>
        <v>119089977.8434</v>
      </c>
      <c r="G20" s="76">
        <f>A2A!G99</f>
        <v>134036640.8434</v>
      </c>
      <c r="H20" s="75">
        <f>A2A!H99</f>
        <v>134036640.8434</v>
      </c>
      <c r="I20" s="79">
        <f>A2A!I99</f>
        <v>145976030.86761701</v>
      </c>
      <c r="J20" s="76">
        <f>A2A!J99</f>
        <v>154734592.71967405</v>
      </c>
      <c r="K20" s="77">
        <f>A2A!K99</f>
        <v>164018668.2828545</v>
      </c>
      <c r="Q20" s="111"/>
      <c r="R20" s="112"/>
    </row>
    <row r="21" spans="1:18" ht="11.25" customHeight="1" x14ac:dyDescent="0.25">
      <c r="A21" s="187" t="s">
        <v>2410</v>
      </c>
      <c r="B21" s="55"/>
      <c r="C21" s="76">
        <f>A2A!C103</f>
        <v>0</v>
      </c>
      <c r="D21" s="76">
        <f>A2A!D103</f>
        <v>68815391</v>
      </c>
      <c r="E21" s="77">
        <f>A2A!E103</f>
        <v>43622498</v>
      </c>
      <c r="F21" s="78">
        <f>A2A!F103</f>
        <v>69327900.092199996</v>
      </c>
      <c r="G21" s="76">
        <f>A2A!G103</f>
        <v>92245630.092199996</v>
      </c>
      <c r="H21" s="75">
        <f>A2A!H103</f>
        <v>92245630.092199996</v>
      </c>
      <c r="I21" s="79">
        <f>A2A!I103</f>
        <v>70222539.610263899</v>
      </c>
      <c r="J21" s="76">
        <f>A2A!J103</f>
        <v>74435891.986879736</v>
      </c>
      <c r="K21" s="77">
        <f>A2A!K103</f>
        <v>78902045.506092519</v>
      </c>
      <c r="Q21" s="111"/>
      <c r="R21" s="112"/>
    </row>
    <row r="22" spans="1:18" ht="11.25" customHeight="1" x14ac:dyDescent="0.25">
      <c r="A22" s="187" t="s">
        <v>1001</v>
      </c>
      <c r="B22" s="55"/>
      <c r="C22" s="114">
        <f>A2A!C107</f>
        <v>0</v>
      </c>
      <c r="D22" s="114">
        <f>A2A!D107</f>
        <v>24426803</v>
      </c>
      <c r="E22" s="116">
        <f>A2A!E107</f>
        <v>40444372</v>
      </c>
      <c r="F22" s="115">
        <f>A2A!F107</f>
        <v>25063937.82</v>
      </c>
      <c r="G22" s="114">
        <f>A2A!G107</f>
        <v>25029734</v>
      </c>
      <c r="H22" s="113">
        <f>A2A!H107</f>
        <v>25029734</v>
      </c>
      <c r="I22" s="117">
        <f>A2A!I107</f>
        <v>34225060.554612502</v>
      </c>
      <c r="J22" s="114">
        <f>A2A!J107</f>
        <v>36278564.187889256</v>
      </c>
      <c r="K22" s="116">
        <f>A2A!K107</f>
        <v>38455278.039162613</v>
      </c>
      <c r="Q22" s="111"/>
      <c r="R22" s="112"/>
    </row>
    <row r="23" spans="1:18" ht="11.25" customHeight="1" x14ac:dyDescent="0.25">
      <c r="A23" s="187" t="s">
        <v>1002</v>
      </c>
      <c r="B23" s="55"/>
      <c r="C23" s="76">
        <f>A2A!C112</f>
        <v>0</v>
      </c>
      <c r="D23" s="76">
        <f>A2A!D112</f>
        <v>4257423</v>
      </c>
      <c r="E23" s="77">
        <f>A2A!E112</f>
        <v>17938259</v>
      </c>
      <c r="F23" s="78">
        <f>A2A!F112</f>
        <v>26423190</v>
      </c>
      <c r="G23" s="76">
        <f>A2A!G112</f>
        <v>29135018</v>
      </c>
      <c r="H23" s="75">
        <f>A2A!H112</f>
        <v>29135018</v>
      </c>
      <c r="I23" s="79">
        <f>A2A!I112</f>
        <v>40724346.156479098</v>
      </c>
      <c r="J23" s="76">
        <f>A2A!J112</f>
        <v>43167806.925867848</v>
      </c>
      <c r="K23" s="77">
        <f>A2A!K112</f>
        <v>45757875.34141992</v>
      </c>
      <c r="Q23" s="111"/>
      <c r="R23" s="112"/>
    </row>
    <row r="24" spans="1:18" ht="11.25" customHeight="1" x14ac:dyDescent="0.25">
      <c r="A24" s="728" t="s">
        <v>246</v>
      </c>
      <c r="B24" s="55">
        <v>4</v>
      </c>
      <c r="C24" s="86">
        <f>A2A!C117</f>
        <v>0</v>
      </c>
      <c r="D24" s="86">
        <f>A2A!D117</f>
        <v>91313</v>
      </c>
      <c r="E24" s="87">
        <f>A2A!E117</f>
        <v>162926</v>
      </c>
      <c r="F24" s="88">
        <f>A2A!F117</f>
        <v>585021</v>
      </c>
      <c r="G24" s="86">
        <f>A2A!G117</f>
        <v>585021</v>
      </c>
      <c r="H24" s="85">
        <f>A2A!H117</f>
        <v>585021</v>
      </c>
      <c r="I24" s="89">
        <f>A2A!I117</f>
        <v>398405</v>
      </c>
      <c r="J24" s="86">
        <f>A2A!J117</f>
        <v>422309.30000000005</v>
      </c>
      <c r="K24" s="87">
        <f>A2A!K117</f>
        <v>447647.85800000007</v>
      </c>
      <c r="Q24" s="109"/>
      <c r="R24" s="112"/>
    </row>
    <row r="25" spans="1:18" ht="11.25" customHeight="1" x14ac:dyDescent="0.25">
      <c r="A25" s="175" t="str">
        <f>"Total "&amp;A4</f>
        <v>Total Revenue - Functional</v>
      </c>
      <c r="B25" s="176">
        <v>2</v>
      </c>
      <c r="C25" s="122">
        <f>C5+C9+C15+C19+C24</f>
        <v>0</v>
      </c>
      <c r="D25" s="122">
        <f>D5+D9+D15+D19+D24</f>
        <v>330440712</v>
      </c>
      <c r="E25" s="123">
        <f t="shared" ref="E25:K25" si="4">E5+E9+E15+E19+E24</f>
        <v>376263458</v>
      </c>
      <c r="F25" s="124">
        <f t="shared" si="4"/>
        <v>342318904.5402</v>
      </c>
      <c r="G25" s="122">
        <f t="shared" si="4"/>
        <v>373756321.01619995</v>
      </c>
      <c r="H25" s="121">
        <f t="shared" si="4"/>
        <v>373756321.01619995</v>
      </c>
      <c r="I25" s="125">
        <f>I5+I9+I15+I19+I24</f>
        <v>393212328.37799966</v>
      </c>
      <c r="J25" s="122">
        <f t="shared" si="4"/>
        <v>416805068.08067966</v>
      </c>
      <c r="K25" s="123">
        <f t="shared" si="4"/>
        <v>441813372.16552043</v>
      </c>
      <c r="Q25" s="119"/>
      <c r="R25" s="120"/>
    </row>
    <row r="26" spans="1:18" ht="4.9000000000000004" customHeight="1" x14ac:dyDescent="0.25">
      <c r="A26" s="74"/>
      <c r="B26" s="55"/>
      <c r="C26" s="76"/>
      <c r="D26" s="76"/>
      <c r="E26" s="77"/>
      <c r="F26" s="78"/>
      <c r="G26" s="76"/>
      <c r="H26" s="75"/>
      <c r="I26" s="79"/>
      <c r="J26" s="76"/>
      <c r="K26" s="77"/>
      <c r="Q26" s="109"/>
    </row>
    <row r="27" spans="1:18" ht="11.25" customHeight="1" x14ac:dyDescent="0.25">
      <c r="A27" s="54" t="s">
        <v>2490</v>
      </c>
      <c r="B27" s="138"/>
      <c r="C27" s="76"/>
      <c r="D27" s="76"/>
      <c r="E27" s="77"/>
      <c r="F27" s="78"/>
      <c r="G27" s="76"/>
      <c r="H27" s="75"/>
      <c r="I27" s="79"/>
      <c r="J27" s="76"/>
      <c r="K27" s="77"/>
      <c r="Q27" s="109"/>
    </row>
    <row r="28" spans="1:18" ht="11.25" customHeight="1" x14ac:dyDescent="0.25">
      <c r="A28" s="728" t="s">
        <v>999</v>
      </c>
      <c r="B28" s="55"/>
      <c r="C28" s="86">
        <f>SUM(C29:C31)</f>
        <v>0</v>
      </c>
      <c r="D28" s="86">
        <f t="shared" ref="D28:K28" si="5">SUM(D29:D31)</f>
        <v>126003029</v>
      </c>
      <c r="E28" s="823">
        <f t="shared" si="5"/>
        <v>196667434</v>
      </c>
      <c r="F28" s="89">
        <f t="shared" si="5"/>
        <v>103407364.27379401</v>
      </c>
      <c r="G28" s="86">
        <f t="shared" si="5"/>
        <v>92891122.753794</v>
      </c>
      <c r="H28" s="392">
        <f t="shared" si="5"/>
        <v>92891122.753794</v>
      </c>
      <c r="I28" s="824">
        <f t="shared" si="5"/>
        <v>98582813</v>
      </c>
      <c r="J28" s="86">
        <f t="shared" si="5"/>
        <v>104497781.78</v>
      </c>
      <c r="K28" s="392">
        <f t="shared" si="5"/>
        <v>110767648.68680002</v>
      </c>
    </row>
    <row r="29" spans="1:18" ht="11.25" customHeight="1" x14ac:dyDescent="0.25">
      <c r="A29" s="187" t="s">
        <v>120</v>
      </c>
      <c r="B29" s="55"/>
      <c r="C29" s="76">
        <f>A2A!C128</f>
        <v>0</v>
      </c>
      <c r="D29" s="76">
        <f>A2A!D128</f>
        <v>28874400</v>
      </c>
      <c r="E29" s="77">
        <f>A2A!E128</f>
        <v>38821429</v>
      </c>
      <c r="F29" s="78">
        <f>A2A!F128</f>
        <v>21080479.260599997</v>
      </c>
      <c r="G29" s="76">
        <f>A2A!G128</f>
        <v>25656650.080599997</v>
      </c>
      <c r="H29" s="75">
        <f>A2A!H128</f>
        <v>25656650.080599997</v>
      </c>
      <c r="I29" s="79">
        <f>A2A!I128</f>
        <v>27041140</v>
      </c>
      <c r="J29" s="76">
        <f>A2A!J128</f>
        <v>28663608.399999999</v>
      </c>
      <c r="K29" s="77">
        <f>A2A!K128</f>
        <v>30383424.904000003</v>
      </c>
    </row>
    <row r="30" spans="1:18" ht="11.25" customHeight="1" x14ac:dyDescent="0.25">
      <c r="A30" s="187" t="s">
        <v>2412</v>
      </c>
      <c r="B30" s="55"/>
      <c r="C30" s="114">
        <f>A2A!C131</f>
        <v>0</v>
      </c>
      <c r="D30" s="114">
        <f>A2A!D131</f>
        <v>97128629</v>
      </c>
      <c r="E30" s="116">
        <f>A2A!E131</f>
        <v>157846005</v>
      </c>
      <c r="F30" s="115">
        <f>A2A!F131</f>
        <v>80643582.90319401</v>
      </c>
      <c r="G30" s="114">
        <f>A2A!G131</f>
        <v>66439854.083193995</v>
      </c>
      <c r="H30" s="113">
        <f>A2A!H131</f>
        <v>66439854.083193995</v>
      </c>
      <c r="I30" s="117">
        <f>A2A!I131</f>
        <v>70616900</v>
      </c>
      <c r="J30" s="114">
        <f>A2A!J131</f>
        <v>74853914</v>
      </c>
      <c r="K30" s="116">
        <f>A2A!K131</f>
        <v>79345148.840000018</v>
      </c>
    </row>
    <row r="31" spans="1:18" ht="11.25" customHeight="1" x14ac:dyDescent="0.25">
      <c r="A31" s="187" t="s">
        <v>2408</v>
      </c>
      <c r="B31" s="55"/>
      <c r="C31" s="76">
        <f>A2A!C145</f>
        <v>0</v>
      </c>
      <c r="D31" s="76">
        <f>A2A!D145</f>
        <v>0</v>
      </c>
      <c r="E31" s="77">
        <f>A2A!E145</f>
        <v>0</v>
      </c>
      <c r="F31" s="78">
        <f>A2A!F145</f>
        <v>1683302.1099999999</v>
      </c>
      <c r="G31" s="76">
        <f>A2A!G145</f>
        <v>794618.58999999985</v>
      </c>
      <c r="H31" s="75">
        <f>A2A!H145</f>
        <v>794618.58999999985</v>
      </c>
      <c r="I31" s="79">
        <f>A2A!I145</f>
        <v>924773</v>
      </c>
      <c r="J31" s="76">
        <f>A2A!J145</f>
        <v>980259.38</v>
      </c>
      <c r="K31" s="77">
        <f>A2A!K145</f>
        <v>1039074.9428000001</v>
      </c>
    </row>
    <row r="32" spans="1:18" ht="11.25" customHeight="1" x14ac:dyDescent="0.25">
      <c r="A32" s="728" t="s">
        <v>123</v>
      </c>
      <c r="B32" s="55"/>
      <c r="C32" s="86">
        <f>SUM(C33:C37)</f>
        <v>0</v>
      </c>
      <c r="D32" s="86">
        <f t="shared" ref="D32:K32" si="6">SUM(D33:D37)</f>
        <v>27974224</v>
      </c>
      <c r="E32" s="87">
        <f t="shared" si="6"/>
        <v>36277669</v>
      </c>
      <c r="F32" s="88">
        <f t="shared" si="6"/>
        <v>29460547.564520001</v>
      </c>
      <c r="G32" s="86">
        <f t="shared" si="6"/>
        <v>35283137.374520004</v>
      </c>
      <c r="H32" s="85">
        <f t="shared" si="6"/>
        <v>35283137.374520004</v>
      </c>
      <c r="I32" s="89">
        <f t="shared" si="6"/>
        <v>35070010</v>
      </c>
      <c r="J32" s="86">
        <f t="shared" si="6"/>
        <v>37174210.600000001</v>
      </c>
      <c r="K32" s="87">
        <f t="shared" si="6"/>
        <v>39404663.236000001</v>
      </c>
    </row>
    <row r="33" spans="1:17" ht="11.25" customHeight="1" x14ac:dyDescent="0.25">
      <c r="A33" s="187" t="s">
        <v>124</v>
      </c>
      <c r="B33" s="55"/>
      <c r="C33" s="76">
        <f>A2A!C148</f>
        <v>0</v>
      </c>
      <c r="D33" s="76">
        <f>A2A!D148</f>
        <v>4114068</v>
      </c>
      <c r="E33" s="77">
        <f>A2A!E148</f>
        <v>5454790</v>
      </c>
      <c r="F33" s="78">
        <f>A2A!F148</f>
        <v>6294346.9266800005</v>
      </c>
      <c r="G33" s="76">
        <f>A2A!G148</f>
        <v>7181674.4666800005</v>
      </c>
      <c r="H33" s="75">
        <f>A2A!H148</f>
        <v>7181674.4666800005</v>
      </c>
      <c r="I33" s="79">
        <f>A2A!I148</f>
        <v>6442410</v>
      </c>
      <c r="J33" s="76">
        <f>A2A!J148</f>
        <v>6828954.6000000006</v>
      </c>
      <c r="K33" s="77">
        <f>A2A!K148</f>
        <v>7238691.8760000002</v>
      </c>
    </row>
    <row r="34" spans="1:17" ht="11.25" customHeight="1" x14ac:dyDescent="0.25">
      <c r="A34" s="187" t="s">
        <v>125</v>
      </c>
      <c r="B34" s="55"/>
      <c r="C34" s="76">
        <f>A2A!C170</f>
        <v>0</v>
      </c>
      <c r="D34" s="76">
        <f>A2A!D170</f>
        <v>13489439</v>
      </c>
      <c r="E34" s="77">
        <f>A2A!E170</f>
        <v>14929522</v>
      </c>
      <c r="F34" s="78">
        <f>A2A!F170</f>
        <v>16383682.845960001</v>
      </c>
      <c r="G34" s="76">
        <f>A2A!G170</f>
        <v>16680546.44596</v>
      </c>
      <c r="H34" s="75">
        <f>A2A!H170</f>
        <v>16680546.44596</v>
      </c>
      <c r="I34" s="79">
        <f>A2A!I170</f>
        <v>17094767</v>
      </c>
      <c r="J34" s="76">
        <f>A2A!J170</f>
        <v>18120453.02</v>
      </c>
      <c r="K34" s="77">
        <f>A2A!K170</f>
        <v>19207680.201200001</v>
      </c>
    </row>
    <row r="35" spans="1:17" ht="11.25" customHeight="1" x14ac:dyDescent="0.25">
      <c r="A35" s="187" t="s">
        <v>126</v>
      </c>
      <c r="B35" s="55"/>
      <c r="C35" s="76">
        <f>A2A!C176</f>
        <v>0</v>
      </c>
      <c r="D35" s="76">
        <f>A2A!D176</f>
        <v>7552278</v>
      </c>
      <c r="E35" s="77">
        <f>A2A!E176</f>
        <v>11980715</v>
      </c>
      <c r="F35" s="78">
        <f>A2A!F176</f>
        <v>3890433.9640000002</v>
      </c>
      <c r="G35" s="76">
        <f>A2A!G176</f>
        <v>7246908.7040000008</v>
      </c>
      <c r="H35" s="75">
        <f>A2A!H176</f>
        <v>7246908.7040000008</v>
      </c>
      <c r="I35" s="79">
        <f>A2A!I176</f>
        <v>7269824</v>
      </c>
      <c r="J35" s="76">
        <f>A2A!J176</f>
        <v>7706013.4399999995</v>
      </c>
      <c r="K35" s="77">
        <f>A2A!K176</f>
        <v>8168374.2464000005</v>
      </c>
    </row>
    <row r="36" spans="1:17" ht="11.25" customHeight="1" x14ac:dyDescent="0.25">
      <c r="A36" s="187" t="s">
        <v>1513</v>
      </c>
      <c r="B36" s="55"/>
      <c r="C36" s="76">
        <f>A2A!C185</f>
        <v>0</v>
      </c>
      <c r="D36" s="76">
        <f>A2A!D185</f>
        <v>0</v>
      </c>
      <c r="E36" s="77">
        <f>A2A!E185</f>
        <v>0</v>
      </c>
      <c r="F36" s="78">
        <f>A2A!F185</f>
        <v>1336380.8899999999</v>
      </c>
      <c r="G36" s="76">
        <f>A2A!G185</f>
        <v>0</v>
      </c>
      <c r="H36" s="75">
        <f>A2A!H185</f>
        <v>0</v>
      </c>
      <c r="I36" s="79">
        <f>A2A!I185</f>
        <v>9603</v>
      </c>
      <c r="J36" s="76">
        <f>A2A!J185</f>
        <v>10179.18</v>
      </c>
      <c r="K36" s="77">
        <f>A2A!K185</f>
        <v>10789.9308</v>
      </c>
    </row>
    <row r="37" spans="1:17" ht="11.25" customHeight="1" x14ac:dyDescent="0.25">
      <c r="A37" s="187" t="s">
        <v>1577</v>
      </c>
      <c r="B37" s="55"/>
      <c r="C37" s="114">
        <f>A2A!C188</f>
        <v>0</v>
      </c>
      <c r="D37" s="114">
        <f>A2A!D188</f>
        <v>2818439</v>
      </c>
      <c r="E37" s="116">
        <f>A2A!E188</f>
        <v>3912642</v>
      </c>
      <c r="F37" s="115">
        <f>A2A!F188</f>
        <v>1555702.9378799996</v>
      </c>
      <c r="G37" s="114">
        <f>A2A!G188</f>
        <v>4174007.7578799995</v>
      </c>
      <c r="H37" s="113">
        <f>A2A!H188</f>
        <v>4174007.7578799995</v>
      </c>
      <c r="I37" s="117">
        <f>A2A!I188</f>
        <v>4253406</v>
      </c>
      <c r="J37" s="114">
        <f>A2A!J188</f>
        <v>4508610.3600000003</v>
      </c>
      <c r="K37" s="116">
        <f>A2A!K188</f>
        <v>4779126.9816000005</v>
      </c>
    </row>
    <row r="38" spans="1:17" ht="11.25" customHeight="1" x14ac:dyDescent="0.25">
      <c r="A38" s="728" t="s">
        <v>127</v>
      </c>
      <c r="B38" s="55"/>
      <c r="C38" s="86">
        <f>SUM(C39:C41)</f>
        <v>0</v>
      </c>
      <c r="D38" s="86">
        <f t="shared" ref="D38:K38" si="7">SUM(D39:D41)</f>
        <v>22681727</v>
      </c>
      <c r="E38" s="87">
        <f t="shared" si="7"/>
        <v>27631735</v>
      </c>
      <c r="F38" s="88">
        <f t="shared" si="7"/>
        <v>43062261.697349995</v>
      </c>
      <c r="G38" s="86">
        <f t="shared" si="7"/>
        <v>42997870.06735</v>
      </c>
      <c r="H38" s="85">
        <f t="shared" si="7"/>
        <v>42997870.06735</v>
      </c>
      <c r="I38" s="89">
        <f t="shared" si="7"/>
        <v>45515754</v>
      </c>
      <c r="J38" s="86">
        <f t="shared" si="7"/>
        <v>48246699.240000002</v>
      </c>
      <c r="K38" s="87">
        <f t="shared" si="7"/>
        <v>51141501.194400005</v>
      </c>
    </row>
    <row r="39" spans="1:17" ht="11.25" customHeight="1" x14ac:dyDescent="0.25">
      <c r="A39" s="187" t="s">
        <v>128</v>
      </c>
      <c r="B39" s="55"/>
      <c r="C39" s="76">
        <f>A2A!C197</f>
        <v>0</v>
      </c>
      <c r="D39" s="76">
        <f>A2A!D197</f>
        <v>2522410</v>
      </c>
      <c r="E39" s="77">
        <f>A2A!E197</f>
        <v>2579622</v>
      </c>
      <c r="F39" s="78">
        <f>A2A!F197</f>
        <v>12263095.19235</v>
      </c>
      <c r="G39" s="76">
        <f>A2A!G197</f>
        <v>14810096.46235</v>
      </c>
      <c r="H39" s="75">
        <f>A2A!H197</f>
        <v>14810096.46235</v>
      </c>
      <c r="I39" s="79">
        <f>A2A!I197</f>
        <v>16634362</v>
      </c>
      <c r="J39" s="76">
        <f>A2A!J197</f>
        <v>17632423.720000003</v>
      </c>
      <c r="K39" s="77">
        <f>A2A!K197</f>
        <v>18690369.143200003</v>
      </c>
    </row>
    <row r="40" spans="1:17" ht="11.25" customHeight="1" x14ac:dyDescent="0.25">
      <c r="A40" s="187" t="s">
        <v>129</v>
      </c>
      <c r="B40" s="55"/>
      <c r="C40" s="76">
        <f>A2A!C208</f>
        <v>0</v>
      </c>
      <c r="D40" s="76">
        <f>A2A!D208</f>
        <v>20159317</v>
      </c>
      <c r="E40" s="77">
        <f>A2A!E208</f>
        <v>25052113</v>
      </c>
      <c r="F40" s="78">
        <f>A2A!F208</f>
        <v>30799166.504999999</v>
      </c>
      <c r="G40" s="76">
        <f>A2A!G208</f>
        <v>28187773.605</v>
      </c>
      <c r="H40" s="75">
        <f>A2A!H208</f>
        <v>28187773.605</v>
      </c>
      <c r="I40" s="79">
        <f>A2A!I208</f>
        <v>28881392</v>
      </c>
      <c r="J40" s="76">
        <f>A2A!J208</f>
        <v>30614275.52</v>
      </c>
      <c r="K40" s="77">
        <f>A2A!K208</f>
        <v>32451132.051200002</v>
      </c>
    </row>
    <row r="41" spans="1:17" ht="11.25" customHeight="1" x14ac:dyDescent="0.25">
      <c r="A41" s="187" t="s">
        <v>130</v>
      </c>
      <c r="B41" s="55"/>
      <c r="C41" s="76">
        <f>A2A!C213</f>
        <v>0</v>
      </c>
      <c r="D41" s="76">
        <f>A2A!D213</f>
        <v>0</v>
      </c>
      <c r="E41" s="77">
        <f>A2A!E213</f>
        <v>0</v>
      </c>
      <c r="F41" s="78">
        <f>A2A!F213</f>
        <v>0</v>
      </c>
      <c r="G41" s="76">
        <f>A2A!G213</f>
        <v>0</v>
      </c>
      <c r="H41" s="75">
        <f>A2A!H213</f>
        <v>0</v>
      </c>
      <c r="I41" s="79">
        <f>A2A!I213</f>
        <v>0</v>
      </c>
      <c r="J41" s="76">
        <f>A2A!J213</f>
        <v>0</v>
      </c>
      <c r="K41" s="77">
        <f>A2A!K213</f>
        <v>0</v>
      </c>
    </row>
    <row r="42" spans="1:17" ht="11.25" customHeight="1" x14ac:dyDescent="0.25">
      <c r="A42" s="728" t="s">
        <v>131</v>
      </c>
      <c r="B42" s="55"/>
      <c r="C42" s="86">
        <f>SUM(C43:C46)</f>
        <v>0</v>
      </c>
      <c r="D42" s="86">
        <f t="shared" ref="D42:J42" si="8">SUM(D43:D46)</f>
        <v>196083574</v>
      </c>
      <c r="E42" s="87">
        <f t="shared" si="8"/>
        <v>157063166</v>
      </c>
      <c r="F42" s="88">
        <f>SUM(F43:F46)</f>
        <v>187320461.11563429</v>
      </c>
      <c r="G42" s="86">
        <f t="shared" si="8"/>
        <v>207277292.12563428</v>
      </c>
      <c r="H42" s="85">
        <f t="shared" si="8"/>
        <v>207277292.12563428</v>
      </c>
      <c r="I42" s="89">
        <f t="shared" si="8"/>
        <v>211420877.5</v>
      </c>
      <c r="J42" s="86">
        <f t="shared" si="8"/>
        <v>224106130.14999998</v>
      </c>
      <c r="K42" s="87">
        <f>SUM(K43:K46)</f>
        <v>237552497.95900005</v>
      </c>
    </row>
    <row r="43" spans="1:17" ht="11.25" customHeight="1" x14ac:dyDescent="0.25">
      <c r="A43" s="187" t="s">
        <v>2409</v>
      </c>
      <c r="B43" s="55"/>
      <c r="C43" s="76">
        <f>A2A!C221</f>
        <v>0</v>
      </c>
      <c r="D43" s="76">
        <f>A2A!D221</f>
        <v>95440746</v>
      </c>
      <c r="E43" s="77">
        <f>A2A!E221</f>
        <v>101676552</v>
      </c>
      <c r="F43" s="78">
        <f>A2A!F221</f>
        <v>105512730.54064001</v>
      </c>
      <c r="G43" s="76">
        <f>A2A!G221</f>
        <v>105090646.64064001</v>
      </c>
      <c r="H43" s="75">
        <f>A2A!H221</f>
        <v>105090646.64064001</v>
      </c>
      <c r="I43" s="79">
        <f>A2A!I221</f>
        <v>114534626</v>
      </c>
      <c r="J43" s="76">
        <f>A2A!J221</f>
        <v>121406703.56</v>
      </c>
      <c r="K43" s="77">
        <f>A2A!K221</f>
        <v>128691105.77360001</v>
      </c>
    </row>
    <row r="44" spans="1:17" ht="11.25" customHeight="1" x14ac:dyDescent="0.25">
      <c r="A44" s="187" t="s">
        <v>2410</v>
      </c>
      <c r="B44" s="55"/>
      <c r="C44" s="76">
        <f>A2A!C225</f>
        <v>0</v>
      </c>
      <c r="D44" s="76">
        <f>A2A!D225</f>
        <v>44706398</v>
      </c>
      <c r="E44" s="77">
        <f>A2A!E225</f>
        <v>22363876</v>
      </c>
      <c r="F44" s="78">
        <f>A2A!F225</f>
        <v>44178027.026079997</v>
      </c>
      <c r="G44" s="76">
        <f>A2A!G225</f>
        <v>57064301.866080001</v>
      </c>
      <c r="H44" s="75">
        <f>A2A!H225</f>
        <v>57064301.866080001</v>
      </c>
      <c r="I44" s="79">
        <f>A2A!I225</f>
        <v>52756271</v>
      </c>
      <c r="J44" s="76">
        <f>A2A!J225</f>
        <v>55921647.260000005</v>
      </c>
      <c r="K44" s="77">
        <f>A2A!K225</f>
        <v>59276946.095600009</v>
      </c>
    </row>
    <row r="45" spans="1:17" ht="11.25" customHeight="1" x14ac:dyDescent="0.25">
      <c r="A45" s="187" t="s">
        <v>1001</v>
      </c>
      <c r="B45" s="55"/>
      <c r="C45" s="114">
        <f>A2A!C229</f>
        <v>0</v>
      </c>
      <c r="D45" s="114">
        <f>A2A!D229</f>
        <v>42195017</v>
      </c>
      <c r="E45" s="116">
        <f>A2A!E229</f>
        <v>8788350</v>
      </c>
      <c r="F45" s="115">
        <f>A2A!F229</f>
        <v>21938625.615714282</v>
      </c>
      <c r="G45" s="114">
        <f>A2A!G229</f>
        <v>28790232.125714283</v>
      </c>
      <c r="H45" s="113">
        <f>A2A!H229</f>
        <v>28790232.125714283</v>
      </c>
      <c r="I45" s="117">
        <f>A2A!I229</f>
        <v>28194021</v>
      </c>
      <c r="J45" s="114">
        <f>A2A!J229</f>
        <v>29885662.260000002</v>
      </c>
      <c r="K45" s="116">
        <f>A2A!K229</f>
        <v>31678801.995600004</v>
      </c>
    </row>
    <row r="46" spans="1:17" ht="11.25" customHeight="1" x14ac:dyDescent="0.25">
      <c r="A46" s="187" t="s">
        <v>1002</v>
      </c>
      <c r="B46" s="55"/>
      <c r="C46" s="76">
        <f>A2A!C234</f>
        <v>0</v>
      </c>
      <c r="D46" s="76">
        <f>A2A!D234</f>
        <v>13741413</v>
      </c>
      <c r="E46" s="77">
        <f>A2A!E234</f>
        <v>24234388</v>
      </c>
      <c r="F46" s="78">
        <f>A2A!F234</f>
        <v>15691077.933200002</v>
      </c>
      <c r="G46" s="76">
        <f>A2A!G234</f>
        <v>16332111.493200002</v>
      </c>
      <c r="H46" s="75">
        <f>A2A!H234</f>
        <v>16332111.493200002</v>
      </c>
      <c r="I46" s="79">
        <f>A2A!I234</f>
        <v>15935959.5</v>
      </c>
      <c r="J46" s="76">
        <f>A2A!J234</f>
        <v>16892117.07</v>
      </c>
      <c r="K46" s="77">
        <f>A2A!K234</f>
        <v>17905644.0942</v>
      </c>
    </row>
    <row r="47" spans="1:17" ht="11.25" customHeight="1" x14ac:dyDescent="0.25">
      <c r="A47" s="728" t="s">
        <v>246</v>
      </c>
      <c r="B47" s="55">
        <v>4</v>
      </c>
      <c r="C47" s="86">
        <f>A2A!C239</f>
        <v>0</v>
      </c>
      <c r="D47" s="86">
        <f>A2A!D239</f>
        <v>1425032</v>
      </c>
      <c r="E47" s="87">
        <f>A2A!E239</f>
        <v>1877285</v>
      </c>
      <c r="F47" s="88">
        <f>A2A!F239</f>
        <v>2800463.9235</v>
      </c>
      <c r="G47" s="86">
        <f>A2A!G239</f>
        <v>2862875.3435</v>
      </c>
      <c r="H47" s="85">
        <f>A2A!H239</f>
        <v>2862875.3435</v>
      </c>
      <c r="I47" s="89">
        <f>A2A!I239</f>
        <v>2070401</v>
      </c>
      <c r="J47" s="86">
        <f>A2A!J239</f>
        <v>2194625.06</v>
      </c>
      <c r="K47" s="87">
        <f>A2A!K239</f>
        <v>2326302.5636000005</v>
      </c>
    </row>
    <row r="48" spans="1:17" ht="11.25" customHeight="1" x14ac:dyDescent="0.25">
      <c r="A48" s="175" t="str">
        <f>"Total "&amp;A27</f>
        <v>Total Expenditure - Functional</v>
      </c>
      <c r="B48" s="176">
        <v>3</v>
      </c>
      <c r="C48" s="122">
        <f>C28+C32+C38+C42+C47</f>
        <v>0</v>
      </c>
      <c r="D48" s="122">
        <f>D28+D32+D38+D42+D47</f>
        <v>374167586</v>
      </c>
      <c r="E48" s="123">
        <f>E28+E32+E38+E42+E47</f>
        <v>419517289</v>
      </c>
      <c r="F48" s="124">
        <f t="shared" ref="F48:K48" si="9">F28+F32+F38+F42+F47</f>
        <v>366051098.57479829</v>
      </c>
      <c r="G48" s="122">
        <f t="shared" si="9"/>
        <v>381312297.66479826</v>
      </c>
      <c r="H48" s="121">
        <f t="shared" si="9"/>
        <v>381312297.66479826</v>
      </c>
      <c r="I48" s="125">
        <f t="shared" si="9"/>
        <v>392659855.5</v>
      </c>
      <c r="J48" s="122">
        <f t="shared" si="9"/>
        <v>416219446.82999998</v>
      </c>
      <c r="K48" s="123">
        <f t="shared" si="9"/>
        <v>441192613.63980007</v>
      </c>
      <c r="Q48" s="126"/>
    </row>
    <row r="49" spans="1:11" x14ac:dyDescent="0.25">
      <c r="A49" s="92" t="str">
        <f>result</f>
        <v>Surplus/(Deficit) for the year</v>
      </c>
      <c r="B49" s="93"/>
      <c r="C49" s="128">
        <f>C25-C48</f>
        <v>0</v>
      </c>
      <c r="D49" s="128">
        <f t="shared" ref="D49:K49" si="10">D25-D48</f>
        <v>-43726874</v>
      </c>
      <c r="E49" s="129">
        <f t="shared" si="10"/>
        <v>-43253831</v>
      </c>
      <c r="F49" s="130">
        <f t="shared" si="10"/>
        <v>-23732194.034598291</v>
      </c>
      <c r="G49" s="128">
        <f t="shared" si="10"/>
        <v>-7555976.6485983133</v>
      </c>
      <c r="H49" s="127">
        <f t="shared" si="10"/>
        <v>-7555976.6485983133</v>
      </c>
      <c r="I49" s="131">
        <f t="shared" si="10"/>
        <v>552472.87799966335</v>
      </c>
      <c r="J49" s="128">
        <f t="shared" si="10"/>
        <v>585621.25067967176</v>
      </c>
      <c r="K49" s="129">
        <f t="shared" si="10"/>
        <v>620758.52572035789</v>
      </c>
    </row>
    <row r="50" spans="1:11" x14ac:dyDescent="0.25">
      <c r="A50" s="715" t="str">
        <f>head27a</f>
        <v>References</v>
      </c>
      <c r="B50" s="107"/>
      <c r="C50" s="664"/>
      <c r="D50" s="664"/>
      <c r="E50" s="664"/>
      <c r="F50" s="664"/>
      <c r="G50" s="664"/>
      <c r="H50" s="664"/>
      <c r="I50" s="664"/>
      <c r="J50" s="664"/>
      <c r="K50" s="664"/>
    </row>
    <row r="51" spans="1:11" ht="11.25" customHeight="1" x14ac:dyDescent="0.25">
      <c r="A51" s="132" t="s">
        <v>1000</v>
      </c>
      <c r="B51" s="107"/>
      <c r="C51" s="716"/>
      <c r="D51" s="716"/>
      <c r="E51" s="717"/>
      <c r="F51" s="717"/>
      <c r="G51" s="717"/>
      <c r="H51" s="717"/>
      <c r="I51" s="717"/>
      <c r="J51" s="717"/>
      <c r="K51" s="717"/>
    </row>
    <row r="52" spans="1:11" ht="11.25" customHeight="1" x14ac:dyDescent="0.25">
      <c r="A52" s="105" t="s">
        <v>2497</v>
      </c>
      <c r="B52" s="107"/>
      <c r="C52" s="716"/>
      <c r="D52" s="716"/>
      <c r="E52" s="717"/>
      <c r="F52" s="717"/>
      <c r="G52" s="717"/>
      <c r="H52" s="717"/>
      <c r="I52" s="717"/>
      <c r="J52" s="717"/>
      <c r="K52" s="717"/>
    </row>
    <row r="53" spans="1:11" ht="11.25" customHeight="1" x14ac:dyDescent="0.25">
      <c r="A53" s="132" t="s">
        <v>2495</v>
      </c>
      <c r="B53" s="107"/>
      <c r="C53" s="716"/>
      <c r="D53" s="716"/>
      <c r="E53" s="717"/>
      <c r="F53" s="717"/>
      <c r="G53" s="717"/>
      <c r="H53" s="717"/>
      <c r="I53" s="717"/>
      <c r="J53" s="717"/>
      <c r="K53" s="717"/>
    </row>
    <row r="54" spans="1:11" ht="25.5" customHeight="1" x14ac:dyDescent="0.25">
      <c r="A54" s="1911" t="s">
        <v>2496</v>
      </c>
      <c r="B54" s="1911"/>
      <c r="C54" s="1911"/>
      <c r="D54" s="1911"/>
      <c r="E54" s="1911"/>
      <c r="F54" s="1911"/>
      <c r="G54" s="1911"/>
      <c r="H54" s="1911"/>
      <c r="I54" s="1911"/>
      <c r="J54" s="1911"/>
      <c r="K54" s="1911"/>
    </row>
    <row r="55" spans="1:11" ht="11.25" customHeight="1" x14ac:dyDescent="0.25">
      <c r="C55" s="103"/>
      <c r="D55" s="103"/>
      <c r="E55" s="104"/>
      <c r="F55" s="104"/>
      <c r="G55" s="104"/>
      <c r="H55" s="104"/>
      <c r="I55" s="104"/>
      <c r="J55" s="104"/>
      <c r="K55" s="104"/>
    </row>
    <row r="56" spans="1:11" ht="11.25" customHeight="1" x14ac:dyDescent="0.25">
      <c r="C56" s="103"/>
      <c r="D56" s="103"/>
      <c r="E56" s="104"/>
      <c r="F56" s="104"/>
      <c r="G56" s="104"/>
      <c r="H56" s="104"/>
      <c r="I56" s="104"/>
      <c r="J56" s="104"/>
      <c r="K56" s="104"/>
    </row>
    <row r="57" spans="1:11" ht="11.25" customHeight="1" x14ac:dyDescent="0.25">
      <c r="A57" s="133" t="s">
        <v>132</v>
      </c>
      <c r="B57" s="107"/>
      <c r="C57" s="134">
        <f>C25-'A4-FinPerf RE'!C59</f>
        <v>0</v>
      </c>
      <c r="D57" s="134">
        <f>D25-'A4-FinPerf RE'!D59</f>
        <v>0</v>
      </c>
      <c r="E57" s="134">
        <f>E25-'A4-FinPerf RE'!E59</f>
        <v>0</v>
      </c>
      <c r="F57" s="134">
        <f>F25-'A4-FinPerf RE'!F59</f>
        <v>-0.79980003833770752</v>
      </c>
      <c r="G57" s="134">
        <f>G25-'A4-FinPerf RE'!G59</f>
        <v>61.506199955940247</v>
      </c>
      <c r="H57" s="134">
        <f>H25-'A4-FinPerf RE'!H59</f>
        <v>61.506199955940247</v>
      </c>
      <c r="I57" s="134">
        <f>I25-'A4-FinPerf RE'!J59</f>
        <v>0.34399968385696411</v>
      </c>
      <c r="J57" s="134">
        <f>J25-'A4-FinPerf RE'!K59</f>
        <v>0.36463963985443115</v>
      </c>
      <c r="K57" s="134">
        <f>K25-'A4-FinPerf RE'!L59</f>
        <v>0.38651794195175171</v>
      </c>
    </row>
    <row r="58" spans="1:11" ht="11.25" customHeight="1" x14ac:dyDescent="0.25">
      <c r="A58" s="133" t="s">
        <v>760</v>
      </c>
      <c r="B58" s="107"/>
      <c r="C58" s="134">
        <f>C48-'A4-FinPerf RE'!C35</f>
        <v>0</v>
      </c>
      <c r="D58" s="134">
        <f>D48-'A4-FinPerf RE'!D35</f>
        <v>0</v>
      </c>
      <c r="E58" s="134">
        <f>E48-'A4-FinPerf RE'!E35</f>
        <v>0</v>
      </c>
      <c r="F58" s="134">
        <f>F48-'A4-FinPerf RE'!F35</f>
        <v>-8.8293313980102539E-2</v>
      </c>
      <c r="G58" s="134">
        <f>G48-'A4-FinPerf RE'!G35</f>
        <v>320.0597066283226</v>
      </c>
      <c r="H58" s="134">
        <f>H48-'A4-FinPerf RE'!H35</f>
        <v>320.0597066283226</v>
      </c>
      <c r="I58" s="134">
        <f>I48-'A4-FinPerf RE'!J35</f>
        <v>-0.12979996204376221</v>
      </c>
      <c r="J58" s="134">
        <f>J48-'A4-FinPerf RE'!K35</f>
        <v>-0.13758796453475952</v>
      </c>
      <c r="K58" s="134">
        <f>K48-'A4-FinPerf RE'!L35</f>
        <v>-0.14584320783615112</v>
      </c>
    </row>
    <row r="59" spans="1:11" ht="11.25" customHeight="1" x14ac:dyDescent="0.25"/>
    <row r="60" spans="1:11" ht="11.25" customHeight="1" x14ac:dyDescent="0.25"/>
    <row r="61" spans="1:11" ht="11.25" customHeight="1" x14ac:dyDescent="0.25"/>
    <row r="62" spans="1:11" ht="11.25" customHeight="1" x14ac:dyDescent="0.25">
      <c r="E62" s="75"/>
    </row>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mergeCells count="3">
    <mergeCell ref="A54:K54"/>
    <mergeCell ref="F2:H2"/>
    <mergeCell ref="I2:K2"/>
  </mergeCells>
  <phoneticPr fontId="3" type="noConversion"/>
  <printOptions horizontalCentered="1"/>
  <pageMargins left="0" right="0" top="0.78740157480314965" bottom="0.59055118110236227" header="0.51181102362204722" footer="0.39370078740157483"/>
  <pageSetup paperSize="9" scale="87"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dimension ref="A1:R290"/>
  <sheetViews>
    <sheetView showGridLines="0" topLeftCell="A229" zoomScaleNormal="100" zoomScaleSheetLayoutView="80" workbookViewId="0">
      <selection activeCell="D255" sqref="D255"/>
    </sheetView>
  </sheetViews>
  <sheetFormatPr defaultRowHeight="12.75" x14ac:dyDescent="0.25"/>
  <cols>
    <col min="1" max="1" width="49.7109375" style="25" customWidth="1"/>
    <col min="2" max="2" width="3" style="102" customWidth="1"/>
    <col min="3" max="11" width="9.28515625" style="25" customWidth="1"/>
    <col min="12" max="41" width="9.42578125" style="25" customWidth="1"/>
    <col min="42" max="16384" width="9.140625" style="25"/>
  </cols>
  <sheetData>
    <row r="1" spans="1:18" ht="13.5" x14ac:dyDescent="0.25">
      <c r="A1" s="23" t="str">
        <f>muni&amp;" - "&amp;Approve3</f>
        <v>EC101 Dr Beyers Naude - Table A2 Budgeted Financial Performance (revenue and expenditure by functional classification)</v>
      </c>
      <c r="B1" s="110"/>
      <c r="C1" s="110"/>
      <c r="D1" s="110"/>
      <c r="E1" s="110"/>
      <c r="F1" s="110"/>
      <c r="G1" s="110"/>
      <c r="H1" s="110"/>
      <c r="I1" s="110"/>
      <c r="J1" s="110"/>
      <c r="K1" s="110"/>
    </row>
    <row r="2" spans="1:18" ht="28.5" customHeight="1" x14ac:dyDescent="0.25">
      <c r="A2" s="609" t="str">
        <f>"Functional Classification "&amp;desc</f>
        <v>Functional Classification Description</v>
      </c>
      <c r="B2" s="220" t="str">
        <f>head27</f>
        <v>Ref</v>
      </c>
      <c r="C2" s="26" t="str">
        <f>head1b</f>
        <v>2015/16</v>
      </c>
      <c r="D2" s="26" t="str">
        <f>head1A</f>
        <v>2016/17</v>
      </c>
      <c r="E2" s="467" t="str">
        <f>Head1</f>
        <v>2017/18</v>
      </c>
      <c r="F2" s="1913" t="str">
        <f>Head2</f>
        <v>Current Year 2018/19</v>
      </c>
      <c r="G2" s="1914"/>
      <c r="H2" s="1915"/>
      <c r="I2" s="1904" t="str">
        <f>Head3</f>
        <v>2019/20 Medium Term Revenue &amp; Expenditure Framework</v>
      </c>
      <c r="J2" s="1905"/>
      <c r="K2" s="1906"/>
    </row>
    <row r="3" spans="1:18" ht="25.5" x14ac:dyDescent="0.25">
      <c r="A3" s="53" t="s">
        <v>573</v>
      </c>
      <c r="B3" s="615">
        <v>1</v>
      </c>
      <c r="C3" s="203" t="str">
        <f>Head5</f>
        <v>Audited Outcome</v>
      </c>
      <c r="D3" s="203" t="str">
        <f>Head5</f>
        <v>Audited Outcome</v>
      </c>
      <c r="E3" s="1836" t="str">
        <f>Head5</f>
        <v>Audited Outcome</v>
      </c>
      <c r="F3" s="617" t="str">
        <f>Head6</f>
        <v>Original Budget</v>
      </c>
      <c r="G3" s="203" t="str">
        <f>Head7</f>
        <v>Adjusted Budget</v>
      </c>
      <c r="H3" s="1836" t="str">
        <f>Head8</f>
        <v>Full Year Forecast</v>
      </c>
      <c r="I3" s="141" t="str">
        <f>Head9</f>
        <v>Budget Year 2019/20</v>
      </c>
      <c r="J3" s="203" t="str">
        <f>Head10</f>
        <v>Budget Year +1 2020/21</v>
      </c>
      <c r="K3" s="204" t="str">
        <f>Head11</f>
        <v>Budget Year +2 2021/22</v>
      </c>
    </row>
    <row r="4" spans="1:18" ht="11.25" customHeight="1" x14ac:dyDescent="0.25">
      <c r="A4" s="54" t="s">
        <v>2489</v>
      </c>
      <c r="B4" s="55"/>
      <c r="C4" s="57"/>
      <c r="D4" s="57"/>
      <c r="E4" s="1063"/>
      <c r="F4" s="60"/>
      <c r="G4" s="57"/>
      <c r="H4" s="1063"/>
      <c r="I4" s="60"/>
      <c r="J4" s="57"/>
      <c r="K4" s="1063"/>
    </row>
    <row r="5" spans="1:18" ht="11.25" customHeight="1" x14ac:dyDescent="0.25">
      <c r="A5" s="728" t="s">
        <v>119</v>
      </c>
      <c r="B5" s="55"/>
      <c r="C5" s="122">
        <f t="shared" ref="C5:K5" si="0">C6+C9+C23</f>
        <v>0</v>
      </c>
      <c r="D5" s="122">
        <f t="shared" si="0"/>
        <v>133851965</v>
      </c>
      <c r="E5" s="507">
        <f t="shared" si="0"/>
        <v>154908942</v>
      </c>
      <c r="F5" s="125">
        <f t="shared" si="0"/>
        <v>67478942.834199995</v>
      </c>
      <c r="G5" s="122">
        <f t="shared" si="0"/>
        <v>67158058.010199994</v>
      </c>
      <c r="H5" s="507">
        <f t="shared" si="0"/>
        <v>67158058.010199994</v>
      </c>
      <c r="I5" s="125">
        <f t="shared" si="0"/>
        <v>64209097.868163317</v>
      </c>
      <c r="J5" s="122">
        <f t="shared" si="0"/>
        <v>68061643.740253121</v>
      </c>
      <c r="K5" s="507">
        <f t="shared" si="0"/>
        <v>72145342.36466831</v>
      </c>
      <c r="Q5" s="111"/>
      <c r="R5" s="112"/>
    </row>
    <row r="6" spans="1:18" ht="11.25" customHeight="1" x14ac:dyDescent="0.25">
      <c r="A6" s="767" t="s">
        <v>120</v>
      </c>
      <c r="B6" s="55"/>
      <c r="C6" s="185">
        <f>SUM(C7:C8)</f>
        <v>0</v>
      </c>
      <c r="D6" s="185">
        <f t="shared" ref="D6:K6" si="1">SUM(D7:D8)</f>
        <v>24703075</v>
      </c>
      <c r="E6" s="699">
        <f t="shared" si="1"/>
        <v>12021647</v>
      </c>
      <c r="F6" s="217">
        <f t="shared" si="1"/>
        <v>5600000</v>
      </c>
      <c r="G6" s="185">
        <f t="shared" si="1"/>
        <v>6655000</v>
      </c>
      <c r="H6" s="699">
        <f t="shared" si="1"/>
        <v>6655000</v>
      </c>
      <c r="I6" s="217">
        <f t="shared" si="1"/>
        <v>7017018.5381633202</v>
      </c>
      <c r="J6" s="185">
        <f t="shared" si="1"/>
        <v>7438039.6504531195</v>
      </c>
      <c r="K6" s="699">
        <f t="shared" si="1"/>
        <v>7884322.0294803074</v>
      </c>
      <c r="Q6" s="111"/>
      <c r="R6" s="112"/>
    </row>
    <row r="7" spans="1:18" ht="11.25" customHeight="1" x14ac:dyDescent="0.25">
      <c r="A7" s="886" t="s">
        <v>285</v>
      </c>
      <c r="B7" s="55"/>
      <c r="C7" s="1316"/>
      <c r="D7" s="1316">
        <v>24703075</v>
      </c>
      <c r="E7" s="1319">
        <v>12021647</v>
      </c>
      <c r="F7" s="1318">
        <v>5600000</v>
      </c>
      <c r="G7" s="1316">
        <v>5600000</v>
      </c>
      <c r="H7" s="1319">
        <f>G7</f>
        <v>5600000</v>
      </c>
      <c r="I7" s="1318">
        <v>7017018.5381633202</v>
      </c>
      <c r="J7" s="1316">
        <f>I7*1.06</f>
        <v>7438039.6504531195</v>
      </c>
      <c r="K7" s="1319">
        <f>J7*1.06</f>
        <v>7884322.0294803074</v>
      </c>
      <c r="Q7" s="111"/>
      <c r="R7" s="112"/>
    </row>
    <row r="8" spans="1:18" ht="11.25" customHeight="1" x14ac:dyDescent="0.25">
      <c r="A8" s="886" t="s">
        <v>2411</v>
      </c>
      <c r="B8" s="55"/>
      <c r="C8" s="1316"/>
      <c r="D8" s="1316"/>
      <c r="E8" s="1319"/>
      <c r="F8" s="1318"/>
      <c r="G8" s="1316">
        <v>1055000</v>
      </c>
      <c r="H8" s="1319">
        <f>G8</f>
        <v>1055000</v>
      </c>
      <c r="I8" s="1318">
        <v>0</v>
      </c>
      <c r="J8" s="1316">
        <v>0</v>
      </c>
      <c r="K8" s="1319">
        <v>0</v>
      </c>
      <c r="Q8" s="111"/>
      <c r="R8" s="112"/>
    </row>
    <row r="9" spans="1:18" ht="11.25" customHeight="1" x14ac:dyDescent="0.25">
      <c r="A9" s="767" t="s">
        <v>2412</v>
      </c>
      <c r="B9" s="55"/>
      <c r="C9" s="185">
        <f t="shared" ref="C9:K9" si="2">SUM(C10:C22)</f>
        <v>0</v>
      </c>
      <c r="D9" s="185">
        <f t="shared" si="2"/>
        <v>109148890</v>
      </c>
      <c r="E9" s="699">
        <f t="shared" si="2"/>
        <v>142887295</v>
      </c>
      <c r="F9" s="217">
        <f t="shared" si="2"/>
        <v>61878942.834199995</v>
      </c>
      <c r="G9" s="185">
        <f t="shared" si="2"/>
        <v>60503058.010199994</v>
      </c>
      <c r="H9" s="699">
        <f t="shared" si="2"/>
        <v>60503058.010199994</v>
      </c>
      <c r="I9" s="217">
        <f t="shared" si="2"/>
        <v>57192079.329999998</v>
      </c>
      <c r="J9" s="185">
        <f t="shared" si="2"/>
        <v>60623604.0898</v>
      </c>
      <c r="K9" s="699">
        <f t="shared" si="2"/>
        <v>64261020.335188009</v>
      </c>
      <c r="Q9" s="111"/>
      <c r="R9" s="112"/>
    </row>
    <row r="10" spans="1:18" ht="11.25" customHeight="1" x14ac:dyDescent="0.25">
      <c r="A10" s="886" t="s">
        <v>2414</v>
      </c>
      <c r="B10" s="55"/>
      <c r="C10" s="1316"/>
      <c r="D10" s="1316">
        <v>186533</v>
      </c>
      <c r="E10" s="1319">
        <v>384455</v>
      </c>
      <c r="F10" s="1318">
        <v>343019</v>
      </c>
      <c r="G10" s="1316">
        <v>517169</v>
      </c>
      <c r="H10" s="1319">
        <f>G10</f>
        <v>517169</v>
      </c>
      <c r="I10" s="1318">
        <v>365492</v>
      </c>
      <c r="J10" s="1316">
        <f>I10*1.06</f>
        <v>387421.52</v>
      </c>
      <c r="K10" s="1319">
        <f>J10*1.06</f>
        <v>410666.81120000005</v>
      </c>
      <c r="Q10" s="111"/>
      <c r="R10" s="112"/>
    </row>
    <row r="11" spans="1:18" ht="11.25" customHeight="1" x14ac:dyDescent="0.25">
      <c r="A11" s="886" t="s">
        <v>2415</v>
      </c>
      <c r="B11" s="55"/>
      <c r="C11" s="1316"/>
      <c r="D11" s="1316"/>
      <c r="E11" s="1319"/>
      <c r="F11" s="1318"/>
      <c r="G11" s="1316"/>
      <c r="H11" s="1319"/>
      <c r="I11" s="1318"/>
      <c r="J11" s="1316"/>
      <c r="K11" s="1319"/>
      <c r="Q11" s="111"/>
      <c r="R11" s="112"/>
    </row>
    <row r="12" spans="1:18" ht="11.25" customHeight="1" x14ac:dyDescent="0.25">
      <c r="A12" s="886" t="s">
        <v>1600</v>
      </c>
      <c r="B12" s="55"/>
      <c r="C12" s="1316"/>
      <c r="D12" s="1316">
        <f>108691732-D22</f>
        <v>87066035</v>
      </c>
      <c r="E12" s="1319">
        <f>142078646-E22</f>
        <v>110269269</v>
      </c>
      <c r="F12" s="1318">
        <f>6085000+22320658</f>
        <v>28405658</v>
      </c>
      <c r="G12" s="1316">
        <v>30444220.175999999</v>
      </c>
      <c r="H12" s="1319">
        <f>G12</f>
        <v>30444220.175999999</v>
      </c>
      <c r="I12" s="1318">
        <v>13542708</v>
      </c>
      <c r="J12" s="1316">
        <f>I12*1.06</f>
        <v>14355270.48</v>
      </c>
      <c r="K12" s="1319">
        <f>J12*1.06</f>
        <v>15216586.708800001</v>
      </c>
      <c r="Q12" s="111"/>
      <c r="R12" s="112"/>
    </row>
    <row r="13" spans="1:18" ht="11.25" customHeight="1" x14ac:dyDescent="0.25">
      <c r="A13" s="886" t="s">
        <v>2416</v>
      </c>
      <c r="B13" s="55"/>
      <c r="C13" s="1316"/>
      <c r="D13" s="1316"/>
      <c r="E13" s="1319"/>
      <c r="F13" s="1318"/>
      <c r="G13" s="1316"/>
      <c r="H13" s="1319"/>
      <c r="I13" s="1318"/>
      <c r="J13" s="1316"/>
      <c r="K13" s="1319"/>
      <c r="Q13" s="111"/>
      <c r="R13" s="112"/>
    </row>
    <row r="14" spans="1:18" ht="11.25" customHeight="1" x14ac:dyDescent="0.25">
      <c r="A14" s="886" t="s">
        <v>286</v>
      </c>
      <c r="B14" s="55"/>
      <c r="C14" s="1316"/>
      <c r="D14" s="1316"/>
      <c r="E14" s="1319"/>
      <c r="F14" s="1318"/>
      <c r="G14" s="1316"/>
      <c r="H14" s="1319"/>
      <c r="I14" s="1318"/>
      <c r="J14" s="1316"/>
      <c r="K14" s="1319"/>
      <c r="Q14" s="111"/>
      <c r="R14" s="112"/>
    </row>
    <row r="15" spans="1:18" ht="11.25" customHeight="1" x14ac:dyDescent="0.25">
      <c r="A15" s="886" t="s">
        <v>287</v>
      </c>
      <c r="B15" s="55"/>
      <c r="C15" s="1316"/>
      <c r="D15" s="1316"/>
      <c r="E15" s="1319"/>
      <c r="F15" s="1318"/>
      <c r="G15" s="1316"/>
      <c r="H15" s="1319"/>
      <c r="I15" s="1318"/>
      <c r="J15" s="1316"/>
      <c r="K15" s="1319"/>
      <c r="Q15" s="111"/>
      <c r="R15" s="112"/>
    </row>
    <row r="16" spans="1:18" ht="11.25" customHeight="1" x14ac:dyDescent="0.25">
      <c r="A16" s="886" t="s">
        <v>2417</v>
      </c>
      <c r="B16" s="55"/>
      <c r="C16" s="1316"/>
      <c r="D16" s="1316"/>
      <c r="E16" s="1319"/>
      <c r="F16" s="1318"/>
      <c r="G16" s="1316"/>
      <c r="H16" s="1319"/>
      <c r="I16" s="1318"/>
      <c r="J16" s="1316"/>
      <c r="K16" s="1319"/>
      <c r="Q16" s="111"/>
      <c r="R16" s="112"/>
    </row>
    <row r="17" spans="1:18" ht="11.25" customHeight="1" x14ac:dyDescent="0.25">
      <c r="A17" s="886" t="s">
        <v>2418</v>
      </c>
      <c r="B17" s="55"/>
      <c r="C17" s="1316"/>
      <c r="D17" s="1316"/>
      <c r="E17" s="1319"/>
      <c r="F17" s="1318"/>
      <c r="G17" s="1316"/>
      <c r="H17" s="1319"/>
      <c r="I17" s="1318"/>
      <c r="J17" s="1316"/>
      <c r="K17" s="1319"/>
      <c r="Q17" s="111"/>
      <c r="R17" s="112"/>
    </row>
    <row r="18" spans="1:18" ht="11.25" customHeight="1" x14ac:dyDescent="0.25">
      <c r="A18" s="886" t="s">
        <v>937</v>
      </c>
      <c r="B18" s="55"/>
      <c r="C18" s="1316"/>
      <c r="D18" s="1316">
        <v>270625</v>
      </c>
      <c r="E18" s="1319">
        <v>424194</v>
      </c>
      <c r="F18" s="1318">
        <v>728171.22</v>
      </c>
      <c r="G18" s="1316">
        <v>742834.22</v>
      </c>
      <c r="H18" s="1319">
        <v>742834.22</v>
      </c>
      <c r="I18" s="1318">
        <v>824956.1</v>
      </c>
      <c r="J18" s="1316">
        <f>I18*1.06</f>
        <v>874453.46600000001</v>
      </c>
      <c r="K18" s="1319">
        <f>J18*1.06</f>
        <v>926920.67396000004</v>
      </c>
      <c r="Q18" s="111"/>
      <c r="R18" s="112"/>
    </row>
    <row r="19" spans="1:18" ht="11.25" customHeight="1" x14ac:dyDescent="0.25">
      <c r="A19" s="886" t="s">
        <v>2419</v>
      </c>
      <c r="B19" s="55"/>
      <c r="C19" s="1316"/>
      <c r="D19" s="1316"/>
      <c r="E19" s="1319"/>
      <c r="F19" s="1318"/>
      <c r="G19" s="1316"/>
      <c r="H19" s="1319"/>
      <c r="I19" s="1318"/>
      <c r="J19" s="1316"/>
      <c r="K19" s="1319"/>
      <c r="Q19" s="111"/>
      <c r="R19" s="112"/>
    </row>
    <row r="20" spans="1:18" ht="11.25" customHeight="1" x14ac:dyDescent="0.25">
      <c r="A20" s="886" t="s">
        <v>2420</v>
      </c>
      <c r="B20" s="55"/>
      <c r="C20" s="1316"/>
      <c r="D20" s="1316"/>
      <c r="E20" s="1319"/>
      <c r="F20" s="1318"/>
      <c r="G20" s="1316"/>
      <c r="H20" s="1319"/>
      <c r="I20" s="1318"/>
      <c r="J20" s="1316"/>
      <c r="K20" s="1319"/>
      <c r="Q20" s="111"/>
      <c r="R20" s="112"/>
    </row>
    <row r="21" spans="1:18" ht="11.25" customHeight="1" x14ac:dyDescent="0.25">
      <c r="A21" s="886" t="s">
        <v>2421</v>
      </c>
      <c r="B21" s="55"/>
      <c r="C21" s="1316"/>
      <c r="D21" s="1316"/>
      <c r="E21" s="1319"/>
      <c r="F21" s="1318">
        <v>72618.48</v>
      </c>
      <c r="G21" s="1316">
        <v>72618.48</v>
      </c>
      <c r="H21" s="1319">
        <f>G21</f>
        <v>72618.48</v>
      </c>
      <c r="I21" s="1318">
        <v>0</v>
      </c>
      <c r="J21" s="1316">
        <v>0</v>
      </c>
      <c r="K21" s="1319">
        <v>0</v>
      </c>
      <c r="Q21" s="111"/>
      <c r="R21" s="112"/>
    </row>
    <row r="22" spans="1:18" ht="11.25" customHeight="1" x14ac:dyDescent="0.25">
      <c r="A22" s="886" t="s">
        <v>2422</v>
      </c>
      <c r="B22" s="55"/>
      <c r="C22" s="1316"/>
      <c r="D22" s="1316">
        <v>21625697</v>
      </c>
      <c r="E22" s="1319">
        <v>31809377</v>
      </c>
      <c r="F22" s="1318">
        <v>32329476.134199999</v>
      </c>
      <c r="G22" s="1316">
        <v>28726216.134199999</v>
      </c>
      <c r="H22" s="1319">
        <f>G22</f>
        <v>28726216.134199999</v>
      </c>
      <c r="I22" s="1318">
        <v>42458923.229999997</v>
      </c>
      <c r="J22" s="1316">
        <f>I22*1.06</f>
        <v>45006458.623800002</v>
      </c>
      <c r="K22" s="1319">
        <f>J22*1.06</f>
        <v>47706846.141228005</v>
      </c>
      <c r="Q22" s="111"/>
      <c r="R22" s="112"/>
    </row>
    <row r="23" spans="1:18" ht="11.25" customHeight="1" x14ac:dyDescent="0.25">
      <c r="A23" s="767" t="s">
        <v>2408</v>
      </c>
      <c r="B23" s="55"/>
      <c r="C23" s="185">
        <f t="shared" ref="C23:K23" si="3">SUM(C24:C24)</f>
        <v>0</v>
      </c>
      <c r="D23" s="185">
        <f t="shared" si="3"/>
        <v>0</v>
      </c>
      <c r="E23" s="699">
        <f t="shared" si="3"/>
        <v>0</v>
      </c>
      <c r="F23" s="217">
        <f t="shared" si="3"/>
        <v>0</v>
      </c>
      <c r="G23" s="185">
        <f t="shared" si="3"/>
        <v>0</v>
      </c>
      <c r="H23" s="699">
        <f t="shared" si="3"/>
        <v>0</v>
      </c>
      <c r="I23" s="217">
        <f t="shared" si="3"/>
        <v>0</v>
      </c>
      <c r="J23" s="185">
        <f t="shared" si="3"/>
        <v>0</v>
      </c>
      <c r="K23" s="699">
        <f t="shared" si="3"/>
        <v>0</v>
      </c>
      <c r="Q23" s="111"/>
      <c r="R23" s="112"/>
    </row>
    <row r="24" spans="1:18" ht="11.25" customHeight="1" x14ac:dyDescent="0.25">
      <c r="A24" s="886" t="s">
        <v>2413</v>
      </c>
      <c r="B24" s="55"/>
      <c r="C24" s="1316"/>
      <c r="D24" s="1316"/>
      <c r="E24" s="1319"/>
      <c r="F24" s="1318"/>
      <c r="G24" s="1316"/>
      <c r="H24" s="1319"/>
      <c r="I24" s="1318"/>
      <c r="J24" s="1316"/>
      <c r="K24" s="1319"/>
      <c r="Q24" s="111"/>
      <c r="R24" s="112"/>
    </row>
    <row r="25" spans="1:18" ht="11.25" customHeight="1" x14ac:dyDescent="0.25">
      <c r="A25" s="728" t="s">
        <v>123</v>
      </c>
      <c r="B25" s="55"/>
      <c r="C25" s="122">
        <f t="shared" ref="C25:K25" si="4">C26+C48+C54+C63+C66</f>
        <v>0</v>
      </c>
      <c r="D25" s="122">
        <f t="shared" si="4"/>
        <v>9650226</v>
      </c>
      <c r="E25" s="507">
        <f t="shared" si="4"/>
        <v>6723106</v>
      </c>
      <c r="F25" s="125">
        <f t="shared" si="4"/>
        <v>18631713.779999997</v>
      </c>
      <c r="G25" s="122">
        <f t="shared" si="4"/>
        <v>16427687.9</v>
      </c>
      <c r="H25" s="507">
        <f t="shared" si="4"/>
        <v>16427687.9</v>
      </c>
      <c r="I25" s="125">
        <f t="shared" si="4"/>
        <v>18826179.4208638</v>
      </c>
      <c r="J25" s="122">
        <f t="shared" si="4"/>
        <v>19955750.18611563</v>
      </c>
      <c r="K25" s="507">
        <f t="shared" si="4"/>
        <v>21153095.197282568</v>
      </c>
      <c r="Q25" s="111"/>
      <c r="R25" s="112"/>
    </row>
    <row r="26" spans="1:18" ht="11.25" customHeight="1" x14ac:dyDescent="0.25">
      <c r="A26" s="767" t="s">
        <v>124</v>
      </c>
      <c r="B26" s="55"/>
      <c r="C26" s="81">
        <f>SUM(C27:C47)</f>
        <v>0</v>
      </c>
      <c r="D26" s="81">
        <f t="shared" ref="D26:K26" si="5">SUM(D27:D47)</f>
        <v>2554503</v>
      </c>
      <c r="E26" s="472">
        <f t="shared" si="5"/>
        <v>2598211</v>
      </c>
      <c r="F26" s="84">
        <f t="shared" si="5"/>
        <v>12669974.98</v>
      </c>
      <c r="G26" s="81">
        <f t="shared" si="5"/>
        <v>13040826.98</v>
      </c>
      <c r="H26" s="472">
        <f t="shared" si="5"/>
        <v>13040826.98</v>
      </c>
      <c r="I26" s="84">
        <f t="shared" si="5"/>
        <v>15337910.416863799</v>
      </c>
      <c r="J26" s="81">
        <f t="shared" si="5"/>
        <v>16258185.041875627</v>
      </c>
      <c r="K26" s="472">
        <f t="shared" si="5"/>
        <v>17233676.144388169</v>
      </c>
      <c r="Q26" s="111"/>
      <c r="R26" s="112"/>
    </row>
    <row r="27" spans="1:18" ht="11.25" customHeight="1" x14ac:dyDescent="0.25">
      <c r="A27" s="886" t="s">
        <v>1469</v>
      </c>
      <c r="B27" s="55"/>
      <c r="C27" s="1316"/>
      <c r="D27" s="1316"/>
      <c r="E27" s="1319"/>
      <c r="F27" s="1318"/>
      <c r="G27" s="1316"/>
      <c r="H27" s="1319"/>
      <c r="I27" s="1318"/>
      <c r="J27" s="1316"/>
      <c r="K27" s="1319"/>
      <c r="Q27" s="111"/>
      <c r="R27" s="112"/>
    </row>
    <row r="28" spans="1:18" ht="11.25" customHeight="1" x14ac:dyDescent="0.25">
      <c r="A28" s="886" t="s">
        <v>827</v>
      </c>
      <c r="B28" s="55"/>
      <c r="C28" s="1316"/>
      <c r="D28" s="1316"/>
      <c r="E28" s="1319"/>
      <c r="F28" s="1318"/>
      <c r="G28" s="1316"/>
      <c r="H28" s="1319"/>
      <c r="I28" s="1318"/>
      <c r="J28" s="1316"/>
      <c r="K28" s="1319"/>
      <c r="Q28" s="111"/>
      <c r="R28" s="112"/>
    </row>
    <row r="29" spans="1:18" ht="11.25" customHeight="1" x14ac:dyDescent="0.25">
      <c r="A29" s="886" t="s">
        <v>2440</v>
      </c>
      <c r="B29" s="55"/>
      <c r="C29" s="1316"/>
      <c r="D29" s="1316"/>
      <c r="E29" s="1319"/>
      <c r="F29" s="1318"/>
      <c r="G29" s="1316"/>
      <c r="H29" s="1319"/>
      <c r="I29" s="1318"/>
      <c r="J29" s="1316"/>
      <c r="K29" s="1319"/>
      <c r="Q29" s="111"/>
      <c r="R29" s="112"/>
    </row>
    <row r="30" spans="1:18" ht="11.25" customHeight="1" x14ac:dyDescent="0.25">
      <c r="A30" s="886" t="s">
        <v>2441</v>
      </c>
      <c r="B30" s="55"/>
      <c r="C30" s="1316"/>
      <c r="D30" s="1316">
        <v>207501</v>
      </c>
      <c r="E30" s="1319">
        <f>34123+205771</f>
        <v>239894</v>
      </c>
      <c r="F30" s="1318">
        <v>26786.2</v>
      </c>
      <c r="G30" s="1316">
        <v>387638.2</v>
      </c>
      <c r="H30" s="1319">
        <f>G30</f>
        <v>387638.2</v>
      </c>
      <c r="I30" s="1318">
        <v>83824</v>
      </c>
      <c r="J30" s="1316">
        <f>I30*1.06</f>
        <v>88853.440000000002</v>
      </c>
      <c r="K30" s="1319">
        <f>J30*1.06</f>
        <v>94184.646400000012</v>
      </c>
      <c r="Q30" s="111"/>
      <c r="R30" s="112"/>
    </row>
    <row r="31" spans="1:18" ht="11.25" customHeight="1" x14ac:dyDescent="0.25">
      <c r="A31" s="886" t="s">
        <v>2442</v>
      </c>
      <c r="B31" s="55"/>
      <c r="C31" s="1316"/>
      <c r="D31" s="1316"/>
      <c r="E31" s="1319"/>
      <c r="F31" s="1318"/>
      <c r="G31" s="1316"/>
      <c r="H31" s="1319"/>
      <c r="I31" s="1318"/>
      <c r="J31" s="1316"/>
      <c r="K31" s="1319"/>
      <c r="Q31" s="111"/>
      <c r="R31" s="112"/>
    </row>
    <row r="32" spans="1:18" ht="11.25" customHeight="1" x14ac:dyDescent="0.25">
      <c r="A32" s="886" t="s">
        <v>2443</v>
      </c>
      <c r="B32" s="55"/>
      <c r="C32" s="1316"/>
      <c r="D32" s="1316">
        <v>58168</v>
      </c>
      <c r="E32" s="1319">
        <v>63088</v>
      </c>
      <c r="F32" s="1318">
        <v>10292206.300000001</v>
      </c>
      <c r="G32" s="1316">
        <v>10292206.300000001</v>
      </c>
      <c r="H32" s="1319">
        <v>10292206.300000001</v>
      </c>
      <c r="I32" s="1318">
        <v>12751986.416863799</v>
      </c>
      <c r="J32" s="1316">
        <f>I32*1.06</f>
        <v>13517105.601875627</v>
      </c>
      <c r="K32" s="1319">
        <f>J32*1.06</f>
        <v>14328131.937988166</v>
      </c>
      <c r="Q32" s="111"/>
      <c r="R32" s="112"/>
    </row>
    <row r="33" spans="1:18" ht="11.25" customHeight="1" x14ac:dyDescent="0.25">
      <c r="A33" s="886" t="s">
        <v>2444</v>
      </c>
      <c r="B33" s="55"/>
      <c r="C33" s="1316"/>
      <c r="D33" s="1316"/>
      <c r="E33" s="1319"/>
      <c r="F33" s="1318"/>
      <c r="G33" s="1316"/>
      <c r="H33" s="1319"/>
      <c r="I33" s="1318"/>
      <c r="J33" s="1316"/>
      <c r="K33" s="1319"/>
      <c r="Q33" s="111"/>
      <c r="R33" s="112"/>
    </row>
    <row r="34" spans="1:18" ht="11.25" customHeight="1" x14ac:dyDescent="0.25">
      <c r="A34" s="886" t="s">
        <v>2445</v>
      </c>
      <c r="B34" s="55"/>
      <c r="C34" s="1316"/>
      <c r="D34" s="1316"/>
      <c r="E34" s="1319"/>
      <c r="F34" s="1318"/>
      <c r="G34" s="1316"/>
      <c r="H34" s="1319"/>
      <c r="I34" s="1318"/>
      <c r="J34" s="1316"/>
      <c r="K34" s="1319"/>
      <c r="Q34" s="111"/>
      <c r="R34" s="112"/>
    </row>
    <row r="35" spans="1:18" ht="11.25" customHeight="1" x14ac:dyDescent="0.25">
      <c r="A35" s="886" t="s">
        <v>2446</v>
      </c>
      <c r="B35" s="55"/>
      <c r="C35" s="1316"/>
      <c r="D35" s="1316"/>
      <c r="E35" s="1319"/>
      <c r="F35" s="1318"/>
      <c r="G35" s="1316"/>
      <c r="H35" s="1319"/>
      <c r="I35" s="1318"/>
      <c r="J35" s="1316"/>
      <c r="K35" s="1319"/>
      <c r="Q35" s="111"/>
      <c r="R35" s="112"/>
    </row>
    <row r="36" spans="1:18" ht="11.25" customHeight="1" x14ac:dyDescent="0.25">
      <c r="A36" s="886" t="s">
        <v>1697</v>
      </c>
      <c r="B36" s="55"/>
      <c r="C36" s="1316"/>
      <c r="D36" s="1316"/>
      <c r="E36" s="1319"/>
      <c r="F36" s="1318"/>
      <c r="G36" s="1316"/>
      <c r="H36" s="1319"/>
      <c r="I36" s="1318"/>
      <c r="J36" s="1316"/>
      <c r="K36" s="1319"/>
      <c r="Q36" s="111"/>
      <c r="R36" s="112"/>
    </row>
    <row r="37" spans="1:18" ht="11.25" customHeight="1" x14ac:dyDescent="0.25">
      <c r="A37" s="886" t="s">
        <v>2447</v>
      </c>
      <c r="B37" s="55"/>
      <c r="C37" s="1316"/>
      <c r="D37" s="1316"/>
      <c r="E37" s="1319"/>
      <c r="F37" s="1318"/>
      <c r="G37" s="1316"/>
      <c r="H37" s="1319"/>
      <c r="I37" s="1318"/>
      <c r="J37" s="1316"/>
      <c r="K37" s="1319"/>
      <c r="Q37" s="111"/>
      <c r="R37" s="112"/>
    </row>
    <row r="38" spans="1:18" ht="11.25" customHeight="1" x14ac:dyDescent="0.25">
      <c r="A38" s="886" t="s">
        <v>2448</v>
      </c>
      <c r="B38" s="55"/>
      <c r="C38" s="1316"/>
      <c r="D38" s="1316"/>
      <c r="E38" s="1319"/>
      <c r="F38" s="1318"/>
      <c r="G38" s="1316"/>
      <c r="H38" s="1319"/>
      <c r="I38" s="1318"/>
      <c r="J38" s="1316"/>
      <c r="K38" s="1319"/>
      <c r="Q38" s="111"/>
      <c r="R38" s="112"/>
    </row>
    <row r="39" spans="1:18" ht="11.25" customHeight="1" x14ac:dyDescent="0.25">
      <c r="A39" s="886" t="s">
        <v>2449</v>
      </c>
      <c r="B39" s="55"/>
      <c r="C39" s="1316"/>
      <c r="D39" s="1316"/>
      <c r="E39" s="1319"/>
      <c r="F39" s="1318"/>
      <c r="G39" s="1316"/>
      <c r="H39" s="1319"/>
      <c r="I39" s="1318"/>
      <c r="J39" s="1316"/>
      <c r="K39" s="1319"/>
      <c r="Q39" s="111"/>
      <c r="R39" s="112"/>
    </row>
    <row r="40" spans="1:18" ht="11.25" customHeight="1" x14ac:dyDescent="0.25">
      <c r="A40" s="886" t="s">
        <v>1468</v>
      </c>
      <c r="B40" s="55"/>
      <c r="C40" s="1316"/>
      <c r="D40" s="1316">
        <v>2288179</v>
      </c>
      <c r="E40" s="1319">
        <v>2295229</v>
      </c>
      <c r="F40" s="1318">
        <v>2350005.6800000002</v>
      </c>
      <c r="G40" s="1316">
        <v>2360005.6800000002</v>
      </c>
      <c r="H40" s="1319">
        <v>2360005.6800000002</v>
      </c>
      <c r="I40" s="1318">
        <v>2501100</v>
      </c>
      <c r="J40" s="1316">
        <f>I40*1.06</f>
        <v>2651166</v>
      </c>
      <c r="K40" s="1319">
        <f>J40*1.06</f>
        <v>2810235.96</v>
      </c>
      <c r="Q40" s="111"/>
      <c r="R40" s="112"/>
    </row>
    <row r="41" spans="1:18" ht="11.25" customHeight="1" x14ac:dyDescent="0.25">
      <c r="A41" s="886" t="s">
        <v>2450</v>
      </c>
      <c r="B41" s="55"/>
      <c r="C41" s="1316"/>
      <c r="D41" s="1316"/>
      <c r="E41" s="1319"/>
      <c r="F41" s="1318"/>
      <c r="G41" s="1316"/>
      <c r="H41" s="1319"/>
      <c r="I41" s="1318"/>
      <c r="J41" s="1316"/>
      <c r="K41" s="1319"/>
      <c r="Q41" s="111"/>
      <c r="R41" s="112"/>
    </row>
    <row r="42" spans="1:18" ht="11.25" customHeight="1" x14ac:dyDescent="0.25">
      <c r="A42" s="886" t="s">
        <v>2451</v>
      </c>
      <c r="B42" s="55"/>
      <c r="C42" s="1316"/>
      <c r="D42" s="1316"/>
      <c r="E42" s="1319"/>
      <c r="F42" s="1318"/>
      <c r="G42" s="1316"/>
      <c r="H42" s="1319"/>
      <c r="I42" s="1318"/>
      <c r="J42" s="1316"/>
      <c r="K42" s="1319"/>
      <c r="Q42" s="111"/>
      <c r="R42" s="112"/>
    </row>
    <row r="43" spans="1:18" ht="11.25" customHeight="1" x14ac:dyDescent="0.25">
      <c r="A43" s="886" t="s">
        <v>2452</v>
      </c>
      <c r="B43" s="55"/>
      <c r="C43" s="1316"/>
      <c r="D43" s="1316">
        <v>655</v>
      </c>
      <c r="E43" s="1319">
        <v>0</v>
      </c>
      <c r="F43" s="1318">
        <v>976.8</v>
      </c>
      <c r="G43" s="1316">
        <v>976.8</v>
      </c>
      <c r="H43" s="1319">
        <v>976.8</v>
      </c>
      <c r="I43" s="1318">
        <v>1000</v>
      </c>
      <c r="J43" s="1316">
        <f>I43*1.06</f>
        <v>1060</v>
      </c>
      <c r="K43" s="1319">
        <f>J43*1.06</f>
        <v>1123.6000000000001</v>
      </c>
      <c r="Q43" s="111"/>
      <c r="R43" s="112"/>
    </row>
    <row r="44" spans="1:18" ht="11.25" customHeight="1" x14ac:dyDescent="0.25">
      <c r="A44" s="886" t="s">
        <v>2453</v>
      </c>
      <c r="B44" s="55"/>
      <c r="C44" s="1316"/>
      <c r="D44" s="1316"/>
      <c r="E44" s="1319"/>
      <c r="F44" s="1318"/>
      <c r="G44" s="1316"/>
      <c r="H44" s="1319"/>
      <c r="I44" s="1318"/>
      <c r="J44" s="1316"/>
      <c r="K44" s="1319"/>
      <c r="Q44" s="111"/>
      <c r="R44" s="112"/>
    </row>
    <row r="45" spans="1:18" ht="11.25" customHeight="1" x14ac:dyDescent="0.25">
      <c r="A45" s="886" t="s">
        <v>2454</v>
      </c>
      <c r="B45" s="55"/>
      <c r="C45" s="1316"/>
      <c r="D45" s="1316"/>
      <c r="E45" s="1319"/>
      <c r="F45" s="1318"/>
      <c r="G45" s="1316"/>
      <c r="H45" s="1319"/>
      <c r="I45" s="1318"/>
      <c r="J45" s="1316"/>
      <c r="K45" s="1319"/>
      <c r="Q45" s="111"/>
      <c r="R45" s="112"/>
    </row>
    <row r="46" spans="1:18" ht="11.25" customHeight="1" x14ac:dyDescent="0.25">
      <c r="A46" s="886" t="s">
        <v>2334</v>
      </c>
      <c r="B46" s="55"/>
      <c r="C46" s="1316"/>
      <c r="D46" s="1316"/>
      <c r="E46" s="1319"/>
      <c r="F46" s="1318"/>
      <c r="G46" s="1316"/>
      <c r="H46" s="1319"/>
      <c r="I46" s="1318"/>
      <c r="J46" s="1316"/>
      <c r="K46" s="1319"/>
      <c r="Q46" s="111"/>
      <c r="R46" s="112"/>
    </row>
    <row r="47" spans="1:18" ht="11.25" customHeight="1" x14ac:dyDescent="0.25">
      <c r="A47" s="886" t="s">
        <v>2455</v>
      </c>
      <c r="B47" s="55"/>
      <c r="C47" s="1316"/>
      <c r="D47" s="1316"/>
      <c r="E47" s="1319"/>
      <c r="F47" s="1318"/>
      <c r="G47" s="1316"/>
      <c r="H47" s="1319"/>
      <c r="I47" s="1318"/>
      <c r="J47" s="1316"/>
      <c r="K47" s="1319"/>
      <c r="Q47" s="111"/>
      <c r="R47" s="112"/>
    </row>
    <row r="48" spans="1:18" ht="11.25" customHeight="1" x14ac:dyDescent="0.25">
      <c r="A48" s="767" t="s">
        <v>125</v>
      </c>
      <c r="B48" s="55"/>
      <c r="C48" s="81">
        <f>SUM(C49:C53)</f>
        <v>0</v>
      </c>
      <c r="D48" s="81">
        <f t="shared" ref="D48:K48" si="6">SUM(D49:D53)</f>
        <v>70627</v>
      </c>
      <c r="E48" s="472">
        <f t="shared" si="6"/>
        <v>72672</v>
      </c>
      <c r="F48" s="84">
        <f t="shared" si="6"/>
        <v>2497748.7000000002</v>
      </c>
      <c r="G48" s="81">
        <f t="shared" si="6"/>
        <v>11645.700000000186</v>
      </c>
      <c r="H48" s="472">
        <f t="shared" si="6"/>
        <v>11645.700000000186</v>
      </c>
      <c r="I48" s="84">
        <f t="shared" si="6"/>
        <v>15100</v>
      </c>
      <c r="J48" s="81">
        <f t="shared" si="6"/>
        <v>16006</v>
      </c>
      <c r="K48" s="472">
        <f t="shared" si="6"/>
        <v>16966.36</v>
      </c>
      <c r="Q48" s="111"/>
      <c r="R48" s="112"/>
    </row>
    <row r="49" spans="1:18" ht="11.25" customHeight="1" x14ac:dyDescent="0.25">
      <c r="A49" s="886" t="s">
        <v>2430</v>
      </c>
      <c r="B49" s="55"/>
      <c r="C49" s="1316"/>
      <c r="D49" s="1316"/>
      <c r="E49" s="1319"/>
      <c r="F49" s="1318"/>
      <c r="G49" s="1316"/>
      <c r="H49" s="1319"/>
      <c r="I49" s="1318"/>
      <c r="J49" s="1316"/>
      <c r="K49" s="1319"/>
      <c r="Q49" s="111"/>
      <c r="R49" s="112"/>
    </row>
    <row r="50" spans="1:18" ht="11.25" customHeight="1" x14ac:dyDescent="0.25">
      <c r="A50" s="886" t="s">
        <v>2431</v>
      </c>
      <c r="B50" s="55"/>
      <c r="C50" s="1316"/>
      <c r="D50" s="1316"/>
      <c r="E50" s="1319"/>
      <c r="F50" s="1318"/>
      <c r="G50" s="1316"/>
      <c r="H50" s="1319"/>
      <c r="I50" s="1318"/>
      <c r="J50" s="1316"/>
      <c r="K50" s="1319"/>
      <c r="Q50" s="111"/>
      <c r="R50" s="112"/>
    </row>
    <row r="51" spans="1:18" ht="11.25" customHeight="1" x14ac:dyDescent="0.25">
      <c r="A51" s="886" t="s">
        <v>2432</v>
      </c>
      <c r="B51" s="55"/>
      <c r="C51" s="1316"/>
      <c r="D51" s="1316"/>
      <c r="E51" s="1319"/>
      <c r="F51" s="1318"/>
      <c r="G51" s="1316"/>
      <c r="H51" s="1319"/>
      <c r="I51" s="1318"/>
      <c r="J51" s="1316"/>
      <c r="K51" s="1319"/>
      <c r="Q51" s="111"/>
      <c r="R51" s="112"/>
    </row>
    <row r="52" spans="1:18" ht="11.25" customHeight="1" x14ac:dyDescent="0.25">
      <c r="A52" s="886" t="s">
        <v>2433</v>
      </c>
      <c r="B52" s="55"/>
      <c r="C52" s="1316"/>
      <c r="D52" s="1316"/>
      <c r="E52" s="1319"/>
      <c r="F52" s="1318"/>
      <c r="G52" s="1316"/>
      <c r="H52" s="1319"/>
      <c r="I52" s="1318"/>
      <c r="J52" s="1316"/>
      <c r="K52" s="1319"/>
      <c r="Q52" s="111"/>
      <c r="R52" s="112"/>
    </row>
    <row r="53" spans="1:18" ht="11.25" customHeight="1" x14ac:dyDescent="0.25">
      <c r="A53" s="886" t="s">
        <v>2434</v>
      </c>
      <c r="B53" s="55"/>
      <c r="C53" s="1316"/>
      <c r="D53" s="1316">
        <v>70627</v>
      </c>
      <c r="E53" s="1319">
        <v>72672</v>
      </c>
      <c r="F53" s="1318">
        <v>2497748.7000000002</v>
      </c>
      <c r="G53" s="1316">
        <v>11645.700000000186</v>
      </c>
      <c r="H53" s="1319">
        <v>11645.700000000186</v>
      </c>
      <c r="I53" s="1318">
        <v>15100</v>
      </c>
      <c r="J53" s="1316">
        <f>I53*1.06</f>
        <v>16006</v>
      </c>
      <c r="K53" s="1319">
        <f>J53*1.06</f>
        <v>16966.36</v>
      </c>
      <c r="Q53" s="111"/>
      <c r="R53" s="112"/>
    </row>
    <row r="54" spans="1:18" ht="11.25" customHeight="1" x14ac:dyDescent="0.25">
      <c r="A54" s="767" t="s">
        <v>126</v>
      </c>
      <c r="B54" s="55"/>
      <c r="C54" s="81">
        <f t="shared" ref="C54:K54" si="7">SUM(C55:C62)</f>
        <v>0</v>
      </c>
      <c r="D54" s="81">
        <f t="shared" si="7"/>
        <v>5086488</v>
      </c>
      <c r="E54" s="472">
        <f t="shared" si="7"/>
        <v>2547778</v>
      </c>
      <c r="F54" s="84">
        <f t="shared" si="7"/>
        <v>2086342.4000000001</v>
      </c>
      <c r="G54" s="81">
        <f t="shared" si="7"/>
        <v>1904712.4000000001</v>
      </c>
      <c r="H54" s="472">
        <f t="shared" si="7"/>
        <v>1904712.4000000001</v>
      </c>
      <c r="I54" s="84">
        <f t="shared" si="7"/>
        <v>2009822.8</v>
      </c>
      <c r="J54" s="81">
        <f t="shared" si="7"/>
        <v>2130412.1680000001</v>
      </c>
      <c r="K54" s="472">
        <f t="shared" si="7"/>
        <v>2258236.8980800007</v>
      </c>
      <c r="Q54" s="111"/>
      <c r="R54" s="112"/>
    </row>
    <row r="55" spans="1:18" ht="11.25" customHeight="1" x14ac:dyDescent="0.25">
      <c r="A55" s="886" t="s">
        <v>690</v>
      </c>
      <c r="B55" s="55"/>
      <c r="C55" s="1316"/>
      <c r="D55" s="1316"/>
      <c r="E55" s="1319"/>
      <c r="F55" s="1318"/>
      <c r="G55" s="1316"/>
      <c r="H55" s="1319"/>
      <c r="I55" s="1318"/>
      <c r="J55" s="1316"/>
      <c r="K55" s="1319"/>
      <c r="Q55" s="111"/>
      <c r="R55" s="112"/>
    </row>
    <row r="56" spans="1:18" ht="11.25" customHeight="1" x14ac:dyDescent="0.25">
      <c r="A56" s="886" t="s">
        <v>2435</v>
      </c>
      <c r="B56" s="55"/>
      <c r="C56" s="1316"/>
      <c r="D56" s="1316"/>
      <c r="E56" s="1319"/>
      <c r="F56" s="1318"/>
      <c r="G56" s="1316"/>
      <c r="H56" s="1319"/>
      <c r="I56" s="1318"/>
      <c r="J56" s="1316"/>
      <c r="K56" s="1319"/>
      <c r="Q56" s="111"/>
      <c r="R56" s="112"/>
    </row>
    <row r="57" spans="1:18" ht="11.25" customHeight="1" x14ac:dyDescent="0.25">
      <c r="A57" s="886" t="s">
        <v>2436</v>
      </c>
      <c r="B57" s="55"/>
      <c r="C57" s="1316"/>
      <c r="D57" s="1316"/>
      <c r="E57" s="1319"/>
      <c r="F57" s="1318"/>
      <c r="G57" s="1316"/>
      <c r="H57" s="1319"/>
      <c r="I57" s="1318"/>
      <c r="J57" s="1316"/>
      <c r="K57" s="1319"/>
      <c r="Q57" s="111"/>
      <c r="R57" s="112"/>
    </row>
    <row r="58" spans="1:18" ht="11.25" customHeight="1" x14ac:dyDescent="0.25">
      <c r="A58" s="886" t="s">
        <v>2437</v>
      </c>
      <c r="B58" s="55"/>
      <c r="C58" s="1316"/>
      <c r="D58" s="1316"/>
      <c r="E58" s="1319"/>
      <c r="F58" s="1318"/>
      <c r="G58" s="1316"/>
      <c r="H58" s="1319"/>
      <c r="I58" s="1318"/>
      <c r="J58" s="1316"/>
      <c r="K58" s="1319"/>
      <c r="Q58" s="111"/>
      <c r="R58" s="112"/>
    </row>
    <row r="59" spans="1:18" ht="11.25" customHeight="1" x14ac:dyDescent="0.25">
      <c r="A59" s="886" t="s">
        <v>2438</v>
      </c>
      <c r="B59" s="55"/>
      <c r="C59" s="1316"/>
      <c r="D59" s="1316">
        <v>1665000</v>
      </c>
      <c r="E59" s="1319">
        <v>926745</v>
      </c>
      <c r="F59" s="1318">
        <v>1965558</v>
      </c>
      <c r="G59" s="1316">
        <v>1883928</v>
      </c>
      <c r="H59" s="1319">
        <v>1883928</v>
      </c>
      <c r="I59" s="1318">
        <v>1999032.8</v>
      </c>
      <c r="J59" s="1316">
        <f t="shared" ref="J59:K61" si="8">I59*1.06</f>
        <v>2118974.7680000002</v>
      </c>
      <c r="K59" s="1319">
        <f t="shared" si="8"/>
        <v>2246113.2540800003</v>
      </c>
      <c r="Q59" s="111"/>
      <c r="R59" s="112"/>
    </row>
    <row r="60" spans="1:18" ht="11.25" customHeight="1" x14ac:dyDescent="0.25">
      <c r="A60" s="886" t="s">
        <v>2439</v>
      </c>
      <c r="B60" s="55"/>
      <c r="C60" s="1316"/>
      <c r="D60" s="1316"/>
      <c r="E60" s="1319"/>
      <c r="F60" s="1318">
        <v>337.08</v>
      </c>
      <c r="G60" s="1316">
        <v>337.08</v>
      </c>
      <c r="H60" s="1319">
        <v>337.08</v>
      </c>
      <c r="I60" s="1318">
        <v>340</v>
      </c>
      <c r="J60" s="1316">
        <f t="shared" si="8"/>
        <v>360.40000000000003</v>
      </c>
      <c r="K60" s="1319">
        <f t="shared" si="8"/>
        <v>382.02400000000006</v>
      </c>
      <c r="Q60" s="111"/>
      <c r="R60" s="112"/>
    </row>
    <row r="61" spans="1:18" ht="11.25" customHeight="1" x14ac:dyDescent="0.25">
      <c r="A61" s="886" t="s">
        <v>2466</v>
      </c>
      <c r="B61" s="55"/>
      <c r="C61" s="1316"/>
      <c r="D61" s="1316">
        <v>3421488</v>
      </c>
      <c r="E61" s="1319">
        <v>1621033</v>
      </c>
      <c r="F61" s="1318">
        <v>120447.32</v>
      </c>
      <c r="G61" s="1316">
        <v>20447.320000000007</v>
      </c>
      <c r="H61" s="1319">
        <v>20447.320000000007</v>
      </c>
      <c r="I61" s="1318">
        <v>10450</v>
      </c>
      <c r="J61" s="1316">
        <f t="shared" si="8"/>
        <v>11077</v>
      </c>
      <c r="K61" s="1319">
        <f t="shared" si="8"/>
        <v>11741.62</v>
      </c>
      <c r="Q61" s="111"/>
      <c r="R61" s="112"/>
    </row>
    <row r="62" spans="1:18" ht="11.25" customHeight="1" x14ac:dyDescent="0.25">
      <c r="A62" s="886" t="s">
        <v>2467</v>
      </c>
      <c r="B62" s="55"/>
      <c r="C62" s="1316"/>
      <c r="D62" s="1316"/>
      <c r="E62" s="1319"/>
      <c r="F62" s="1318"/>
      <c r="G62" s="1316"/>
      <c r="H62" s="1319"/>
      <c r="I62" s="1318"/>
      <c r="J62" s="1316"/>
      <c r="K62" s="1319"/>
      <c r="Q62" s="111"/>
      <c r="R62" s="112"/>
    </row>
    <row r="63" spans="1:18" ht="11.25" customHeight="1" x14ac:dyDescent="0.25">
      <c r="A63" s="767" t="s">
        <v>1513</v>
      </c>
      <c r="B63" s="55"/>
      <c r="C63" s="81">
        <f>SUM(C64:C65)</f>
        <v>0</v>
      </c>
      <c r="D63" s="81">
        <f t="shared" ref="D63:K63" si="9">SUM(D64:D65)</f>
        <v>731061</v>
      </c>
      <c r="E63" s="472">
        <f t="shared" si="9"/>
        <v>296898</v>
      </c>
      <c r="F63" s="84">
        <f t="shared" si="9"/>
        <v>97647.88</v>
      </c>
      <c r="G63" s="81">
        <f t="shared" si="9"/>
        <v>101378</v>
      </c>
      <c r="H63" s="472">
        <f t="shared" si="9"/>
        <v>101378</v>
      </c>
      <c r="I63" s="84">
        <f t="shared" si="9"/>
        <v>12073.704</v>
      </c>
      <c r="J63" s="81">
        <f t="shared" si="9"/>
        <v>12798.12624</v>
      </c>
      <c r="K63" s="472">
        <f t="shared" si="9"/>
        <v>13566.013814400001</v>
      </c>
      <c r="Q63" s="111"/>
      <c r="R63" s="112"/>
    </row>
    <row r="64" spans="1:18" ht="11.25" customHeight="1" x14ac:dyDescent="0.25">
      <c r="A64" s="886" t="s">
        <v>1513</v>
      </c>
      <c r="B64" s="55"/>
      <c r="C64" s="1316"/>
      <c r="D64" s="1316">
        <v>731061</v>
      </c>
      <c r="E64" s="1319">
        <v>296898</v>
      </c>
      <c r="F64" s="1318">
        <v>97647.88</v>
      </c>
      <c r="G64" s="1316">
        <v>101378</v>
      </c>
      <c r="H64" s="1319">
        <v>101378</v>
      </c>
      <c r="I64" s="1318">
        <v>12073.704</v>
      </c>
      <c r="J64" s="1316">
        <f>I64*1.06</f>
        <v>12798.12624</v>
      </c>
      <c r="K64" s="1319">
        <f>J64*1.06</f>
        <v>13566.013814400001</v>
      </c>
      <c r="Q64" s="111"/>
      <c r="R64" s="112"/>
    </row>
    <row r="65" spans="1:18" ht="11.25" customHeight="1" x14ac:dyDescent="0.25">
      <c r="A65" s="886" t="s">
        <v>2429</v>
      </c>
      <c r="B65" s="55"/>
      <c r="C65" s="1316"/>
      <c r="D65" s="1316"/>
      <c r="E65" s="1319"/>
      <c r="F65" s="1318"/>
      <c r="G65" s="1316"/>
      <c r="H65" s="1319"/>
      <c r="I65" s="1318"/>
      <c r="J65" s="1316"/>
      <c r="K65" s="1319"/>
      <c r="Q65" s="111"/>
      <c r="R65" s="112"/>
    </row>
    <row r="66" spans="1:18" ht="11.25" customHeight="1" x14ac:dyDescent="0.25">
      <c r="A66" s="767" t="s">
        <v>1577</v>
      </c>
      <c r="B66" s="55"/>
      <c r="C66" s="81">
        <f>SUM(C67:C73)</f>
        <v>0</v>
      </c>
      <c r="D66" s="81">
        <f t="shared" ref="D66:K66" si="10">SUM(D67:D73)</f>
        <v>1207547</v>
      </c>
      <c r="E66" s="472">
        <f t="shared" si="10"/>
        <v>1207547</v>
      </c>
      <c r="F66" s="84">
        <f t="shared" si="10"/>
        <v>1279999.82</v>
      </c>
      <c r="G66" s="81">
        <f t="shared" si="10"/>
        <v>1369124.82</v>
      </c>
      <c r="H66" s="472">
        <f t="shared" si="10"/>
        <v>1369124.82</v>
      </c>
      <c r="I66" s="84">
        <f t="shared" si="10"/>
        <v>1451272.5</v>
      </c>
      <c r="J66" s="81">
        <f t="shared" si="10"/>
        <v>1538348.85</v>
      </c>
      <c r="K66" s="472">
        <f t="shared" si="10"/>
        <v>1630649.7810000002</v>
      </c>
      <c r="Q66" s="111"/>
      <c r="R66" s="112"/>
    </row>
    <row r="67" spans="1:18" ht="11.25" customHeight="1" x14ac:dyDescent="0.25">
      <c r="A67" s="886" t="s">
        <v>539</v>
      </c>
      <c r="B67" s="55"/>
      <c r="C67" s="1316"/>
      <c r="D67" s="1316"/>
      <c r="E67" s="1319"/>
      <c r="F67" s="1318"/>
      <c r="G67" s="1316"/>
      <c r="H67" s="1319"/>
      <c r="I67" s="1318"/>
      <c r="J67" s="1316"/>
      <c r="K67" s="1319"/>
      <c r="Q67" s="111"/>
      <c r="R67" s="112"/>
    </row>
    <row r="68" spans="1:18" ht="11.25" customHeight="1" x14ac:dyDescent="0.25">
      <c r="A68" s="886" t="s">
        <v>2423</v>
      </c>
      <c r="B68" s="55"/>
      <c r="C68" s="1316"/>
      <c r="D68" s="1316">
        <v>1207547</v>
      </c>
      <c r="E68" s="1319">
        <v>1207547</v>
      </c>
      <c r="F68" s="1318">
        <v>1279999.82</v>
      </c>
      <c r="G68" s="1316">
        <v>1369124.82</v>
      </c>
      <c r="H68" s="1319">
        <v>1369124.82</v>
      </c>
      <c r="I68" s="1318">
        <v>1451272.5</v>
      </c>
      <c r="J68" s="1316">
        <f>I68*1.06</f>
        <v>1538348.85</v>
      </c>
      <c r="K68" s="1319">
        <f>J68*1.06</f>
        <v>1630649.7810000002</v>
      </c>
      <c r="Q68" s="111"/>
      <c r="R68" s="112"/>
    </row>
    <row r="69" spans="1:18" ht="11.25" customHeight="1" x14ac:dyDescent="0.25">
      <c r="A69" s="886" t="s">
        <v>2424</v>
      </c>
      <c r="B69" s="55"/>
      <c r="C69" s="1316"/>
      <c r="D69" s="1316"/>
      <c r="E69" s="1319"/>
      <c r="F69" s="1318"/>
      <c r="G69" s="1316"/>
      <c r="H69" s="1319"/>
      <c r="I69" s="1318"/>
      <c r="J69" s="1316"/>
      <c r="K69" s="1319"/>
      <c r="Q69" s="111"/>
      <c r="R69" s="112"/>
    </row>
    <row r="70" spans="1:18" ht="11.25" customHeight="1" x14ac:dyDescent="0.25">
      <c r="A70" s="886" t="s">
        <v>2425</v>
      </c>
      <c r="B70" s="55"/>
      <c r="C70" s="1316"/>
      <c r="D70" s="1316"/>
      <c r="E70" s="1319"/>
      <c r="F70" s="1318"/>
      <c r="G70" s="1316"/>
      <c r="H70" s="1319"/>
      <c r="I70" s="1318"/>
      <c r="J70" s="1316"/>
      <c r="K70" s="1319"/>
      <c r="Q70" s="111"/>
      <c r="R70" s="112"/>
    </row>
    <row r="71" spans="1:18" ht="11.25" customHeight="1" x14ac:dyDescent="0.25">
      <c r="A71" s="886" t="s">
        <v>2426</v>
      </c>
      <c r="B71" s="55"/>
      <c r="C71" s="1316"/>
      <c r="D71" s="1316"/>
      <c r="E71" s="1319"/>
      <c r="F71" s="1318"/>
      <c r="G71" s="1316"/>
      <c r="H71" s="1319"/>
      <c r="I71" s="1318"/>
      <c r="J71" s="1316"/>
      <c r="K71" s="1319"/>
      <c r="Q71" s="111"/>
      <c r="R71" s="112"/>
    </row>
    <row r="72" spans="1:18" ht="11.25" customHeight="1" x14ac:dyDescent="0.25">
      <c r="A72" s="886" t="s">
        <v>2427</v>
      </c>
      <c r="B72" s="55"/>
      <c r="C72" s="1316"/>
      <c r="D72" s="1316"/>
      <c r="E72" s="1319"/>
      <c r="F72" s="1318"/>
      <c r="G72" s="1316"/>
      <c r="H72" s="1319"/>
      <c r="I72" s="1318"/>
      <c r="J72" s="1316"/>
      <c r="K72" s="1319"/>
      <c r="Q72" s="111"/>
      <c r="R72" s="112"/>
    </row>
    <row r="73" spans="1:18" ht="11.25" customHeight="1" x14ac:dyDescent="0.25">
      <c r="A73" s="886" t="s">
        <v>2428</v>
      </c>
      <c r="B73" s="55"/>
      <c r="C73" s="1316"/>
      <c r="D73" s="1316"/>
      <c r="E73" s="1319"/>
      <c r="F73" s="1318"/>
      <c r="G73" s="1316"/>
      <c r="H73" s="1319"/>
      <c r="I73" s="1318"/>
      <c r="J73" s="1316"/>
      <c r="K73" s="1319"/>
      <c r="Q73" s="111"/>
      <c r="R73" s="112"/>
    </row>
    <row r="74" spans="1:18" ht="11.25" customHeight="1" x14ac:dyDescent="0.25">
      <c r="A74" s="728" t="s">
        <v>127</v>
      </c>
      <c r="B74" s="55"/>
      <c r="C74" s="122">
        <f t="shared" ref="C74:K74" si="11">C75+C86+C91</f>
        <v>0</v>
      </c>
      <c r="D74" s="122">
        <f t="shared" si="11"/>
        <v>840733</v>
      </c>
      <c r="E74" s="507">
        <f t="shared" si="11"/>
        <v>469296</v>
      </c>
      <c r="F74" s="125">
        <f t="shared" si="11"/>
        <v>15718221.170400001</v>
      </c>
      <c r="G74" s="122">
        <f t="shared" si="11"/>
        <v>9138531.1704000011</v>
      </c>
      <c r="H74" s="507">
        <f t="shared" si="11"/>
        <v>9138531.1704000011</v>
      </c>
      <c r="I74" s="125">
        <f t="shared" si="11"/>
        <v>18630668.899999999</v>
      </c>
      <c r="J74" s="122">
        <f t="shared" si="11"/>
        <v>19748509.034000002</v>
      </c>
      <c r="K74" s="507">
        <f t="shared" si="11"/>
        <v>20933419.57604</v>
      </c>
      <c r="Q74" s="111"/>
      <c r="R74" s="112"/>
    </row>
    <row r="75" spans="1:18" ht="11.25" customHeight="1" x14ac:dyDescent="0.25">
      <c r="A75" s="767" t="s">
        <v>128</v>
      </c>
      <c r="B75" s="55"/>
      <c r="C75" s="81">
        <f>SUM(C76:C85)</f>
        <v>0</v>
      </c>
      <c r="D75" s="81">
        <f t="shared" ref="D75:K75" si="12">SUM(D76:D85)</f>
        <v>538884</v>
      </c>
      <c r="E75" s="472">
        <f t="shared" si="12"/>
        <v>200000</v>
      </c>
      <c r="F75" s="84">
        <f t="shared" si="12"/>
        <v>2364120.62</v>
      </c>
      <c r="G75" s="81">
        <f t="shared" si="12"/>
        <v>2364120.62</v>
      </c>
      <c r="H75" s="472">
        <f t="shared" si="12"/>
        <v>2364120.62</v>
      </c>
      <c r="I75" s="84">
        <f t="shared" si="12"/>
        <v>3001905.9</v>
      </c>
      <c r="J75" s="81">
        <f t="shared" si="12"/>
        <v>3182020.2540000002</v>
      </c>
      <c r="K75" s="472">
        <f t="shared" si="12"/>
        <v>3372941.4692400005</v>
      </c>
      <c r="Q75" s="111"/>
      <c r="R75" s="112"/>
    </row>
    <row r="76" spans="1:18" ht="11.25" customHeight="1" x14ac:dyDescent="0.25">
      <c r="A76" s="886" t="s">
        <v>2456</v>
      </c>
      <c r="B76" s="55"/>
      <c r="C76" s="1316"/>
      <c r="D76" s="1316"/>
      <c r="E76" s="1319"/>
      <c r="F76" s="1318"/>
      <c r="G76" s="1316"/>
      <c r="H76" s="1319"/>
      <c r="I76" s="1318"/>
      <c r="J76" s="1316"/>
      <c r="K76" s="1319"/>
      <c r="Q76" s="111"/>
      <c r="R76" s="112"/>
    </row>
    <row r="77" spans="1:18" ht="11.25" customHeight="1" x14ac:dyDescent="0.25">
      <c r="A77" s="886" t="s">
        <v>2457</v>
      </c>
      <c r="B77" s="55"/>
      <c r="C77" s="1316"/>
      <c r="D77" s="1316"/>
      <c r="E77" s="1319"/>
      <c r="F77" s="1318"/>
      <c r="G77" s="1316"/>
      <c r="H77" s="1319"/>
      <c r="I77" s="1318"/>
      <c r="J77" s="1316"/>
      <c r="K77" s="1319"/>
      <c r="Q77" s="111"/>
      <c r="R77" s="112"/>
    </row>
    <row r="78" spans="1:18" ht="11.25" customHeight="1" x14ac:dyDescent="0.25">
      <c r="A78" s="886" t="s">
        <v>2458</v>
      </c>
      <c r="B78" s="55"/>
      <c r="C78" s="1316"/>
      <c r="D78" s="1316"/>
      <c r="E78" s="1319"/>
      <c r="F78" s="1318"/>
      <c r="G78" s="1316"/>
      <c r="H78" s="1319"/>
      <c r="I78" s="1318"/>
      <c r="J78" s="1316"/>
      <c r="K78" s="1319"/>
      <c r="Q78" s="111"/>
      <c r="R78" s="112"/>
    </row>
    <row r="79" spans="1:18" ht="11.25" customHeight="1" x14ac:dyDescent="0.25">
      <c r="A79" s="886" t="s">
        <v>2459</v>
      </c>
      <c r="B79" s="55"/>
      <c r="C79" s="1316"/>
      <c r="D79" s="1316"/>
      <c r="E79" s="1319"/>
      <c r="F79" s="1318"/>
      <c r="G79" s="1316"/>
      <c r="H79" s="1319"/>
      <c r="I79" s="1318"/>
      <c r="J79" s="1316"/>
      <c r="K79" s="1319"/>
      <c r="Q79" s="111"/>
      <c r="R79" s="112"/>
    </row>
    <row r="80" spans="1:18" ht="11.25" customHeight="1" x14ac:dyDescent="0.25">
      <c r="A80" s="886" t="s">
        <v>2460</v>
      </c>
      <c r="B80" s="55"/>
      <c r="C80" s="1316"/>
      <c r="D80" s="1316"/>
      <c r="E80" s="1319"/>
      <c r="F80" s="1318"/>
      <c r="G80" s="1316"/>
      <c r="H80" s="1319"/>
      <c r="I80" s="1318"/>
      <c r="J80" s="1316"/>
      <c r="K80" s="1319"/>
      <c r="Q80" s="111"/>
      <c r="R80" s="112"/>
    </row>
    <row r="81" spans="1:18" ht="11.25" customHeight="1" x14ac:dyDescent="0.25">
      <c r="A81" s="886" t="s">
        <v>2461</v>
      </c>
      <c r="B81" s="55"/>
      <c r="C81" s="1316"/>
      <c r="D81" s="1316"/>
      <c r="E81" s="1319"/>
      <c r="F81" s="1318"/>
      <c r="G81" s="1316"/>
      <c r="H81" s="1319"/>
      <c r="I81" s="1318"/>
      <c r="J81" s="1316"/>
      <c r="K81" s="1319"/>
      <c r="Q81" s="111"/>
      <c r="R81" s="112"/>
    </row>
    <row r="82" spans="1:18" ht="11.25" customHeight="1" x14ac:dyDescent="0.25">
      <c r="A82" s="886" t="s">
        <v>2462</v>
      </c>
      <c r="B82" s="55"/>
      <c r="C82" s="1316"/>
      <c r="D82" s="1316">
        <v>538884</v>
      </c>
      <c r="E82" s="1319">
        <v>200000</v>
      </c>
      <c r="F82" s="1318">
        <v>1350770.62</v>
      </c>
      <c r="G82" s="1316">
        <v>1350770.62</v>
      </c>
      <c r="H82" s="1319">
        <v>1350770.62</v>
      </c>
      <c r="I82" s="1318">
        <v>1631344</v>
      </c>
      <c r="J82" s="1316">
        <f>I82*1.06</f>
        <v>1729224.6400000001</v>
      </c>
      <c r="K82" s="1319">
        <f>J82*1.06</f>
        <v>1832978.1184000003</v>
      </c>
      <c r="Q82" s="111"/>
      <c r="R82" s="112"/>
    </row>
    <row r="83" spans="1:18" ht="11.25" customHeight="1" x14ac:dyDescent="0.25">
      <c r="A83" s="886" t="s">
        <v>2463</v>
      </c>
      <c r="B83" s="55"/>
      <c r="C83" s="1316"/>
      <c r="D83" s="1316"/>
      <c r="E83" s="1319"/>
      <c r="F83" s="1318">
        <v>1013350</v>
      </c>
      <c r="G83" s="1316">
        <v>1013350</v>
      </c>
      <c r="H83" s="1319">
        <v>1013350</v>
      </c>
      <c r="I83" s="1318">
        <v>1370561.9</v>
      </c>
      <c r="J83" s="1316">
        <f>I83*1.06</f>
        <v>1452795.6140000001</v>
      </c>
      <c r="K83" s="1319">
        <f>J83*1.06</f>
        <v>1539963.3508400002</v>
      </c>
      <c r="Q83" s="111"/>
      <c r="R83" s="112"/>
    </row>
    <row r="84" spans="1:18" ht="11.25" customHeight="1" x14ac:dyDescent="0.25">
      <c r="A84" s="886" t="s">
        <v>2464</v>
      </c>
      <c r="B84" s="55"/>
      <c r="C84" s="1316"/>
      <c r="D84" s="1316"/>
      <c r="E84" s="1319"/>
      <c r="F84" s="1318"/>
      <c r="G84" s="1316"/>
      <c r="H84" s="1319"/>
      <c r="I84" s="1318"/>
      <c r="J84" s="1316"/>
      <c r="K84" s="1319"/>
      <c r="Q84" s="111"/>
      <c r="R84" s="112"/>
    </row>
    <row r="85" spans="1:18" ht="11.25" customHeight="1" x14ac:dyDescent="0.25">
      <c r="A85" s="886" t="s">
        <v>2465</v>
      </c>
      <c r="B85" s="55"/>
      <c r="C85" s="1316"/>
      <c r="D85" s="1316"/>
      <c r="E85" s="1319"/>
      <c r="F85" s="1318"/>
      <c r="G85" s="1316"/>
      <c r="H85" s="1319"/>
      <c r="I85" s="1318"/>
      <c r="J85" s="1316"/>
      <c r="K85" s="1319"/>
      <c r="Q85" s="111"/>
      <c r="R85" s="112"/>
    </row>
    <row r="86" spans="1:18" ht="11.25" customHeight="1" x14ac:dyDescent="0.25">
      <c r="A86" s="767" t="s">
        <v>129</v>
      </c>
      <c r="B86" s="55"/>
      <c r="C86" s="81">
        <f t="shared" ref="C86:K86" si="13">SUM(C87:C90)</f>
        <v>0</v>
      </c>
      <c r="D86" s="81">
        <f t="shared" si="13"/>
        <v>301849</v>
      </c>
      <c r="E86" s="472">
        <f t="shared" si="13"/>
        <v>269296</v>
      </c>
      <c r="F86" s="84">
        <f t="shared" si="13"/>
        <v>13354100.5504</v>
      </c>
      <c r="G86" s="81">
        <f t="shared" si="13"/>
        <v>6774410.5504000001</v>
      </c>
      <c r="H86" s="472">
        <f t="shared" si="13"/>
        <v>6774410.5504000001</v>
      </c>
      <c r="I86" s="84">
        <f t="shared" si="13"/>
        <v>15628763</v>
      </c>
      <c r="J86" s="81">
        <f t="shared" si="13"/>
        <v>16566488.780000001</v>
      </c>
      <c r="K86" s="472">
        <f t="shared" si="13"/>
        <v>17560478.106800001</v>
      </c>
      <c r="Q86" s="111"/>
      <c r="R86" s="112"/>
    </row>
    <row r="87" spans="1:18" ht="11.25" customHeight="1" x14ac:dyDescent="0.25">
      <c r="A87" s="886" t="s">
        <v>2468</v>
      </c>
      <c r="B87" s="55"/>
      <c r="C87" s="1316"/>
      <c r="D87" s="1316"/>
      <c r="E87" s="1319"/>
      <c r="F87" s="1318"/>
      <c r="G87" s="1316"/>
      <c r="H87" s="1319"/>
      <c r="I87" s="1318"/>
      <c r="J87" s="1316"/>
      <c r="K87" s="1319"/>
      <c r="Q87" s="111"/>
      <c r="R87" s="112"/>
    </row>
    <row r="88" spans="1:18" ht="11.25" customHeight="1" x14ac:dyDescent="0.25">
      <c r="A88" s="886" t="s">
        <v>2469</v>
      </c>
      <c r="B88" s="55"/>
      <c r="C88" s="1316"/>
      <c r="D88" s="1316"/>
      <c r="E88" s="1319"/>
      <c r="F88" s="1318">
        <v>4187913.5504000001</v>
      </c>
      <c r="G88" s="1316">
        <v>4092545.5504000001</v>
      </c>
      <c r="H88" s="1319">
        <v>4092545.5504000001</v>
      </c>
      <c r="I88" s="1318">
        <v>5325629</v>
      </c>
      <c r="J88" s="1316">
        <f>I88*1.06</f>
        <v>5645166.7400000002</v>
      </c>
      <c r="K88" s="1319">
        <f>J88*1.06</f>
        <v>5983876.7444000002</v>
      </c>
      <c r="Q88" s="111"/>
      <c r="R88" s="112"/>
    </row>
    <row r="89" spans="1:18" ht="11.25" customHeight="1" x14ac:dyDescent="0.25">
      <c r="A89" s="886" t="s">
        <v>638</v>
      </c>
      <c r="B89" s="55"/>
      <c r="C89" s="1316"/>
      <c r="D89" s="1316">
        <v>301849</v>
      </c>
      <c r="E89" s="1319">
        <v>269296</v>
      </c>
      <c r="F89" s="1318">
        <v>9166187</v>
      </c>
      <c r="G89" s="1316">
        <v>2681865</v>
      </c>
      <c r="H89" s="1319">
        <v>2681865</v>
      </c>
      <c r="I89" s="1318">
        <v>10303134</v>
      </c>
      <c r="J89" s="1316">
        <f>I89*1.06</f>
        <v>10921322.040000001</v>
      </c>
      <c r="K89" s="1319">
        <f>J89*1.06</f>
        <v>11576601.362400001</v>
      </c>
      <c r="Q89" s="111"/>
      <c r="R89" s="112"/>
    </row>
    <row r="90" spans="1:18" ht="11.25" customHeight="1" x14ac:dyDescent="0.25">
      <c r="A90" s="886" t="s">
        <v>2470</v>
      </c>
      <c r="B90" s="55"/>
      <c r="C90" s="1316"/>
      <c r="D90" s="1316"/>
      <c r="E90" s="1319"/>
      <c r="F90" s="1318"/>
      <c r="G90" s="1316"/>
      <c r="H90" s="1319"/>
      <c r="I90" s="1318"/>
      <c r="J90" s="1316"/>
      <c r="K90" s="1319"/>
      <c r="Q90" s="111"/>
      <c r="R90" s="112"/>
    </row>
    <row r="91" spans="1:18" ht="11.25" customHeight="1" x14ac:dyDescent="0.25">
      <c r="A91" s="767" t="s">
        <v>130</v>
      </c>
      <c r="B91" s="55"/>
      <c r="C91" s="81">
        <f>SUM(C92:C97)</f>
        <v>0</v>
      </c>
      <c r="D91" s="81">
        <f t="shared" ref="D91:K91" si="14">SUM(D92:D97)</f>
        <v>0</v>
      </c>
      <c r="E91" s="472">
        <f t="shared" si="14"/>
        <v>0</v>
      </c>
      <c r="F91" s="84">
        <f t="shared" si="14"/>
        <v>0</v>
      </c>
      <c r="G91" s="81">
        <f t="shared" si="14"/>
        <v>0</v>
      </c>
      <c r="H91" s="472">
        <f t="shared" si="14"/>
        <v>0</v>
      </c>
      <c r="I91" s="84">
        <f t="shared" si="14"/>
        <v>0</v>
      </c>
      <c r="J91" s="81">
        <f t="shared" si="14"/>
        <v>0</v>
      </c>
      <c r="K91" s="472">
        <f t="shared" si="14"/>
        <v>0</v>
      </c>
      <c r="Q91" s="111"/>
      <c r="R91" s="112"/>
    </row>
    <row r="92" spans="1:18" ht="11.25" customHeight="1" x14ac:dyDescent="0.25">
      <c r="A92" s="886" t="s">
        <v>2471</v>
      </c>
      <c r="B92" s="55"/>
      <c r="C92" s="1316"/>
      <c r="D92" s="1316"/>
      <c r="E92" s="1319"/>
      <c r="F92" s="1318"/>
      <c r="G92" s="1316"/>
      <c r="H92" s="1319"/>
      <c r="I92" s="1318"/>
      <c r="J92" s="1316"/>
      <c r="K92" s="1319"/>
      <c r="Q92" s="111"/>
      <c r="R92" s="112"/>
    </row>
    <row r="93" spans="1:18" ht="11.25" customHeight="1" x14ac:dyDescent="0.25">
      <c r="A93" s="886" t="s">
        <v>2472</v>
      </c>
      <c r="B93" s="55"/>
      <c r="C93" s="1316"/>
      <c r="D93" s="1316"/>
      <c r="E93" s="1319"/>
      <c r="F93" s="1318"/>
      <c r="G93" s="1316"/>
      <c r="H93" s="1319"/>
      <c r="I93" s="1318"/>
      <c r="J93" s="1316"/>
      <c r="K93" s="1319"/>
      <c r="Q93" s="111"/>
      <c r="R93" s="112"/>
    </row>
    <row r="94" spans="1:18" ht="11.25" customHeight="1" x14ac:dyDescent="0.25">
      <c r="A94" s="886" t="s">
        <v>2473</v>
      </c>
      <c r="B94" s="55"/>
      <c r="C94" s="1316"/>
      <c r="D94" s="1316"/>
      <c r="E94" s="1319"/>
      <c r="F94" s="1318"/>
      <c r="G94" s="1316"/>
      <c r="H94" s="1319"/>
      <c r="I94" s="1318"/>
      <c r="J94" s="1316"/>
      <c r="K94" s="1319"/>
      <c r="Q94" s="111"/>
      <c r="R94" s="112"/>
    </row>
    <row r="95" spans="1:18" ht="11.25" customHeight="1" x14ac:dyDescent="0.25">
      <c r="A95" s="886" t="s">
        <v>2474</v>
      </c>
      <c r="B95" s="55"/>
      <c r="C95" s="1316"/>
      <c r="D95" s="1316"/>
      <c r="E95" s="1319"/>
      <c r="F95" s="1318"/>
      <c r="G95" s="1316"/>
      <c r="H95" s="1319"/>
      <c r="I95" s="1318"/>
      <c r="J95" s="1316"/>
      <c r="K95" s="1319"/>
      <c r="Q95" s="111"/>
      <c r="R95" s="112"/>
    </row>
    <row r="96" spans="1:18" ht="11.25" customHeight="1" x14ac:dyDescent="0.25">
      <c r="A96" s="886" t="s">
        <v>634</v>
      </c>
      <c r="B96" s="55"/>
      <c r="C96" s="1316"/>
      <c r="D96" s="1316"/>
      <c r="E96" s="1319"/>
      <c r="F96" s="1318"/>
      <c r="G96" s="1316"/>
      <c r="H96" s="1319"/>
      <c r="I96" s="1318"/>
      <c r="J96" s="1316"/>
      <c r="K96" s="1319"/>
      <c r="Q96" s="111"/>
      <c r="R96" s="112"/>
    </row>
    <row r="97" spans="1:18" ht="11.25" customHeight="1" x14ac:dyDescent="0.25">
      <c r="A97" s="886" t="s">
        <v>2475</v>
      </c>
      <c r="B97" s="55"/>
      <c r="C97" s="1316"/>
      <c r="D97" s="1316"/>
      <c r="E97" s="1319"/>
      <c r="F97" s="1318"/>
      <c r="G97" s="1316"/>
      <c r="H97" s="1319"/>
      <c r="I97" s="1318"/>
      <c r="J97" s="1316"/>
      <c r="K97" s="1319"/>
      <c r="Q97" s="111"/>
      <c r="R97" s="112"/>
    </row>
    <row r="98" spans="1:18" ht="11.25" customHeight="1" x14ac:dyDescent="0.25">
      <c r="A98" s="728" t="s">
        <v>131</v>
      </c>
      <c r="B98" s="55"/>
      <c r="C98" s="122">
        <f>C99+C103+C107+C112</f>
        <v>0</v>
      </c>
      <c r="D98" s="122">
        <f t="shared" ref="D98:J98" si="15">D99+D103+D107+D112</f>
        <v>186006475</v>
      </c>
      <c r="E98" s="507">
        <f t="shared" si="15"/>
        <v>213999188</v>
      </c>
      <c r="F98" s="125">
        <f t="shared" si="15"/>
        <v>239905005.75559998</v>
      </c>
      <c r="G98" s="122">
        <f t="shared" si="15"/>
        <v>280447022.93559998</v>
      </c>
      <c r="H98" s="507">
        <f t="shared" si="15"/>
        <v>280447022.93559998</v>
      </c>
      <c r="I98" s="125">
        <f t="shared" si="15"/>
        <v>291147977.18897253</v>
      </c>
      <c r="J98" s="122">
        <f t="shared" si="15"/>
        <v>308616855.82031089</v>
      </c>
      <c r="K98" s="507">
        <f>K99+K103+K107+K112</f>
        <v>327133867.16952956</v>
      </c>
      <c r="Q98" s="111"/>
      <c r="R98" s="112"/>
    </row>
    <row r="99" spans="1:18" ht="11.25" customHeight="1" x14ac:dyDescent="0.25">
      <c r="A99" s="767" t="s">
        <v>2409</v>
      </c>
      <c r="B99" s="55"/>
      <c r="C99" s="81">
        <f>SUM(C100:C102)</f>
        <v>0</v>
      </c>
      <c r="D99" s="81">
        <f t="shared" ref="D99:K99" si="16">SUM(D100:D102)</f>
        <v>88506858</v>
      </c>
      <c r="E99" s="472">
        <f t="shared" si="16"/>
        <v>111994059</v>
      </c>
      <c r="F99" s="84">
        <f t="shared" si="16"/>
        <v>119089977.8434</v>
      </c>
      <c r="G99" s="81">
        <f t="shared" si="16"/>
        <v>134036640.8434</v>
      </c>
      <c r="H99" s="472">
        <f t="shared" si="16"/>
        <v>134036640.8434</v>
      </c>
      <c r="I99" s="84">
        <f t="shared" si="16"/>
        <v>145976030.86761701</v>
      </c>
      <c r="J99" s="81">
        <f t="shared" si="16"/>
        <v>154734592.71967405</v>
      </c>
      <c r="K99" s="472">
        <f t="shared" si="16"/>
        <v>164018668.2828545</v>
      </c>
      <c r="Q99" s="111"/>
      <c r="R99" s="112"/>
    </row>
    <row r="100" spans="1:18" ht="11.25" customHeight="1" x14ac:dyDescent="0.25">
      <c r="A100" s="886" t="s">
        <v>2476</v>
      </c>
      <c r="B100" s="55"/>
      <c r="C100" s="1316"/>
      <c r="D100" s="1316">
        <v>88506858</v>
      </c>
      <c r="E100" s="1319">
        <v>111994059</v>
      </c>
      <c r="F100" s="1318">
        <v>119085377.6434</v>
      </c>
      <c r="G100" s="1316">
        <v>134032040.6434</v>
      </c>
      <c r="H100" s="1319">
        <v>134032040.6434</v>
      </c>
      <c r="I100" s="1318">
        <v>145971430.86761701</v>
      </c>
      <c r="J100" s="1316">
        <f>I100*1.06</f>
        <v>154729716.71967405</v>
      </c>
      <c r="K100" s="1319">
        <f>J100*1.06</f>
        <v>164013499.7228545</v>
      </c>
      <c r="Q100" s="111"/>
      <c r="R100" s="112"/>
    </row>
    <row r="101" spans="1:18" ht="11.25" customHeight="1" x14ac:dyDescent="0.25">
      <c r="A101" s="886" t="s">
        <v>2477</v>
      </c>
      <c r="B101" s="55"/>
      <c r="C101" s="1316"/>
      <c r="D101" s="1316"/>
      <c r="E101" s="1319"/>
      <c r="F101" s="1318">
        <v>4600.2</v>
      </c>
      <c r="G101" s="1316">
        <v>4600.2</v>
      </c>
      <c r="H101" s="1319">
        <v>4600.2</v>
      </c>
      <c r="I101" s="1318">
        <v>4600</v>
      </c>
      <c r="J101" s="1316">
        <f>I101*1.06</f>
        <v>4876</v>
      </c>
      <c r="K101" s="1319">
        <f>J101*1.06</f>
        <v>5168.5600000000004</v>
      </c>
      <c r="Q101" s="111"/>
      <c r="R101" s="112"/>
    </row>
    <row r="102" spans="1:18" ht="11.25" customHeight="1" x14ac:dyDescent="0.25">
      <c r="A102" s="886" t="s">
        <v>2478</v>
      </c>
      <c r="B102" s="55"/>
      <c r="C102" s="1316"/>
      <c r="D102" s="1316"/>
      <c r="E102" s="1319"/>
      <c r="F102" s="1318"/>
      <c r="G102" s="1316"/>
      <c r="H102" s="1319"/>
      <c r="I102" s="1318"/>
      <c r="J102" s="1316"/>
      <c r="K102" s="1319"/>
      <c r="Q102" s="111"/>
      <c r="R102" s="112"/>
    </row>
    <row r="103" spans="1:18" ht="11.25" customHeight="1" x14ac:dyDescent="0.25">
      <c r="A103" s="767" t="s">
        <v>2410</v>
      </c>
      <c r="B103" s="55"/>
      <c r="C103" s="81">
        <f>SUM(C104:C106)</f>
        <v>0</v>
      </c>
      <c r="D103" s="81">
        <f t="shared" ref="D103:K103" si="17">SUM(D104:D106)</f>
        <v>68815391</v>
      </c>
      <c r="E103" s="472">
        <f t="shared" si="17"/>
        <v>43622498</v>
      </c>
      <c r="F103" s="84">
        <f t="shared" si="17"/>
        <v>69327900.092199996</v>
      </c>
      <c r="G103" s="81">
        <f t="shared" si="17"/>
        <v>92245630.092199996</v>
      </c>
      <c r="H103" s="472">
        <f t="shared" si="17"/>
        <v>92245630.092199996</v>
      </c>
      <c r="I103" s="84">
        <f t="shared" si="17"/>
        <v>70222539.610263899</v>
      </c>
      <c r="J103" s="81">
        <f t="shared" si="17"/>
        <v>74435891.986879736</v>
      </c>
      <c r="K103" s="472">
        <f t="shared" si="17"/>
        <v>78902045.506092519</v>
      </c>
      <c r="Q103" s="111"/>
      <c r="R103" s="112"/>
    </row>
    <row r="104" spans="1:18" ht="11.25" customHeight="1" x14ac:dyDescent="0.25">
      <c r="A104" s="886" t="s">
        <v>2479</v>
      </c>
      <c r="B104" s="55"/>
      <c r="C104" s="1316"/>
      <c r="D104" s="1316"/>
      <c r="E104" s="1319"/>
      <c r="F104" s="1318"/>
      <c r="G104" s="1316"/>
      <c r="H104" s="1319"/>
      <c r="I104" s="1318"/>
      <c r="J104" s="1316"/>
      <c r="K104" s="1319"/>
      <c r="Q104" s="111"/>
      <c r="R104" s="112"/>
    </row>
    <row r="105" spans="1:18" ht="11.25" customHeight="1" x14ac:dyDescent="0.25">
      <c r="A105" s="886" t="s">
        <v>639</v>
      </c>
      <c r="B105" s="55"/>
      <c r="C105" s="1316"/>
      <c r="D105" s="1316">
        <v>68815391</v>
      </c>
      <c r="E105" s="1319">
        <v>43622498</v>
      </c>
      <c r="F105" s="1318">
        <v>69327900.092199996</v>
      </c>
      <c r="G105" s="1316">
        <v>92245630.092199996</v>
      </c>
      <c r="H105" s="1319">
        <v>92245630.092199996</v>
      </c>
      <c r="I105" s="1318">
        <v>70222539.610263899</v>
      </c>
      <c r="J105" s="1316">
        <f>I105*1.06</f>
        <v>74435891.986879736</v>
      </c>
      <c r="K105" s="1319">
        <f>J105*1.06</f>
        <v>78902045.506092519</v>
      </c>
      <c r="Q105" s="111"/>
      <c r="R105" s="112"/>
    </row>
    <row r="106" spans="1:18" ht="11.25" customHeight="1" x14ac:dyDescent="0.25">
      <c r="A106" s="886" t="s">
        <v>640</v>
      </c>
      <c r="B106" s="55"/>
      <c r="C106" s="1316"/>
      <c r="D106" s="1316"/>
      <c r="E106" s="1319"/>
      <c r="F106" s="1318"/>
      <c r="G106" s="1316"/>
      <c r="H106" s="1319"/>
      <c r="I106" s="1318"/>
      <c r="J106" s="1316"/>
      <c r="K106" s="1319"/>
      <c r="Q106" s="111"/>
      <c r="R106" s="112"/>
    </row>
    <row r="107" spans="1:18" ht="11.25" customHeight="1" x14ac:dyDescent="0.25">
      <c r="A107" s="767" t="s">
        <v>1001</v>
      </c>
      <c r="B107" s="55"/>
      <c r="C107" s="81">
        <f>SUM(C108:C111)</f>
        <v>0</v>
      </c>
      <c r="D107" s="81">
        <f t="shared" ref="D107:K107" si="18">SUM(D108:D111)</f>
        <v>24426803</v>
      </c>
      <c r="E107" s="472">
        <f t="shared" si="18"/>
        <v>40444372</v>
      </c>
      <c r="F107" s="84">
        <f t="shared" si="18"/>
        <v>25063937.82</v>
      </c>
      <c r="G107" s="81">
        <f t="shared" si="18"/>
        <v>25029734</v>
      </c>
      <c r="H107" s="472">
        <f t="shared" si="18"/>
        <v>25029734</v>
      </c>
      <c r="I107" s="84">
        <f t="shared" si="18"/>
        <v>34225060.554612502</v>
      </c>
      <c r="J107" s="81">
        <f t="shared" si="18"/>
        <v>36278564.187889256</v>
      </c>
      <c r="K107" s="472">
        <f t="shared" si="18"/>
        <v>38455278.039162613</v>
      </c>
      <c r="Q107" s="111"/>
      <c r="R107" s="112"/>
    </row>
    <row r="108" spans="1:18" ht="11.25" customHeight="1" x14ac:dyDescent="0.25">
      <c r="A108" s="886" t="s">
        <v>637</v>
      </c>
      <c r="B108" s="55"/>
      <c r="C108" s="1316"/>
      <c r="D108" s="1316"/>
      <c r="E108" s="1319"/>
      <c r="F108" s="1318"/>
      <c r="G108" s="1316"/>
      <c r="H108" s="1319"/>
      <c r="I108" s="1318"/>
      <c r="J108" s="1316"/>
      <c r="K108" s="1319"/>
      <c r="Q108" s="111"/>
      <c r="R108" s="112"/>
    </row>
    <row r="109" spans="1:18" ht="11.25" customHeight="1" x14ac:dyDescent="0.25">
      <c r="A109" s="886" t="s">
        <v>635</v>
      </c>
      <c r="B109" s="55"/>
      <c r="C109" s="1316"/>
      <c r="D109" s="1316">
        <v>24426803</v>
      </c>
      <c r="E109" s="1319">
        <v>40444372</v>
      </c>
      <c r="F109" s="1318">
        <v>24619426.82</v>
      </c>
      <c r="G109" s="1316">
        <v>24585223</v>
      </c>
      <c r="H109" s="1319">
        <v>24585223</v>
      </c>
      <c r="I109" s="1318">
        <v>34225060.554612502</v>
      </c>
      <c r="J109" s="1316">
        <f>I109*1.06</f>
        <v>36278564.187889256</v>
      </c>
      <c r="K109" s="1319">
        <f>J109*1.06</f>
        <v>38455278.039162613</v>
      </c>
      <c r="Q109" s="111"/>
      <c r="R109" s="112"/>
    </row>
    <row r="110" spans="1:18" ht="11.25" customHeight="1" x14ac:dyDescent="0.25">
      <c r="A110" s="886" t="s">
        <v>636</v>
      </c>
      <c r="B110" s="55"/>
      <c r="C110" s="1316"/>
      <c r="D110" s="1316"/>
      <c r="E110" s="1319"/>
      <c r="F110" s="1318">
        <v>444511</v>
      </c>
      <c r="G110" s="1316">
        <v>444511</v>
      </c>
      <c r="H110" s="1319">
        <v>444511</v>
      </c>
      <c r="I110" s="1318">
        <v>0</v>
      </c>
      <c r="J110" s="1316">
        <v>0</v>
      </c>
      <c r="K110" s="1319">
        <v>0</v>
      </c>
      <c r="Q110" s="111"/>
      <c r="R110" s="112"/>
    </row>
    <row r="111" spans="1:18" ht="11.25" customHeight="1" x14ac:dyDescent="0.25">
      <c r="A111" s="886" t="s">
        <v>2480</v>
      </c>
      <c r="B111" s="55"/>
      <c r="C111" s="1316"/>
      <c r="D111" s="1316"/>
      <c r="E111" s="1319"/>
      <c r="F111" s="1318"/>
      <c r="G111" s="1316"/>
      <c r="H111" s="1319"/>
      <c r="I111" s="1318"/>
      <c r="J111" s="1316"/>
      <c r="K111" s="1319"/>
      <c r="Q111" s="111"/>
      <c r="R111" s="112"/>
    </row>
    <row r="112" spans="1:18" ht="11.25" customHeight="1" x14ac:dyDescent="0.25">
      <c r="A112" s="767" t="s">
        <v>1002</v>
      </c>
      <c r="B112" s="55"/>
      <c r="C112" s="81">
        <f>SUM(C113:C116)</f>
        <v>0</v>
      </c>
      <c r="D112" s="81">
        <f t="shared" ref="D112:K112" si="19">SUM(D113:D116)</f>
        <v>4257423</v>
      </c>
      <c r="E112" s="472">
        <f t="shared" si="19"/>
        <v>17938259</v>
      </c>
      <c r="F112" s="84">
        <f t="shared" si="19"/>
        <v>26423190</v>
      </c>
      <c r="G112" s="81">
        <f t="shared" si="19"/>
        <v>29135018</v>
      </c>
      <c r="H112" s="472">
        <f t="shared" si="19"/>
        <v>29135018</v>
      </c>
      <c r="I112" s="84">
        <f t="shared" si="19"/>
        <v>40724346.156479098</v>
      </c>
      <c r="J112" s="81">
        <f t="shared" si="19"/>
        <v>43167806.925867848</v>
      </c>
      <c r="K112" s="472">
        <f t="shared" si="19"/>
        <v>45757875.34141992</v>
      </c>
      <c r="Q112" s="111"/>
      <c r="R112" s="112"/>
    </row>
    <row r="113" spans="1:18" ht="11.25" customHeight="1" x14ac:dyDescent="0.25">
      <c r="A113" s="886" t="s">
        <v>2481</v>
      </c>
      <c r="B113" s="55"/>
      <c r="C113" s="1316"/>
      <c r="D113" s="1316"/>
      <c r="E113" s="1319"/>
      <c r="F113" s="1318"/>
      <c r="G113" s="1316"/>
      <c r="H113" s="1319"/>
      <c r="I113" s="1318"/>
      <c r="J113" s="1316"/>
      <c r="K113" s="1319"/>
      <c r="Q113" s="111"/>
      <c r="R113" s="112"/>
    </row>
    <row r="114" spans="1:18" ht="11.25" customHeight="1" x14ac:dyDescent="0.25">
      <c r="A114" s="886" t="s">
        <v>2482</v>
      </c>
      <c r="B114" s="55"/>
      <c r="C114" s="1316"/>
      <c r="D114" s="1316"/>
      <c r="E114" s="1319"/>
      <c r="F114" s="1318"/>
      <c r="G114" s="1316"/>
      <c r="H114" s="1319"/>
      <c r="I114" s="1318"/>
      <c r="J114" s="1316"/>
      <c r="K114" s="1319"/>
      <c r="Q114" s="111"/>
      <c r="R114" s="112"/>
    </row>
    <row r="115" spans="1:18" ht="11.25" customHeight="1" x14ac:dyDescent="0.25">
      <c r="A115" s="886" t="s">
        <v>2483</v>
      </c>
      <c r="B115" s="55"/>
      <c r="C115" s="1316"/>
      <c r="D115" s="1316">
        <v>4257423</v>
      </c>
      <c r="E115" s="1319">
        <v>17938259</v>
      </c>
      <c r="F115" s="1318">
        <v>26423190</v>
      </c>
      <c r="G115" s="1316">
        <v>29135018</v>
      </c>
      <c r="H115" s="1319">
        <v>29135018</v>
      </c>
      <c r="I115" s="1318">
        <v>40724346.156479098</v>
      </c>
      <c r="J115" s="1316">
        <f>I115*1.06</f>
        <v>43167806.925867848</v>
      </c>
      <c r="K115" s="1319">
        <f>J115*1.06</f>
        <v>45757875.34141992</v>
      </c>
      <c r="Q115" s="111"/>
      <c r="R115" s="112"/>
    </row>
    <row r="116" spans="1:18" ht="11.25" customHeight="1" x14ac:dyDescent="0.25">
      <c r="A116" s="886" t="s">
        <v>2484</v>
      </c>
      <c r="B116" s="55"/>
      <c r="C116" s="1316"/>
      <c r="D116" s="1316"/>
      <c r="E116" s="1319"/>
      <c r="F116" s="1318"/>
      <c r="G116" s="1316"/>
      <c r="H116" s="1319"/>
      <c r="I116" s="1318"/>
      <c r="J116" s="1316"/>
      <c r="K116" s="1319"/>
      <c r="Q116" s="111"/>
      <c r="R116" s="112"/>
    </row>
    <row r="117" spans="1:18" ht="11.25" customHeight="1" x14ac:dyDescent="0.25">
      <c r="A117" s="728" t="s">
        <v>246</v>
      </c>
      <c r="B117" s="55"/>
      <c r="C117" s="122">
        <f>SUM(C118:C123)</f>
        <v>0</v>
      </c>
      <c r="D117" s="122">
        <f t="shared" ref="D117:K117" si="20">SUM(D118:D123)</f>
        <v>91313</v>
      </c>
      <c r="E117" s="507">
        <f t="shared" si="20"/>
        <v>162926</v>
      </c>
      <c r="F117" s="125">
        <f t="shared" si="20"/>
        <v>585021</v>
      </c>
      <c r="G117" s="122">
        <f t="shared" si="20"/>
        <v>585021</v>
      </c>
      <c r="H117" s="507">
        <f t="shared" si="20"/>
        <v>585021</v>
      </c>
      <c r="I117" s="125">
        <f t="shared" si="20"/>
        <v>398405</v>
      </c>
      <c r="J117" s="122">
        <f t="shared" si="20"/>
        <v>422309.30000000005</v>
      </c>
      <c r="K117" s="507">
        <f t="shared" si="20"/>
        <v>447647.85800000007</v>
      </c>
      <c r="Q117" s="111"/>
      <c r="R117" s="112"/>
    </row>
    <row r="118" spans="1:18" ht="11.25" customHeight="1" x14ac:dyDescent="0.25">
      <c r="A118" s="767" t="s">
        <v>1096</v>
      </c>
      <c r="B118" s="55"/>
      <c r="C118" s="1316"/>
      <c r="D118" s="1316"/>
      <c r="E118" s="1319"/>
      <c r="F118" s="1318"/>
      <c r="G118" s="1316"/>
      <c r="H118" s="1319"/>
      <c r="I118" s="1318"/>
      <c r="J118" s="1316"/>
      <c r="K118" s="1319"/>
      <c r="Q118" s="111"/>
      <c r="R118" s="112"/>
    </row>
    <row r="119" spans="1:18" ht="11.25" customHeight="1" x14ac:dyDescent="0.25">
      <c r="A119" s="767" t="s">
        <v>78</v>
      </c>
      <c r="B119" s="55"/>
      <c r="C119" s="1316"/>
      <c r="D119" s="1316">
        <v>91313</v>
      </c>
      <c r="E119" s="1319">
        <v>162926</v>
      </c>
      <c r="F119" s="1318">
        <v>565021</v>
      </c>
      <c r="G119" s="1316">
        <v>565021</v>
      </c>
      <c r="H119" s="1319">
        <v>565021</v>
      </c>
      <c r="I119" s="1318">
        <v>378405</v>
      </c>
      <c r="J119" s="1316">
        <f>I119*1.06</f>
        <v>401109.30000000005</v>
      </c>
      <c r="K119" s="1319">
        <f>J119*1.06</f>
        <v>425175.85800000007</v>
      </c>
      <c r="Q119" s="111"/>
      <c r="R119" s="112"/>
    </row>
    <row r="120" spans="1:18" ht="11.25" customHeight="1" x14ac:dyDescent="0.25">
      <c r="A120" s="767" t="s">
        <v>2485</v>
      </c>
      <c r="B120" s="55"/>
      <c r="C120" s="1316"/>
      <c r="D120" s="1316"/>
      <c r="E120" s="1319"/>
      <c r="F120" s="1318"/>
      <c r="G120" s="1316"/>
      <c r="H120" s="1319"/>
      <c r="I120" s="1318"/>
      <c r="J120" s="1316"/>
      <c r="K120" s="1319"/>
      <c r="Q120" s="111"/>
      <c r="R120" s="112"/>
    </row>
    <row r="121" spans="1:18" ht="11.25" customHeight="1" x14ac:dyDescent="0.25">
      <c r="A121" s="767" t="s">
        <v>2486</v>
      </c>
      <c r="B121" s="55"/>
      <c r="C121" s="1316"/>
      <c r="D121" s="1316"/>
      <c r="E121" s="1319"/>
      <c r="F121" s="1318"/>
      <c r="G121" s="1316"/>
      <c r="H121" s="1319"/>
      <c r="I121" s="1318"/>
      <c r="J121" s="1316"/>
      <c r="K121" s="1319"/>
      <c r="Q121" s="111"/>
      <c r="R121" s="112"/>
    </row>
    <row r="122" spans="1:18" ht="11.25" customHeight="1" x14ac:dyDescent="0.25">
      <c r="A122" s="767" t="s">
        <v>1097</v>
      </c>
      <c r="B122" s="55"/>
      <c r="C122" s="1316"/>
      <c r="D122" s="1316"/>
      <c r="E122" s="1319"/>
      <c r="F122" s="1318"/>
      <c r="G122" s="1316"/>
      <c r="H122" s="1319"/>
      <c r="I122" s="1318"/>
      <c r="J122" s="1316"/>
      <c r="K122" s="1319"/>
      <c r="Q122" s="111"/>
      <c r="R122" s="112"/>
    </row>
    <row r="123" spans="1:18" ht="11.25" customHeight="1" x14ac:dyDescent="0.25">
      <c r="A123" s="767" t="s">
        <v>538</v>
      </c>
      <c r="B123" s="55"/>
      <c r="C123" s="1316"/>
      <c r="D123" s="1316"/>
      <c r="E123" s="1319"/>
      <c r="F123" s="1318">
        <v>20000</v>
      </c>
      <c r="G123" s="1316">
        <v>20000</v>
      </c>
      <c r="H123" s="1319">
        <v>20000</v>
      </c>
      <c r="I123" s="1318">
        <v>20000</v>
      </c>
      <c r="J123" s="1316">
        <f>I123*1.06</f>
        <v>21200</v>
      </c>
      <c r="K123" s="1319">
        <f>J123*1.06</f>
        <v>22472</v>
      </c>
      <c r="Q123" s="111"/>
      <c r="R123" s="112"/>
    </row>
    <row r="124" spans="1:18" ht="11.25" customHeight="1" x14ac:dyDescent="0.25">
      <c r="A124" s="118" t="str">
        <f>"Total "&amp;A4</f>
        <v>Total Revenue - Functional</v>
      </c>
      <c r="B124" s="55">
        <v>2</v>
      </c>
      <c r="C124" s="81">
        <f t="shared" ref="C124:K124" si="21">C5+C25+C74+C98+C117</f>
        <v>0</v>
      </c>
      <c r="D124" s="81">
        <f t="shared" si="21"/>
        <v>330440712</v>
      </c>
      <c r="E124" s="472">
        <f t="shared" si="21"/>
        <v>376263458</v>
      </c>
      <c r="F124" s="84">
        <f t="shared" si="21"/>
        <v>342318904.5402</v>
      </c>
      <c r="G124" s="81">
        <f t="shared" si="21"/>
        <v>373756321.01619995</v>
      </c>
      <c r="H124" s="472">
        <f t="shared" si="21"/>
        <v>373756321.01619995</v>
      </c>
      <c r="I124" s="84">
        <f t="shared" si="21"/>
        <v>393212328.37799966</v>
      </c>
      <c r="J124" s="81">
        <f t="shared" si="21"/>
        <v>416805068.08067966</v>
      </c>
      <c r="K124" s="472">
        <f t="shared" si="21"/>
        <v>441813372.16552043</v>
      </c>
      <c r="Q124" s="119"/>
      <c r="R124" s="120"/>
    </row>
    <row r="125" spans="1:18" ht="4.9000000000000004" customHeight="1" x14ac:dyDescent="0.25">
      <c r="A125" s="74"/>
      <c r="B125" s="55"/>
      <c r="C125" s="76"/>
      <c r="D125" s="76"/>
      <c r="E125" s="333"/>
      <c r="F125" s="79"/>
      <c r="G125" s="76"/>
      <c r="H125" s="333"/>
      <c r="I125" s="79"/>
      <c r="J125" s="76"/>
      <c r="K125" s="333"/>
      <c r="Q125" s="109"/>
    </row>
    <row r="126" spans="1:18" ht="11.25" customHeight="1" x14ac:dyDescent="0.25">
      <c r="A126" s="54" t="s">
        <v>2490</v>
      </c>
      <c r="B126" s="138"/>
      <c r="C126" s="76"/>
      <c r="D126" s="76"/>
      <c r="E126" s="333"/>
      <c r="F126" s="79"/>
      <c r="G126" s="76"/>
      <c r="H126" s="333"/>
      <c r="I126" s="79"/>
      <c r="J126" s="76"/>
      <c r="K126" s="333"/>
      <c r="Q126" s="109"/>
    </row>
    <row r="127" spans="1:18" ht="11.25" customHeight="1" x14ac:dyDescent="0.25">
      <c r="A127" s="728" t="str">
        <f t="shared" ref="A127:A158" si="22">A5</f>
        <v>Municipal governance and administration</v>
      </c>
      <c r="B127" s="138"/>
      <c r="C127" s="122">
        <f t="shared" ref="C127:K127" si="23">C128+C131+C145</f>
        <v>0</v>
      </c>
      <c r="D127" s="122">
        <f t="shared" si="23"/>
        <v>126003029</v>
      </c>
      <c r="E127" s="507">
        <f t="shared" si="23"/>
        <v>196667434</v>
      </c>
      <c r="F127" s="125">
        <f t="shared" si="23"/>
        <v>103407364.27379401</v>
      </c>
      <c r="G127" s="122">
        <f t="shared" si="23"/>
        <v>92891122.753794</v>
      </c>
      <c r="H127" s="507">
        <f t="shared" si="23"/>
        <v>92891122.753794</v>
      </c>
      <c r="I127" s="125">
        <f t="shared" si="23"/>
        <v>98582813</v>
      </c>
      <c r="J127" s="122">
        <f t="shared" si="23"/>
        <v>104497781.78</v>
      </c>
      <c r="K127" s="507">
        <f t="shared" si="23"/>
        <v>110767648.68680002</v>
      </c>
      <c r="Q127" s="109"/>
    </row>
    <row r="128" spans="1:18" ht="11.25" customHeight="1" x14ac:dyDescent="0.25">
      <c r="A128" s="767" t="str">
        <f t="shared" si="22"/>
        <v>Executive and council</v>
      </c>
      <c r="B128" s="138"/>
      <c r="C128" s="185">
        <f t="shared" ref="C128:K128" si="24">SUM(C129:C130)</f>
        <v>0</v>
      </c>
      <c r="D128" s="185">
        <f t="shared" si="24"/>
        <v>28874400</v>
      </c>
      <c r="E128" s="699">
        <f t="shared" si="24"/>
        <v>38821429</v>
      </c>
      <c r="F128" s="217">
        <f t="shared" si="24"/>
        <v>21080479.260599997</v>
      </c>
      <c r="G128" s="185">
        <f t="shared" si="24"/>
        <v>25656650.080599997</v>
      </c>
      <c r="H128" s="699">
        <f t="shared" si="24"/>
        <v>25656650.080599997</v>
      </c>
      <c r="I128" s="217">
        <f t="shared" si="24"/>
        <v>27041140</v>
      </c>
      <c r="J128" s="185">
        <f t="shared" si="24"/>
        <v>28663608.399999999</v>
      </c>
      <c r="K128" s="699">
        <f t="shared" si="24"/>
        <v>30383424.904000003</v>
      </c>
      <c r="Q128" s="109"/>
    </row>
    <row r="129" spans="1:17" ht="11.25" customHeight="1" x14ac:dyDescent="0.25">
      <c r="A129" s="886" t="str">
        <f t="shared" si="22"/>
        <v>Mayor and Council</v>
      </c>
      <c r="B129" s="138"/>
      <c r="C129" s="1316"/>
      <c r="D129" s="1316">
        <f>20586234-9000</f>
        <v>20577234</v>
      </c>
      <c r="E129" s="1319">
        <v>29554055</v>
      </c>
      <c r="F129" s="1318">
        <v>16225892.783599997</v>
      </c>
      <c r="G129" s="1316">
        <v>13679332.783599997</v>
      </c>
      <c r="H129" s="1319">
        <v>13679332.783599997</v>
      </c>
      <c r="I129" s="1318">
        <v>15235526</v>
      </c>
      <c r="J129" s="1316">
        <f>I129*1.06</f>
        <v>16149657.560000001</v>
      </c>
      <c r="K129" s="1319">
        <f>J129*1.06</f>
        <v>17118637.013600003</v>
      </c>
      <c r="Q129" s="109"/>
    </row>
    <row r="130" spans="1:17" ht="11.25" customHeight="1" x14ac:dyDescent="0.25">
      <c r="A130" s="886" t="str">
        <f t="shared" si="22"/>
        <v>Municipal Manager, Town Secretary and Chief Executive</v>
      </c>
      <c r="B130" s="138"/>
      <c r="C130" s="1316"/>
      <c r="D130" s="1316">
        <v>8297166</v>
      </c>
      <c r="E130" s="1319">
        <v>9267374</v>
      </c>
      <c r="F130" s="1318">
        <v>4854586.477</v>
      </c>
      <c r="G130" s="1316">
        <v>11977317.297</v>
      </c>
      <c r="H130" s="1319">
        <v>11977317.297</v>
      </c>
      <c r="I130" s="1318">
        <f>11805629-15</f>
        <v>11805614</v>
      </c>
      <c r="J130" s="1316">
        <f>I130*1.06</f>
        <v>12513950.84</v>
      </c>
      <c r="K130" s="1319">
        <f>J130*1.06</f>
        <v>13264787.8904</v>
      </c>
      <c r="Q130" s="109"/>
    </row>
    <row r="131" spans="1:17" ht="11.25" customHeight="1" x14ac:dyDescent="0.25">
      <c r="A131" s="767" t="str">
        <f t="shared" si="22"/>
        <v>Finance and administration</v>
      </c>
      <c r="B131" s="138"/>
      <c r="C131" s="185">
        <f t="shared" ref="C131:K131" si="25">SUM(C132:C144)</f>
        <v>0</v>
      </c>
      <c r="D131" s="185">
        <f t="shared" si="25"/>
        <v>97128629</v>
      </c>
      <c r="E131" s="699">
        <f t="shared" si="25"/>
        <v>157846005</v>
      </c>
      <c r="F131" s="217">
        <f t="shared" si="25"/>
        <v>80643582.90319401</v>
      </c>
      <c r="G131" s="185">
        <f t="shared" si="25"/>
        <v>66439854.083193995</v>
      </c>
      <c r="H131" s="699">
        <f t="shared" si="25"/>
        <v>66439854.083193995</v>
      </c>
      <c r="I131" s="217">
        <f t="shared" si="25"/>
        <v>70616900</v>
      </c>
      <c r="J131" s="185">
        <f t="shared" si="25"/>
        <v>74853914</v>
      </c>
      <c r="K131" s="699">
        <f t="shared" si="25"/>
        <v>79345148.840000018</v>
      </c>
      <c r="Q131" s="109"/>
    </row>
    <row r="132" spans="1:17" ht="11.25" customHeight="1" x14ac:dyDescent="0.25">
      <c r="A132" s="886" t="str">
        <f t="shared" si="22"/>
        <v>Administrative and Corporate Support</v>
      </c>
      <c r="B132" s="138"/>
      <c r="C132" s="1316"/>
      <c r="D132" s="1316">
        <v>12277360</v>
      </c>
      <c r="E132" s="1319">
        <v>14981388</v>
      </c>
      <c r="F132" s="1318">
        <v>15571500</v>
      </c>
      <c r="G132" s="1316">
        <v>16644378.92</v>
      </c>
      <c r="H132" s="1319">
        <v>16644378.92</v>
      </c>
      <c r="I132" s="1318">
        <v>17442398</v>
      </c>
      <c r="J132" s="1316">
        <f t="shared" ref="J132:K137" si="26">I132*1.06</f>
        <v>18488941.880000003</v>
      </c>
      <c r="K132" s="1319">
        <f t="shared" si="26"/>
        <v>19598278.392800003</v>
      </c>
      <c r="Q132" s="109"/>
    </row>
    <row r="133" spans="1:17" ht="11.25" customHeight="1" x14ac:dyDescent="0.25">
      <c r="A133" s="886" t="str">
        <f t="shared" si="22"/>
        <v>Asset Management</v>
      </c>
      <c r="B133" s="138"/>
      <c r="C133" s="1316"/>
      <c r="D133" s="1316"/>
      <c r="E133" s="1319"/>
      <c r="F133" s="1318">
        <v>949527</v>
      </c>
      <c r="G133" s="1316">
        <v>595940</v>
      </c>
      <c r="H133" s="1319">
        <v>595940</v>
      </c>
      <c r="I133" s="1318">
        <v>681787</v>
      </c>
      <c r="J133" s="1316">
        <f t="shared" si="26"/>
        <v>722694.22000000009</v>
      </c>
      <c r="K133" s="1319">
        <f t="shared" si="26"/>
        <v>766055.87320000015</v>
      </c>
      <c r="Q133" s="109"/>
    </row>
    <row r="134" spans="1:17" ht="11.25" customHeight="1" x14ac:dyDescent="0.25">
      <c r="A134" s="886" t="str">
        <f t="shared" si="22"/>
        <v>Finance</v>
      </c>
      <c r="B134" s="138"/>
      <c r="C134" s="1316"/>
      <c r="D134" s="1316">
        <f>73310986+6160131</f>
        <v>79471117</v>
      </c>
      <c r="E134" s="1319">
        <f>70094261+7228759</f>
        <v>77323020</v>
      </c>
      <c r="F134" s="1318">
        <f>15722075+29124463</f>
        <v>44846538</v>
      </c>
      <c r="G134" s="1316">
        <f>6899164+30734903</f>
        <v>37634067</v>
      </c>
      <c r="H134" s="1319">
        <f>6899164+30734903</f>
        <v>37634067</v>
      </c>
      <c r="I134" s="1318">
        <v>43401745</v>
      </c>
      <c r="J134" s="1316">
        <f t="shared" si="26"/>
        <v>46005849.700000003</v>
      </c>
      <c r="K134" s="1319">
        <f t="shared" si="26"/>
        <v>48766200.682000004</v>
      </c>
      <c r="Q134" s="109"/>
    </row>
    <row r="135" spans="1:17" ht="11.25" customHeight="1" x14ac:dyDescent="0.25">
      <c r="A135" s="886" t="str">
        <f t="shared" si="22"/>
        <v>Fleet Management</v>
      </c>
      <c r="B135" s="138"/>
      <c r="C135" s="1316"/>
      <c r="D135" s="1316"/>
      <c r="E135" s="1319"/>
      <c r="F135" s="1318">
        <v>1104016.4200000002</v>
      </c>
      <c r="G135" s="1316">
        <v>1374739.8000000003</v>
      </c>
      <c r="H135" s="1319">
        <v>1374739.8000000003</v>
      </c>
      <c r="I135" s="1318">
        <v>1598366</v>
      </c>
      <c r="J135" s="1316">
        <f t="shared" si="26"/>
        <v>1694267.9600000002</v>
      </c>
      <c r="K135" s="1319">
        <f t="shared" si="26"/>
        <v>1795924.0376000004</v>
      </c>
      <c r="Q135" s="109"/>
    </row>
    <row r="136" spans="1:17" ht="11.25" customHeight="1" x14ac:dyDescent="0.25">
      <c r="A136" s="886" t="str">
        <f t="shared" si="22"/>
        <v>Human Resources</v>
      </c>
      <c r="B136" s="138"/>
      <c r="C136" s="1316"/>
      <c r="D136" s="1316">
        <v>275089</v>
      </c>
      <c r="E136" s="1319">
        <v>337109</v>
      </c>
      <c r="F136" s="1318">
        <v>3513371.7491939999</v>
      </c>
      <c r="G136" s="1316">
        <v>277162.24919399992</v>
      </c>
      <c r="H136" s="1319">
        <v>277162.24919399992</v>
      </c>
      <c r="I136" s="1318">
        <v>355366</v>
      </c>
      <c r="J136" s="1316">
        <f t="shared" si="26"/>
        <v>376687.96</v>
      </c>
      <c r="K136" s="1319">
        <f t="shared" si="26"/>
        <v>399289.23760000005</v>
      </c>
      <c r="Q136" s="109"/>
    </row>
    <row r="137" spans="1:17" ht="11.25" customHeight="1" x14ac:dyDescent="0.25">
      <c r="A137" s="886" t="str">
        <f t="shared" si="22"/>
        <v>Information Technology</v>
      </c>
      <c r="B137" s="138"/>
      <c r="C137" s="1316"/>
      <c r="D137" s="1316">
        <v>715196</v>
      </c>
      <c r="E137" s="1319">
        <v>825352</v>
      </c>
      <c r="F137" s="1318">
        <v>1567965.2440000002</v>
      </c>
      <c r="G137" s="1316">
        <v>1202158.7240000002</v>
      </c>
      <c r="H137" s="1319">
        <v>1202158.7240000002</v>
      </c>
      <c r="I137" s="1318">
        <v>1154320</v>
      </c>
      <c r="J137" s="1316">
        <f t="shared" si="26"/>
        <v>1223579.2</v>
      </c>
      <c r="K137" s="1319">
        <f t="shared" si="26"/>
        <v>1296993.952</v>
      </c>
      <c r="Q137" s="109"/>
    </row>
    <row r="138" spans="1:17" ht="11.25" customHeight="1" x14ac:dyDescent="0.25">
      <c r="A138" s="886" t="str">
        <f t="shared" si="22"/>
        <v>Legal Services</v>
      </c>
      <c r="B138" s="138"/>
      <c r="C138" s="1316"/>
      <c r="D138" s="1316"/>
      <c r="E138" s="1319"/>
      <c r="F138" s="1318"/>
      <c r="G138" s="1316"/>
      <c r="H138" s="1319"/>
      <c r="I138" s="1318"/>
      <c r="J138" s="1316"/>
      <c r="K138" s="1319"/>
      <c r="Q138" s="109"/>
    </row>
    <row r="139" spans="1:17" ht="11.25" customHeight="1" x14ac:dyDescent="0.25">
      <c r="A139" s="886" t="str">
        <f t="shared" si="22"/>
        <v>Marketing, Customer Relations, Publicity and Media Co-ordination</v>
      </c>
      <c r="B139" s="138"/>
      <c r="C139" s="1316"/>
      <c r="D139" s="1316"/>
      <c r="E139" s="1319"/>
      <c r="F139" s="1318">
        <v>843506.53999999992</v>
      </c>
      <c r="G139" s="1316">
        <v>60084.539999999921</v>
      </c>
      <c r="H139" s="1319">
        <v>60084.539999999921</v>
      </c>
      <c r="I139" s="1318">
        <v>55165</v>
      </c>
      <c r="J139" s="1316">
        <f>I139*1.06</f>
        <v>58474.9</v>
      </c>
      <c r="K139" s="1319">
        <f>J139*1.06</f>
        <v>61983.394000000008</v>
      </c>
      <c r="Q139" s="109"/>
    </row>
    <row r="140" spans="1:17" ht="11.25" customHeight="1" x14ac:dyDescent="0.25">
      <c r="A140" s="886" t="str">
        <f t="shared" si="22"/>
        <v>Property Services</v>
      </c>
      <c r="B140" s="138"/>
      <c r="C140" s="1316"/>
      <c r="D140" s="1316">
        <v>4389867</v>
      </c>
      <c r="E140" s="1319">
        <v>64379136</v>
      </c>
      <c r="F140" s="1318">
        <v>2584763.3400000003</v>
      </c>
      <c r="G140" s="1316">
        <v>5045101</v>
      </c>
      <c r="H140" s="1319">
        <v>5045101</v>
      </c>
      <c r="I140" s="1318">
        <v>5477493</v>
      </c>
      <c r="J140" s="1316">
        <f>I140*1.06</f>
        <v>5806142.5800000001</v>
      </c>
      <c r="K140" s="1319">
        <f>J140*1.06</f>
        <v>6154511.1348000001</v>
      </c>
      <c r="Q140" s="109"/>
    </row>
    <row r="141" spans="1:17" ht="11.25" customHeight="1" x14ac:dyDescent="0.25">
      <c r="A141" s="886" t="str">
        <f t="shared" si="22"/>
        <v>Risk Management</v>
      </c>
      <c r="B141" s="138"/>
      <c r="C141" s="1316"/>
      <c r="D141" s="1316"/>
      <c r="E141" s="1319"/>
      <c r="F141" s="1318"/>
      <c r="G141" s="1316"/>
      <c r="H141" s="1319"/>
      <c r="I141" s="1318"/>
      <c r="J141" s="1316"/>
      <c r="K141" s="1319"/>
      <c r="Q141" s="109"/>
    </row>
    <row r="142" spans="1:17" ht="11.25" customHeight="1" x14ac:dyDescent="0.25">
      <c r="A142" s="886" t="str">
        <f t="shared" si="22"/>
        <v>Security Services</v>
      </c>
      <c r="B142" s="138"/>
      <c r="C142" s="1316"/>
      <c r="D142" s="1316"/>
      <c r="E142" s="1319"/>
      <c r="F142" s="1318"/>
      <c r="G142" s="1316"/>
      <c r="H142" s="1319"/>
      <c r="I142" s="1318"/>
      <c r="J142" s="1316"/>
      <c r="K142" s="1319"/>
      <c r="Q142" s="109"/>
    </row>
    <row r="143" spans="1:17" ht="11.25" customHeight="1" x14ac:dyDescent="0.25">
      <c r="A143" s="886" t="str">
        <f t="shared" si="22"/>
        <v xml:space="preserve">Supply Chain Management </v>
      </c>
      <c r="B143" s="138"/>
      <c r="C143" s="1316"/>
      <c r="D143" s="1316"/>
      <c r="E143" s="1319"/>
      <c r="F143" s="1318">
        <v>6972394.6099999994</v>
      </c>
      <c r="G143" s="1316">
        <v>506221.84999999963</v>
      </c>
      <c r="H143" s="1319">
        <v>506221.84999999963</v>
      </c>
      <c r="I143" s="1318">
        <v>450260</v>
      </c>
      <c r="J143" s="1316">
        <f>I143*1.06</f>
        <v>477275.60000000003</v>
      </c>
      <c r="K143" s="1319">
        <f>J143*1.06</f>
        <v>505912.13600000006</v>
      </c>
      <c r="Q143" s="109"/>
    </row>
    <row r="144" spans="1:17" ht="11.25" customHeight="1" x14ac:dyDescent="0.25">
      <c r="A144" s="886" t="str">
        <f t="shared" si="22"/>
        <v>Valuation Service</v>
      </c>
      <c r="B144" s="138"/>
      <c r="C144" s="1316"/>
      <c r="D144" s="1316"/>
      <c r="E144" s="1319"/>
      <c r="F144" s="1318">
        <v>2690000</v>
      </c>
      <c r="G144" s="1316">
        <v>3100000</v>
      </c>
      <c r="H144" s="1319">
        <v>3100000</v>
      </c>
      <c r="I144" s="1318">
        <v>0</v>
      </c>
      <c r="J144" s="1316">
        <v>0</v>
      </c>
      <c r="K144" s="1319">
        <v>0</v>
      </c>
      <c r="Q144" s="109"/>
    </row>
    <row r="145" spans="1:17" ht="11.25" customHeight="1" x14ac:dyDescent="0.25">
      <c r="A145" s="767" t="str">
        <f t="shared" si="22"/>
        <v>Internal audit</v>
      </c>
      <c r="B145" s="138"/>
      <c r="C145" s="185">
        <f t="shared" ref="C145:K145" si="27">SUM(C146:C146)</f>
        <v>0</v>
      </c>
      <c r="D145" s="185">
        <f t="shared" si="27"/>
        <v>0</v>
      </c>
      <c r="E145" s="699">
        <f t="shared" si="27"/>
        <v>0</v>
      </c>
      <c r="F145" s="217">
        <f t="shared" si="27"/>
        <v>1683302.1099999999</v>
      </c>
      <c r="G145" s="185">
        <f t="shared" si="27"/>
        <v>794618.58999999985</v>
      </c>
      <c r="H145" s="699">
        <f t="shared" si="27"/>
        <v>794618.58999999985</v>
      </c>
      <c r="I145" s="217">
        <f t="shared" si="27"/>
        <v>924773</v>
      </c>
      <c r="J145" s="185">
        <f t="shared" si="27"/>
        <v>980259.38</v>
      </c>
      <c r="K145" s="699">
        <f t="shared" si="27"/>
        <v>1039074.9428000001</v>
      </c>
      <c r="Q145" s="109"/>
    </row>
    <row r="146" spans="1:17" ht="11.25" customHeight="1" x14ac:dyDescent="0.25">
      <c r="A146" s="886" t="str">
        <f t="shared" si="22"/>
        <v>Governance Function</v>
      </c>
      <c r="B146" s="138"/>
      <c r="C146" s="1316"/>
      <c r="D146" s="1316"/>
      <c r="E146" s="1319"/>
      <c r="F146" s="1318">
        <v>1683302.1099999999</v>
      </c>
      <c r="G146" s="1316">
        <v>794618.58999999985</v>
      </c>
      <c r="H146" s="1319">
        <v>794618.58999999985</v>
      </c>
      <c r="I146" s="1318">
        <v>924773</v>
      </c>
      <c r="J146" s="1316">
        <f>I146*1.06</f>
        <v>980259.38</v>
      </c>
      <c r="K146" s="1319">
        <f>J146*1.06</f>
        <v>1039074.9428000001</v>
      </c>
      <c r="Q146" s="109"/>
    </row>
    <row r="147" spans="1:17" ht="11.25" customHeight="1" x14ac:dyDescent="0.25">
      <c r="A147" s="728" t="str">
        <f t="shared" si="22"/>
        <v>Community and public safety</v>
      </c>
      <c r="B147" s="138"/>
      <c r="C147" s="122">
        <f t="shared" ref="C147:K147" si="28">C148+C170+C176+C185+C188</f>
        <v>0</v>
      </c>
      <c r="D147" s="122">
        <f t="shared" si="28"/>
        <v>27974224</v>
      </c>
      <c r="E147" s="507">
        <f t="shared" si="28"/>
        <v>36277669</v>
      </c>
      <c r="F147" s="125">
        <f t="shared" si="28"/>
        <v>29460547.564520001</v>
      </c>
      <c r="G147" s="122">
        <f t="shared" si="28"/>
        <v>35283137.374520004</v>
      </c>
      <c r="H147" s="507">
        <f t="shared" si="28"/>
        <v>35283137.374520004</v>
      </c>
      <c r="I147" s="125">
        <f t="shared" si="28"/>
        <v>35070010</v>
      </c>
      <c r="J147" s="122">
        <f t="shared" si="28"/>
        <v>37174210.600000001</v>
      </c>
      <c r="K147" s="507">
        <f t="shared" si="28"/>
        <v>39404663.236000001</v>
      </c>
      <c r="Q147" s="109"/>
    </row>
    <row r="148" spans="1:17" ht="11.25" customHeight="1" x14ac:dyDescent="0.25">
      <c r="A148" s="767" t="str">
        <f t="shared" si="22"/>
        <v>Community and social services</v>
      </c>
      <c r="B148" s="138"/>
      <c r="C148" s="81">
        <f>SUM(C149:C169)</f>
        <v>0</v>
      </c>
      <c r="D148" s="81">
        <f t="shared" ref="D148:K148" si="29">SUM(D149:D169)</f>
        <v>4114068</v>
      </c>
      <c r="E148" s="472">
        <f t="shared" si="29"/>
        <v>5454790</v>
      </c>
      <c r="F148" s="84">
        <f t="shared" si="29"/>
        <v>6294346.9266800005</v>
      </c>
      <c r="G148" s="81">
        <f t="shared" si="29"/>
        <v>7181674.4666800005</v>
      </c>
      <c r="H148" s="472">
        <f t="shared" si="29"/>
        <v>7181674.4666800005</v>
      </c>
      <c r="I148" s="84">
        <f t="shared" si="29"/>
        <v>6442410</v>
      </c>
      <c r="J148" s="81">
        <f t="shared" si="29"/>
        <v>6828954.6000000006</v>
      </c>
      <c r="K148" s="472">
        <f t="shared" si="29"/>
        <v>7238691.8760000002</v>
      </c>
      <c r="Q148" s="109"/>
    </row>
    <row r="149" spans="1:17" ht="11.25" customHeight="1" x14ac:dyDescent="0.25">
      <c r="A149" s="886" t="str">
        <f t="shared" si="22"/>
        <v>Aged Care</v>
      </c>
      <c r="B149" s="138"/>
      <c r="C149" s="1316"/>
      <c r="D149" s="1316"/>
      <c r="E149" s="1319"/>
      <c r="F149" s="1318"/>
      <c r="G149" s="1316"/>
      <c r="H149" s="1319"/>
      <c r="I149" s="1318"/>
      <c r="J149" s="1316"/>
      <c r="K149" s="1319"/>
      <c r="Q149" s="109"/>
    </row>
    <row r="150" spans="1:17" ht="11.25" customHeight="1" x14ac:dyDescent="0.25">
      <c r="A150" s="886" t="str">
        <f t="shared" si="22"/>
        <v>Agricultural</v>
      </c>
      <c r="B150" s="138"/>
      <c r="C150" s="1316"/>
      <c r="D150" s="1316"/>
      <c r="E150" s="1319"/>
      <c r="F150" s="1318"/>
      <c r="G150" s="1316"/>
      <c r="H150" s="1319"/>
      <c r="I150" s="1318"/>
      <c r="J150" s="1316"/>
      <c r="K150" s="1319"/>
      <c r="Q150" s="109"/>
    </row>
    <row r="151" spans="1:17" ht="11.25" customHeight="1" x14ac:dyDescent="0.25">
      <c r="A151" s="886" t="str">
        <f t="shared" si="22"/>
        <v>Animal Care and Diseases</v>
      </c>
      <c r="B151" s="138"/>
      <c r="C151" s="1316"/>
      <c r="D151" s="1316"/>
      <c r="E151" s="1319"/>
      <c r="F151" s="1318"/>
      <c r="G151" s="1316"/>
      <c r="H151" s="1319"/>
      <c r="I151" s="1318"/>
      <c r="J151" s="1316"/>
      <c r="K151" s="1319"/>
      <c r="Q151" s="109"/>
    </row>
    <row r="152" spans="1:17" ht="11.25" customHeight="1" x14ac:dyDescent="0.25">
      <c r="A152" s="886" t="str">
        <f t="shared" si="22"/>
        <v>Cemeteries, Funeral Parlours and Crematoriums</v>
      </c>
      <c r="B152" s="138"/>
      <c r="C152" s="1316"/>
      <c r="D152" s="1316">
        <v>0</v>
      </c>
      <c r="E152" s="1319">
        <v>0</v>
      </c>
      <c r="F152" s="1318">
        <v>85995.34</v>
      </c>
      <c r="G152" s="1316">
        <v>282607.09999999998</v>
      </c>
      <c r="H152" s="1319">
        <v>282607.09999999998</v>
      </c>
      <c r="I152" s="1318">
        <v>283790</v>
      </c>
      <c r="J152" s="1316">
        <f>I152*1.06</f>
        <v>300817.40000000002</v>
      </c>
      <c r="K152" s="1319">
        <f>J152*1.06</f>
        <v>318866.44400000002</v>
      </c>
      <c r="Q152" s="109"/>
    </row>
    <row r="153" spans="1:17" ht="11.25" customHeight="1" x14ac:dyDescent="0.25">
      <c r="A153" s="886" t="str">
        <f t="shared" si="22"/>
        <v>Child Care Facilities</v>
      </c>
      <c r="B153" s="138"/>
      <c r="C153" s="1316"/>
      <c r="D153" s="1316"/>
      <c r="E153" s="1319"/>
      <c r="F153" s="1318"/>
      <c r="G153" s="1316"/>
      <c r="H153" s="1319"/>
      <c r="I153" s="1318"/>
      <c r="J153" s="1316"/>
      <c r="K153" s="1319"/>
      <c r="Q153" s="109"/>
    </row>
    <row r="154" spans="1:17" ht="11.25" customHeight="1" x14ac:dyDescent="0.25">
      <c r="A154" s="886" t="str">
        <f t="shared" si="22"/>
        <v>Community Halls and Facilities</v>
      </c>
      <c r="B154" s="138"/>
      <c r="C154" s="1316"/>
      <c r="D154" s="1316">
        <v>230928</v>
      </c>
      <c r="E154" s="1319">
        <v>519774</v>
      </c>
      <c r="F154" s="1318">
        <v>1840751.35</v>
      </c>
      <c r="G154" s="1316">
        <v>1502965.27</v>
      </c>
      <c r="H154" s="1319">
        <v>1502965.27</v>
      </c>
      <c r="I154" s="1318">
        <v>1662049</v>
      </c>
      <c r="J154" s="1316">
        <f>I154*1.06</f>
        <v>1761771.9400000002</v>
      </c>
      <c r="K154" s="1319">
        <f>J154*1.06</f>
        <v>1867478.2564000003</v>
      </c>
      <c r="Q154" s="109"/>
    </row>
    <row r="155" spans="1:17" ht="11.25" customHeight="1" x14ac:dyDescent="0.25">
      <c r="A155" s="886" t="str">
        <f t="shared" si="22"/>
        <v>Consumer Protection</v>
      </c>
      <c r="B155" s="138"/>
      <c r="C155" s="1316"/>
      <c r="D155" s="1316"/>
      <c r="E155" s="1319"/>
      <c r="F155" s="1318"/>
      <c r="G155" s="1316"/>
      <c r="H155" s="1319"/>
      <c r="I155" s="1318"/>
      <c r="J155" s="1316"/>
      <c r="K155" s="1319"/>
      <c r="Q155" s="109"/>
    </row>
    <row r="156" spans="1:17" ht="11.25" customHeight="1" x14ac:dyDescent="0.25">
      <c r="A156" s="886" t="str">
        <f t="shared" si="22"/>
        <v>Cultural Matters</v>
      </c>
      <c r="B156" s="138"/>
      <c r="C156" s="1316"/>
      <c r="D156" s="1316"/>
      <c r="E156" s="1319"/>
      <c r="F156" s="1318"/>
      <c r="G156" s="1316"/>
      <c r="H156" s="1319"/>
      <c r="I156" s="1318"/>
      <c r="J156" s="1316"/>
      <c r="K156" s="1319"/>
      <c r="Q156" s="109"/>
    </row>
    <row r="157" spans="1:17" ht="11.25" customHeight="1" x14ac:dyDescent="0.25">
      <c r="A157" s="886" t="str">
        <f t="shared" si="22"/>
        <v>Disaster Management</v>
      </c>
      <c r="B157" s="138"/>
      <c r="C157" s="1316"/>
      <c r="D157" s="1316"/>
      <c r="E157" s="1319"/>
      <c r="F157" s="1318"/>
      <c r="G157" s="1316"/>
      <c r="H157" s="1319"/>
      <c r="I157" s="1318"/>
      <c r="J157" s="1316"/>
      <c r="K157" s="1319"/>
      <c r="Q157" s="109"/>
    </row>
    <row r="158" spans="1:17" ht="11.25" customHeight="1" x14ac:dyDescent="0.25">
      <c r="A158" s="886" t="str">
        <f t="shared" si="22"/>
        <v>Education</v>
      </c>
      <c r="B158" s="138"/>
      <c r="C158" s="1316"/>
      <c r="D158" s="1316"/>
      <c r="E158" s="1319"/>
      <c r="F158" s="1318"/>
      <c r="G158" s="1316"/>
      <c r="H158" s="1319"/>
      <c r="I158" s="1318"/>
      <c r="J158" s="1316"/>
      <c r="K158" s="1319"/>
      <c r="Q158" s="109"/>
    </row>
    <row r="159" spans="1:17" ht="11.25" customHeight="1" x14ac:dyDescent="0.25">
      <c r="A159" s="886" t="str">
        <f t="shared" ref="A159:A178" si="30">A37</f>
        <v>Indigenous and Customary Law</v>
      </c>
      <c r="B159" s="138"/>
      <c r="C159" s="1316"/>
      <c r="D159" s="1316"/>
      <c r="E159" s="1319"/>
      <c r="F159" s="1318"/>
      <c r="G159" s="1316"/>
      <c r="H159" s="1319"/>
      <c r="I159" s="1318"/>
      <c r="J159" s="1316"/>
      <c r="K159" s="1319"/>
      <c r="Q159" s="109"/>
    </row>
    <row r="160" spans="1:17" ht="11.25" customHeight="1" x14ac:dyDescent="0.25">
      <c r="A160" s="886" t="str">
        <f t="shared" si="30"/>
        <v>Industrial Promotion</v>
      </c>
      <c r="B160" s="138"/>
      <c r="C160" s="1316"/>
      <c r="D160" s="1316"/>
      <c r="E160" s="1319"/>
      <c r="F160" s="1318"/>
      <c r="G160" s="1316"/>
      <c r="H160" s="1319"/>
      <c r="I160" s="1318"/>
      <c r="J160" s="1316"/>
      <c r="K160" s="1319"/>
      <c r="Q160" s="109"/>
    </row>
    <row r="161" spans="1:17" ht="11.25" customHeight="1" x14ac:dyDescent="0.25">
      <c r="A161" s="886" t="str">
        <f t="shared" si="30"/>
        <v>Language Policy</v>
      </c>
      <c r="B161" s="138"/>
      <c r="C161" s="1316"/>
      <c r="D161" s="1316"/>
      <c r="E161" s="1319"/>
      <c r="F161" s="1318"/>
      <c r="G161" s="1316"/>
      <c r="H161" s="1319"/>
      <c r="I161" s="1318"/>
      <c r="J161" s="1316"/>
      <c r="K161" s="1319"/>
      <c r="Q161" s="109"/>
    </row>
    <row r="162" spans="1:17" ht="11.25" customHeight="1" x14ac:dyDescent="0.25">
      <c r="A162" s="886" t="str">
        <f t="shared" si="30"/>
        <v>Libraries and Archives</v>
      </c>
      <c r="B162" s="138"/>
      <c r="C162" s="1316"/>
      <c r="D162" s="1316">
        <v>3715701</v>
      </c>
      <c r="E162" s="1319">
        <v>4772042</v>
      </c>
      <c r="F162" s="1318">
        <v>4165282.2180000003</v>
      </c>
      <c r="G162" s="1316">
        <v>5071299.2180000003</v>
      </c>
      <c r="H162" s="1319">
        <v>5071299.2180000003</v>
      </c>
      <c r="I162" s="1318">
        <v>4080255</v>
      </c>
      <c r="J162" s="1316">
        <f>I162*1.06</f>
        <v>4325070.3</v>
      </c>
      <c r="K162" s="1319">
        <f>J162*1.06</f>
        <v>4584574.5180000002</v>
      </c>
      <c r="Q162" s="109"/>
    </row>
    <row r="163" spans="1:17" ht="11.25" customHeight="1" x14ac:dyDescent="0.25">
      <c r="A163" s="886" t="str">
        <f t="shared" si="30"/>
        <v>Literacy Programmes</v>
      </c>
      <c r="B163" s="138"/>
      <c r="C163" s="1316"/>
      <c r="D163" s="1316"/>
      <c r="E163" s="1319"/>
      <c r="F163" s="1318"/>
      <c r="G163" s="1316"/>
      <c r="H163" s="1319"/>
      <c r="I163" s="1318"/>
      <c r="J163" s="1316"/>
      <c r="K163" s="1319"/>
      <c r="Q163" s="109"/>
    </row>
    <row r="164" spans="1:17" ht="11.25" customHeight="1" x14ac:dyDescent="0.25">
      <c r="A164" s="886" t="str">
        <f t="shared" si="30"/>
        <v>Media Services</v>
      </c>
      <c r="B164" s="138"/>
      <c r="C164" s="1316"/>
      <c r="D164" s="1316"/>
      <c r="E164" s="1319"/>
      <c r="F164" s="1318"/>
      <c r="G164" s="1316"/>
      <c r="H164" s="1319"/>
      <c r="I164" s="1318"/>
      <c r="J164" s="1316"/>
      <c r="K164" s="1319"/>
      <c r="Q164" s="109"/>
    </row>
    <row r="165" spans="1:17" ht="11.25" customHeight="1" x14ac:dyDescent="0.25">
      <c r="A165" s="886" t="str">
        <f t="shared" si="30"/>
        <v>Museums and Art Galleries</v>
      </c>
      <c r="B165" s="138"/>
      <c r="C165" s="1316"/>
      <c r="D165" s="1316">
        <v>167439</v>
      </c>
      <c r="E165" s="1319">
        <v>162974</v>
      </c>
      <c r="F165" s="1318">
        <v>202318.01868000001</v>
      </c>
      <c r="G165" s="1316">
        <v>324802.87868000002</v>
      </c>
      <c r="H165" s="1319">
        <v>324802.87868000002</v>
      </c>
      <c r="I165" s="1318">
        <v>416316</v>
      </c>
      <c r="J165" s="1316">
        <f>I165*1.06</f>
        <v>441294.96</v>
      </c>
      <c r="K165" s="1319">
        <f>J165*1.06</f>
        <v>467772.65760000004</v>
      </c>
      <c r="Q165" s="109"/>
    </row>
    <row r="166" spans="1:17" ht="11.25" customHeight="1" x14ac:dyDescent="0.25">
      <c r="A166" s="886" t="str">
        <f t="shared" si="30"/>
        <v>Population Development</v>
      </c>
      <c r="B166" s="138"/>
      <c r="C166" s="1316"/>
      <c r="D166" s="1316"/>
      <c r="E166" s="1319"/>
      <c r="F166" s="1318"/>
      <c r="G166" s="1316"/>
      <c r="H166" s="1319"/>
      <c r="I166" s="1318"/>
      <c r="J166" s="1316"/>
      <c r="K166" s="1319"/>
      <c r="Q166" s="109"/>
    </row>
    <row r="167" spans="1:17" ht="11.25" customHeight="1" x14ac:dyDescent="0.25">
      <c r="A167" s="886" t="str">
        <f t="shared" si="30"/>
        <v>Provincial Cultural Matters</v>
      </c>
      <c r="B167" s="138"/>
      <c r="C167" s="1316"/>
      <c r="D167" s="1316"/>
      <c r="E167" s="1319"/>
      <c r="F167" s="1318"/>
      <c r="G167" s="1316"/>
      <c r="H167" s="1319"/>
      <c r="I167" s="1318"/>
      <c r="J167" s="1316"/>
      <c r="K167" s="1319"/>
      <c r="Q167" s="109"/>
    </row>
    <row r="168" spans="1:17" ht="11.25" customHeight="1" x14ac:dyDescent="0.25">
      <c r="A168" s="886" t="str">
        <f t="shared" si="30"/>
        <v>Theatres</v>
      </c>
      <c r="B168" s="138"/>
      <c r="C168" s="1316"/>
      <c r="D168" s="1316"/>
      <c r="E168" s="1319"/>
      <c r="F168" s="1318"/>
      <c r="G168" s="1316"/>
      <c r="H168" s="1319"/>
      <c r="I168" s="1318"/>
      <c r="J168" s="1316"/>
      <c r="K168" s="1319"/>
      <c r="Q168" s="109"/>
    </row>
    <row r="169" spans="1:17" ht="11.25" customHeight="1" x14ac:dyDescent="0.25">
      <c r="A169" s="886" t="str">
        <f t="shared" si="30"/>
        <v>Zoo's</v>
      </c>
      <c r="B169" s="138"/>
      <c r="C169" s="1316"/>
      <c r="D169" s="1316"/>
      <c r="E169" s="1319"/>
      <c r="F169" s="1318"/>
      <c r="G169" s="1316"/>
      <c r="H169" s="1319"/>
      <c r="I169" s="1318"/>
      <c r="J169" s="1316"/>
      <c r="K169" s="1319"/>
      <c r="Q169" s="109"/>
    </row>
    <row r="170" spans="1:17" ht="11.25" customHeight="1" x14ac:dyDescent="0.25">
      <c r="A170" s="767" t="str">
        <f t="shared" si="30"/>
        <v>Sport and recreation</v>
      </c>
      <c r="B170" s="138"/>
      <c r="C170" s="81">
        <f t="shared" ref="C170:K170" si="31">SUM(C171:C175)</f>
        <v>0</v>
      </c>
      <c r="D170" s="81">
        <f t="shared" si="31"/>
        <v>13489439</v>
      </c>
      <c r="E170" s="472">
        <f t="shared" si="31"/>
        <v>14929522</v>
      </c>
      <c r="F170" s="84">
        <f t="shared" si="31"/>
        <v>16383682.845960001</v>
      </c>
      <c r="G170" s="81">
        <f t="shared" si="31"/>
        <v>16680546.44596</v>
      </c>
      <c r="H170" s="472">
        <f t="shared" si="31"/>
        <v>16680546.44596</v>
      </c>
      <c r="I170" s="84">
        <f t="shared" si="31"/>
        <v>17094767</v>
      </c>
      <c r="J170" s="81">
        <f t="shared" si="31"/>
        <v>18120453.02</v>
      </c>
      <c r="K170" s="472">
        <f t="shared" si="31"/>
        <v>19207680.201200001</v>
      </c>
      <c r="Q170" s="109"/>
    </row>
    <row r="171" spans="1:17" ht="11.25" customHeight="1" x14ac:dyDescent="0.25">
      <c r="A171" s="886" t="str">
        <f t="shared" si="30"/>
        <v xml:space="preserve">Beaches and Jetties </v>
      </c>
      <c r="B171" s="138"/>
      <c r="C171" s="1316"/>
      <c r="D171" s="1316"/>
      <c r="E171" s="1319"/>
      <c r="F171" s="1318"/>
      <c r="G171" s="1316"/>
      <c r="H171" s="1319"/>
      <c r="I171" s="1318"/>
      <c r="J171" s="1316"/>
      <c r="K171" s="1319"/>
      <c r="Q171" s="109"/>
    </row>
    <row r="172" spans="1:17" ht="11.25" customHeight="1" x14ac:dyDescent="0.25">
      <c r="A172" s="886" t="str">
        <f t="shared" si="30"/>
        <v>Casinos, Racing, Gambling, Wagering</v>
      </c>
      <c r="B172" s="138"/>
      <c r="C172" s="1316"/>
      <c r="D172" s="1316"/>
      <c r="E172" s="1319"/>
      <c r="F172" s="1318"/>
      <c r="G172" s="1316"/>
      <c r="H172" s="1319"/>
      <c r="I172" s="1318"/>
      <c r="J172" s="1316"/>
      <c r="K172" s="1319"/>
      <c r="Q172" s="109"/>
    </row>
    <row r="173" spans="1:17" ht="11.25" customHeight="1" x14ac:dyDescent="0.25">
      <c r="A173" s="886" t="str">
        <f t="shared" si="30"/>
        <v>Community Parks (including Nurseries)</v>
      </c>
      <c r="B173" s="138"/>
      <c r="C173" s="1316"/>
      <c r="D173" s="1316"/>
      <c r="E173" s="1319"/>
      <c r="F173" s="1318"/>
      <c r="G173" s="1316"/>
      <c r="H173" s="1319"/>
      <c r="I173" s="1318"/>
      <c r="J173" s="1316"/>
      <c r="K173" s="1319"/>
      <c r="Q173" s="109"/>
    </row>
    <row r="174" spans="1:17" ht="11.25" customHeight="1" x14ac:dyDescent="0.25">
      <c r="A174" s="886" t="str">
        <f t="shared" si="30"/>
        <v>Recreational Facilities</v>
      </c>
      <c r="B174" s="138"/>
      <c r="C174" s="1316"/>
      <c r="D174" s="1316">
        <v>13489439</v>
      </c>
      <c r="E174" s="1319">
        <v>14929522</v>
      </c>
      <c r="F174" s="1318">
        <v>16333682.845960001</v>
      </c>
      <c r="G174" s="1316">
        <v>16655546.44596</v>
      </c>
      <c r="H174" s="1319">
        <v>16655546.44596</v>
      </c>
      <c r="I174" s="1318">
        <v>17054767</v>
      </c>
      <c r="J174" s="1316">
        <f>I174*1.06</f>
        <v>18078053.02</v>
      </c>
      <c r="K174" s="1319">
        <f>J174*1.06</f>
        <v>19162736.201200001</v>
      </c>
      <c r="Q174" s="109"/>
    </row>
    <row r="175" spans="1:17" ht="11.25" customHeight="1" x14ac:dyDescent="0.25">
      <c r="A175" s="886" t="str">
        <f t="shared" si="30"/>
        <v>Sports Grounds and Stadiums</v>
      </c>
      <c r="B175" s="138"/>
      <c r="C175" s="1316"/>
      <c r="D175" s="1316"/>
      <c r="E175" s="1319"/>
      <c r="F175" s="1318">
        <v>50000</v>
      </c>
      <c r="G175" s="1316">
        <v>25000</v>
      </c>
      <c r="H175" s="1319">
        <v>25000</v>
      </c>
      <c r="I175" s="1318">
        <v>40000</v>
      </c>
      <c r="J175" s="1316">
        <f>I175*1.06</f>
        <v>42400</v>
      </c>
      <c r="K175" s="1319">
        <f>J175*1.06</f>
        <v>44944</v>
      </c>
      <c r="Q175" s="109"/>
    </row>
    <row r="176" spans="1:17" ht="11.25" customHeight="1" x14ac:dyDescent="0.25">
      <c r="A176" s="767" t="str">
        <f t="shared" si="30"/>
        <v>Public safety</v>
      </c>
      <c r="B176" s="138"/>
      <c r="C176" s="81">
        <f t="shared" ref="C176:K176" si="32">SUM(C177:C184)</f>
        <v>0</v>
      </c>
      <c r="D176" s="81">
        <f t="shared" si="32"/>
        <v>7552278</v>
      </c>
      <c r="E176" s="472">
        <f t="shared" si="32"/>
        <v>11980715</v>
      </c>
      <c r="F176" s="84">
        <f t="shared" si="32"/>
        <v>3890433.9640000002</v>
      </c>
      <c r="G176" s="81">
        <f t="shared" si="32"/>
        <v>7246908.7040000008</v>
      </c>
      <c r="H176" s="472">
        <f t="shared" si="32"/>
        <v>7246908.7040000008</v>
      </c>
      <c r="I176" s="84">
        <f t="shared" si="32"/>
        <v>7269824</v>
      </c>
      <c r="J176" s="81">
        <f t="shared" si="32"/>
        <v>7706013.4399999995</v>
      </c>
      <c r="K176" s="472">
        <f t="shared" si="32"/>
        <v>8168374.2464000005</v>
      </c>
      <c r="Q176" s="109"/>
    </row>
    <row r="177" spans="1:18" ht="11.25" customHeight="1" x14ac:dyDescent="0.25">
      <c r="A177" s="886" t="str">
        <f t="shared" si="30"/>
        <v>Civil Defence</v>
      </c>
      <c r="B177" s="138"/>
      <c r="C177" s="1316"/>
      <c r="D177" s="1316">
        <v>411033</v>
      </c>
      <c r="E177" s="1319">
        <v>212244</v>
      </c>
      <c r="F177" s="1318">
        <v>634398.9040000001</v>
      </c>
      <c r="G177" s="1316">
        <v>232049.56400000007</v>
      </c>
      <c r="H177" s="1319">
        <v>232049.56400000007</v>
      </c>
      <c r="I177" s="1318">
        <v>343967</v>
      </c>
      <c r="J177" s="1316">
        <f>I177*1.06</f>
        <v>364605.02</v>
      </c>
      <c r="K177" s="1319">
        <f>J177*1.06</f>
        <v>386481.32120000006</v>
      </c>
      <c r="Q177" s="109"/>
    </row>
    <row r="178" spans="1:18" ht="11.25" customHeight="1" x14ac:dyDescent="0.25">
      <c r="A178" s="886" t="str">
        <f t="shared" si="30"/>
        <v>Cleansing</v>
      </c>
      <c r="B178" s="138"/>
      <c r="C178" s="1316"/>
      <c r="D178" s="1316"/>
      <c r="E178" s="1319"/>
      <c r="F178" s="1318"/>
      <c r="G178" s="1316"/>
      <c r="H178" s="1319"/>
      <c r="I178" s="1318"/>
      <c r="J178" s="1316"/>
      <c r="K178" s="1319"/>
      <c r="Q178" s="109"/>
    </row>
    <row r="179" spans="1:18" ht="11.25" customHeight="1" x14ac:dyDescent="0.25">
      <c r="A179" s="886" t="str">
        <f t="shared" ref="A179:A184" si="33">A57</f>
        <v>Control of Public Nuisances</v>
      </c>
      <c r="B179" s="55"/>
      <c r="C179" s="1316"/>
      <c r="D179" s="1316"/>
      <c r="E179" s="1319"/>
      <c r="F179" s="1318"/>
      <c r="G179" s="1316"/>
      <c r="H179" s="1319"/>
      <c r="I179" s="1318"/>
      <c r="J179" s="1316"/>
      <c r="K179" s="1319"/>
      <c r="Q179" s="111"/>
      <c r="R179" s="112"/>
    </row>
    <row r="180" spans="1:18" ht="11.25" customHeight="1" x14ac:dyDescent="0.25">
      <c r="A180" s="886" t="str">
        <f t="shared" si="33"/>
        <v xml:space="preserve">Fencing and Fences </v>
      </c>
      <c r="B180" s="138"/>
      <c r="C180" s="1316"/>
      <c r="D180" s="1316"/>
      <c r="E180" s="1319"/>
      <c r="F180" s="1318"/>
      <c r="G180" s="1316"/>
      <c r="H180" s="1319"/>
      <c r="I180" s="1318"/>
      <c r="J180" s="1316"/>
      <c r="K180" s="1319"/>
      <c r="Q180" s="109"/>
    </row>
    <row r="181" spans="1:18" ht="11.25" customHeight="1" x14ac:dyDescent="0.25">
      <c r="A181" s="886" t="str">
        <f t="shared" si="33"/>
        <v>Fire Fighting and Protection</v>
      </c>
      <c r="B181" s="138"/>
      <c r="C181" s="1316"/>
      <c r="D181" s="1316">
        <v>3319168</v>
      </c>
      <c r="E181" s="1319">
        <v>5635726</v>
      </c>
      <c r="F181" s="1318">
        <v>3236035.06</v>
      </c>
      <c r="G181" s="1316">
        <v>6994859.1400000006</v>
      </c>
      <c r="H181" s="1319">
        <v>6994859.1400000006</v>
      </c>
      <c r="I181" s="1318">
        <v>6905857</v>
      </c>
      <c r="J181" s="1316">
        <f>I181*1.06</f>
        <v>7320208.4199999999</v>
      </c>
      <c r="K181" s="1319">
        <f>J181*1.06</f>
        <v>7759420.9252000004</v>
      </c>
      <c r="Q181" s="109"/>
    </row>
    <row r="182" spans="1:18" ht="11.25" customHeight="1" x14ac:dyDescent="0.25">
      <c r="A182" s="886" t="str">
        <f t="shared" si="33"/>
        <v>Licensing and Control of Animals</v>
      </c>
      <c r="B182" s="138"/>
      <c r="C182" s="1316"/>
      <c r="D182" s="1316"/>
      <c r="E182" s="1319"/>
      <c r="F182" s="1318">
        <v>20000</v>
      </c>
      <c r="G182" s="1316">
        <v>20000</v>
      </c>
      <c r="H182" s="1319">
        <v>20000</v>
      </c>
      <c r="I182" s="1318">
        <v>20000</v>
      </c>
      <c r="J182" s="1316">
        <f>I182*1.06</f>
        <v>21200</v>
      </c>
      <c r="K182" s="1319">
        <f>J182*1.06</f>
        <v>22472</v>
      </c>
      <c r="Q182" s="109"/>
    </row>
    <row r="183" spans="1:18" ht="11.25" customHeight="1" x14ac:dyDescent="0.25">
      <c r="A183" s="886" t="str">
        <f t="shared" si="33"/>
        <v>Police Forces, Traffic and Street Parking Control</v>
      </c>
      <c r="B183" s="138"/>
      <c r="C183" s="1316"/>
      <c r="D183" s="1316">
        <v>3822077</v>
      </c>
      <c r="E183" s="1319">
        <v>6132745</v>
      </c>
      <c r="F183" s="1318"/>
      <c r="G183" s="1316"/>
      <c r="H183" s="1319"/>
      <c r="I183" s="1318"/>
      <c r="J183" s="1316"/>
      <c r="K183" s="1319"/>
      <c r="Q183" s="109"/>
    </row>
    <row r="184" spans="1:18" ht="11.25" customHeight="1" x14ac:dyDescent="0.25">
      <c r="A184" s="886" t="str">
        <f t="shared" si="33"/>
        <v>Pounds</v>
      </c>
      <c r="B184" s="138"/>
      <c r="C184" s="1316"/>
      <c r="D184" s="1316"/>
      <c r="E184" s="1319"/>
      <c r="F184" s="1318"/>
      <c r="G184" s="1316"/>
      <c r="H184" s="1319"/>
      <c r="I184" s="1318"/>
      <c r="J184" s="1316"/>
      <c r="K184" s="1319"/>
      <c r="Q184" s="109"/>
    </row>
    <row r="185" spans="1:18" ht="11.25" customHeight="1" x14ac:dyDescent="0.25">
      <c r="A185" s="767" t="str">
        <f t="shared" ref="A185:A216" si="34">A63</f>
        <v>Housing</v>
      </c>
      <c r="B185" s="138"/>
      <c r="C185" s="81">
        <f t="shared" ref="C185:K185" si="35">SUM(C186:C187)</f>
        <v>0</v>
      </c>
      <c r="D185" s="81">
        <f t="shared" si="35"/>
        <v>0</v>
      </c>
      <c r="E185" s="472">
        <f t="shared" si="35"/>
        <v>0</v>
      </c>
      <c r="F185" s="84">
        <f t="shared" si="35"/>
        <v>1336380.8899999999</v>
      </c>
      <c r="G185" s="81">
        <f t="shared" si="35"/>
        <v>0</v>
      </c>
      <c r="H185" s="472">
        <f t="shared" si="35"/>
        <v>0</v>
      </c>
      <c r="I185" s="84">
        <f t="shared" si="35"/>
        <v>9603</v>
      </c>
      <c r="J185" s="81">
        <f t="shared" si="35"/>
        <v>10179.18</v>
      </c>
      <c r="K185" s="472">
        <f t="shared" si="35"/>
        <v>10789.9308</v>
      </c>
      <c r="Q185" s="109"/>
    </row>
    <row r="186" spans="1:18" ht="11.25" customHeight="1" x14ac:dyDescent="0.25">
      <c r="A186" s="886" t="str">
        <f t="shared" si="34"/>
        <v>Housing</v>
      </c>
      <c r="B186" s="138"/>
      <c r="C186" s="1316"/>
      <c r="D186" s="1316"/>
      <c r="E186" s="1319"/>
      <c r="F186" s="1318">
        <v>1336380.8899999999</v>
      </c>
      <c r="G186" s="1316">
        <v>0</v>
      </c>
      <c r="H186" s="1319">
        <v>0</v>
      </c>
      <c r="I186" s="1318">
        <v>9603</v>
      </c>
      <c r="J186" s="1316">
        <f>I186*1.06</f>
        <v>10179.18</v>
      </c>
      <c r="K186" s="1319">
        <f>J186*1.06</f>
        <v>10789.9308</v>
      </c>
      <c r="Q186" s="109"/>
    </row>
    <row r="187" spans="1:18" ht="11.25" customHeight="1" x14ac:dyDescent="0.25">
      <c r="A187" s="886" t="str">
        <f t="shared" si="34"/>
        <v>Informal Settlements</v>
      </c>
      <c r="B187" s="138"/>
      <c r="C187" s="1316"/>
      <c r="D187" s="1316"/>
      <c r="E187" s="1319"/>
      <c r="F187" s="1318"/>
      <c r="G187" s="1316"/>
      <c r="H187" s="1319"/>
      <c r="I187" s="1318"/>
      <c r="J187" s="1316"/>
      <c r="K187" s="1319"/>
      <c r="Q187" s="109"/>
    </row>
    <row r="188" spans="1:18" ht="11.25" customHeight="1" x14ac:dyDescent="0.25">
      <c r="A188" s="767" t="str">
        <f t="shared" si="34"/>
        <v>Health</v>
      </c>
      <c r="B188" s="138"/>
      <c r="C188" s="81">
        <f>SUM(C189:C195)</f>
        <v>0</v>
      </c>
      <c r="D188" s="81">
        <f t="shared" ref="D188:K188" si="36">SUM(D189:D195)</f>
        <v>2818439</v>
      </c>
      <c r="E188" s="472">
        <f t="shared" si="36"/>
        <v>3912642</v>
      </c>
      <c r="F188" s="84">
        <f t="shared" si="36"/>
        <v>1555702.9378799996</v>
      </c>
      <c r="G188" s="81">
        <f t="shared" si="36"/>
        <v>4174007.7578799995</v>
      </c>
      <c r="H188" s="472">
        <f t="shared" si="36"/>
        <v>4174007.7578799995</v>
      </c>
      <c r="I188" s="84">
        <f t="shared" si="36"/>
        <v>4253406</v>
      </c>
      <c r="J188" s="81">
        <f t="shared" si="36"/>
        <v>4508610.3600000003</v>
      </c>
      <c r="K188" s="472">
        <f t="shared" si="36"/>
        <v>4779126.9816000005</v>
      </c>
      <c r="Q188" s="109"/>
    </row>
    <row r="189" spans="1:18" ht="11.25" customHeight="1" x14ac:dyDescent="0.25">
      <c r="A189" s="886" t="str">
        <f t="shared" si="34"/>
        <v>Ambulance</v>
      </c>
      <c r="B189" s="138"/>
      <c r="C189" s="1316"/>
      <c r="D189" s="1316"/>
      <c r="E189" s="1319"/>
      <c r="F189" s="1318"/>
      <c r="G189" s="1316"/>
      <c r="H189" s="1319"/>
      <c r="I189" s="1318"/>
      <c r="J189" s="1316"/>
      <c r="K189" s="1319"/>
      <c r="Q189" s="109"/>
    </row>
    <row r="190" spans="1:18" ht="11.25" customHeight="1" x14ac:dyDescent="0.25">
      <c r="A190" s="886" t="str">
        <f t="shared" si="34"/>
        <v>Health Services</v>
      </c>
      <c r="B190" s="138"/>
      <c r="C190" s="1316"/>
      <c r="D190" s="1316">
        <f>401390+2417049</f>
        <v>2818439</v>
      </c>
      <c r="E190" s="1319">
        <f>29063+3883579</f>
        <v>3912642</v>
      </c>
      <c r="F190" s="1318">
        <v>1555702.9378799996</v>
      </c>
      <c r="G190" s="1316">
        <v>4174007.7578799995</v>
      </c>
      <c r="H190" s="1319">
        <v>4174007.7578799995</v>
      </c>
      <c r="I190" s="1318">
        <v>4253406</v>
      </c>
      <c r="J190" s="1316">
        <f>I190*1.06</f>
        <v>4508610.3600000003</v>
      </c>
      <c r="K190" s="1319">
        <f>J190*1.06</f>
        <v>4779126.9816000005</v>
      </c>
      <c r="Q190" s="109"/>
    </row>
    <row r="191" spans="1:18" ht="11.25" customHeight="1" x14ac:dyDescent="0.25">
      <c r="A191" s="886" t="str">
        <f t="shared" si="34"/>
        <v>Laboratory Services</v>
      </c>
      <c r="B191" s="138"/>
      <c r="C191" s="1316"/>
      <c r="D191" s="1316"/>
      <c r="E191" s="1319"/>
      <c r="F191" s="1318"/>
      <c r="G191" s="1316"/>
      <c r="H191" s="1319"/>
      <c r="I191" s="1318"/>
      <c r="J191" s="1316"/>
      <c r="K191" s="1319"/>
      <c r="Q191" s="109"/>
    </row>
    <row r="192" spans="1:18" ht="11.25" customHeight="1" x14ac:dyDescent="0.25">
      <c r="A192" s="886" t="str">
        <f t="shared" si="34"/>
        <v>Food Control</v>
      </c>
      <c r="B192" s="138"/>
      <c r="C192" s="1316"/>
      <c r="D192" s="1316"/>
      <c r="E192" s="1319"/>
      <c r="F192" s="1318"/>
      <c r="G192" s="1316"/>
      <c r="H192" s="1319"/>
      <c r="I192" s="1318"/>
      <c r="J192" s="1316"/>
      <c r="K192" s="1319"/>
      <c r="Q192" s="109"/>
    </row>
    <row r="193" spans="1:17" ht="11.25" customHeight="1" x14ac:dyDescent="0.25">
      <c r="A193" s="886" t="str">
        <f t="shared" si="34"/>
        <v>Health Surveillance and Prevention of Communicable Diseases including immunizations</v>
      </c>
      <c r="B193" s="138"/>
      <c r="C193" s="1316"/>
      <c r="D193" s="1316"/>
      <c r="E193" s="1319"/>
      <c r="F193" s="1318"/>
      <c r="G193" s="1316"/>
      <c r="H193" s="1319"/>
      <c r="I193" s="1318"/>
      <c r="J193" s="1316"/>
      <c r="K193" s="1319"/>
      <c r="Q193" s="109"/>
    </row>
    <row r="194" spans="1:17" ht="11.25" customHeight="1" x14ac:dyDescent="0.25">
      <c r="A194" s="886" t="str">
        <f t="shared" si="34"/>
        <v>Vector Control</v>
      </c>
      <c r="B194" s="138"/>
      <c r="C194" s="1316"/>
      <c r="D194" s="1316"/>
      <c r="E194" s="1319"/>
      <c r="F194" s="1318"/>
      <c r="G194" s="1316"/>
      <c r="H194" s="1319"/>
      <c r="I194" s="1318"/>
      <c r="J194" s="1316"/>
      <c r="K194" s="1319"/>
      <c r="Q194" s="109"/>
    </row>
    <row r="195" spans="1:17" ht="11.25" customHeight="1" x14ac:dyDescent="0.25">
      <c r="A195" s="886" t="str">
        <f t="shared" si="34"/>
        <v>Chemical Safety</v>
      </c>
      <c r="B195" s="138"/>
      <c r="C195" s="1316"/>
      <c r="D195" s="1316"/>
      <c r="E195" s="1319"/>
      <c r="F195" s="1318"/>
      <c r="G195" s="1316"/>
      <c r="H195" s="1319"/>
      <c r="I195" s="1318"/>
      <c r="J195" s="1316"/>
      <c r="K195" s="1319"/>
      <c r="Q195" s="109"/>
    </row>
    <row r="196" spans="1:17" ht="11.25" customHeight="1" x14ac:dyDescent="0.25">
      <c r="A196" s="728" t="str">
        <f t="shared" si="34"/>
        <v>Economic and environmental services</v>
      </c>
      <c r="B196" s="138"/>
      <c r="C196" s="122">
        <f t="shared" ref="C196:K196" si="37">C197+C208+C213</f>
        <v>0</v>
      </c>
      <c r="D196" s="122">
        <f t="shared" si="37"/>
        <v>22681727</v>
      </c>
      <c r="E196" s="507">
        <f t="shared" si="37"/>
        <v>27631735</v>
      </c>
      <c r="F196" s="125">
        <f t="shared" si="37"/>
        <v>43062261.697349995</v>
      </c>
      <c r="G196" s="122">
        <f t="shared" si="37"/>
        <v>42997870.06735</v>
      </c>
      <c r="H196" s="507">
        <f t="shared" si="37"/>
        <v>42997870.06735</v>
      </c>
      <c r="I196" s="125">
        <f t="shared" si="37"/>
        <v>45515754</v>
      </c>
      <c r="J196" s="122">
        <f t="shared" si="37"/>
        <v>48246699.240000002</v>
      </c>
      <c r="K196" s="507">
        <f t="shared" si="37"/>
        <v>51141501.194400005</v>
      </c>
      <c r="Q196" s="109"/>
    </row>
    <row r="197" spans="1:17" ht="11.25" customHeight="1" x14ac:dyDescent="0.25">
      <c r="A197" s="767" t="str">
        <f t="shared" si="34"/>
        <v>Planning and development</v>
      </c>
      <c r="B197" s="138"/>
      <c r="C197" s="81">
        <f>SUM(C198:C207)</f>
        <v>0</v>
      </c>
      <c r="D197" s="81">
        <f t="shared" ref="D197:K197" si="38">SUM(D198:D207)</f>
        <v>2522410</v>
      </c>
      <c r="E197" s="472">
        <f t="shared" si="38"/>
        <v>2579622</v>
      </c>
      <c r="F197" s="84">
        <f t="shared" si="38"/>
        <v>12263095.19235</v>
      </c>
      <c r="G197" s="81">
        <f t="shared" si="38"/>
        <v>14810096.46235</v>
      </c>
      <c r="H197" s="472">
        <f t="shared" si="38"/>
        <v>14810096.46235</v>
      </c>
      <c r="I197" s="84">
        <f t="shared" si="38"/>
        <v>16634362</v>
      </c>
      <c r="J197" s="81">
        <f t="shared" si="38"/>
        <v>17632423.720000003</v>
      </c>
      <c r="K197" s="472">
        <f t="shared" si="38"/>
        <v>18690369.143200003</v>
      </c>
      <c r="Q197" s="109"/>
    </row>
    <row r="198" spans="1:17" ht="11.25" customHeight="1" x14ac:dyDescent="0.25">
      <c r="A198" s="886" t="str">
        <f t="shared" si="34"/>
        <v>Billboards</v>
      </c>
      <c r="B198" s="138"/>
      <c r="C198" s="1316"/>
      <c r="D198" s="1316"/>
      <c r="E198" s="1319"/>
      <c r="F198" s="1318"/>
      <c r="G198" s="1316"/>
      <c r="H198" s="1319"/>
      <c r="I198" s="1318"/>
      <c r="J198" s="1316"/>
      <c r="K198" s="1319"/>
      <c r="Q198" s="109"/>
    </row>
    <row r="199" spans="1:17" ht="11.25" customHeight="1" x14ac:dyDescent="0.25">
      <c r="A199" s="886" t="str">
        <f t="shared" si="34"/>
        <v>Corporate Wide Strategic Planning (IDPs, LEDs)</v>
      </c>
      <c r="B199" s="138"/>
      <c r="C199" s="1316"/>
      <c r="D199" s="1316">
        <v>2522410</v>
      </c>
      <c r="E199" s="1319">
        <v>2579622</v>
      </c>
      <c r="F199" s="1318">
        <v>2668632.8239999996</v>
      </c>
      <c r="G199" s="1316">
        <v>2199944.8239999996</v>
      </c>
      <c r="H199" s="1319">
        <v>2199944.8239999996</v>
      </c>
      <c r="I199" s="1318">
        <v>2354505</v>
      </c>
      <c r="J199" s="1316">
        <f>I199*1.06</f>
        <v>2495775.3000000003</v>
      </c>
      <c r="K199" s="1319">
        <f>J199*1.06</f>
        <v>2645521.8180000004</v>
      </c>
      <c r="Q199" s="109"/>
    </row>
    <row r="200" spans="1:17" ht="11.25" customHeight="1" x14ac:dyDescent="0.25">
      <c r="A200" s="886" t="str">
        <f t="shared" si="34"/>
        <v>Central City Improvement District</v>
      </c>
      <c r="B200" s="138"/>
      <c r="C200" s="1316"/>
      <c r="D200" s="1316"/>
      <c r="E200" s="1319"/>
      <c r="F200" s="1318"/>
      <c r="G200" s="1316"/>
      <c r="H200" s="1319"/>
      <c r="I200" s="1318"/>
      <c r="J200" s="1316"/>
      <c r="K200" s="1319"/>
      <c r="Q200" s="109"/>
    </row>
    <row r="201" spans="1:17" ht="11.25" customHeight="1" x14ac:dyDescent="0.25">
      <c r="A201" s="886" t="str">
        <f t="shared" si="34"/>
        <v>Development Facilitation</v>
      </c>
      <c r="B201" s="138"/>
      <c r="C201" s="1316"/>
      <c r="D201" s="1316"/>
      <c r="E201" s="1319"/>
      <c r="F201" s="1318"/>
      <c r="G201" s="1316"/>
      <c r="H201" s="1319"/>
      <c r="I201" s="1318"/>
      <c r="J201" s="1316"/>
      <c r="K201" s="1319"/>
      <c r="Q201" s="109"/>
    </row>
    <row r="202" spans="1:17" ht="11.25" customHeight="1" x14ac:dyDescent="0.25">
      <c r="A202" s="886" t="str">
        <f t="shared" si="34"/>
        <v>Economic Development/Planning</v>
      </c>
      <c r="B202" s="138"/>
      <c r="C202" s="1316"/>
      <c r="D202" s="1316"/>
      <c r="E202" s="1319"/>
      <c r="F202" s="1318"/>
      <c r="G202" s="1316"/>
      <c r="H202" s="1319"/>
      <c r="I202" s="1318"/>
      <c r="J202" s="1316"/>
      <c r="K202" s="1319"/>
      <c r="Q202" s="109"/>
    </row>
    <row r="203" spans="1:17" ht="11.25" customHeight="1" x14ac:dyDescent="0.25">
      <c r="A203" s="886" t="str">
        <f t="shared" si="34"/>
        <v>Regional Planning and Development</v>
      </c>
      <c r="B203" s="138"/>
      <c r="C203" s="1316"/>
      <c r="D203" s="1316"/>
      <c r="E203" s="1319"/>
      <c r="F203" s="1318"/>
      <c r="G203" s="1316"/>
      <c r="H203" s="1319"/>
      <c r="I203" s="1318"/>
      <c r="J203" s="1316"/>
      <c r="K203" s="1319"/>
      <c r="Q203" s="109"/>
    </row>
    <row r="204" spans="1:17" ht="11.25" customHeight="1" x14ac:dyDescent="0.25">
      <c r="A204" s="886" t="str">
        <f t="shared" si="34"/>
        <v>Town Planning, Building Regulations and Enforcement, and City Engineer</v>
      </c>
      <c r="B204" s="138"/>
      <c r="C204" s="1316"/>
      <c r="D204" s="1316"/>
      <c r="E204" s="1319"/>
      <c r="F204" s="1318">
        <v>6373812.4883500002</v>
      </c>
      <c r="G204" s="1316">
        <v>10125813.958350001</v>
      </c>
      <c r="H204" s="1319">
        <v>10125813.958350001</v>
      </c>
      <c r="I204" s="1318">
        <v>11335899</v>
      </c>
      <c r="J204" s="1316">
        <f>I204*1.06</f>
        <v>12016052.940000001</v>
      </c>
      <c r="K204" s="1319">
        <f>J204*1.06</f>
        <v>12737016.116400002</v>
      </c>
      <c r="Q204" s="109"/>
    </row>
    <row r="205" spans="1:17" ht="11.25" customHeight="1" x14ac:dyDescent="0.25">
      <c r="A205" s="886" t="str">
        <f t="shared" si="34"/>
        <v>Project Management Unit</v>
      </c>
      <c r="B205" s="138"/>
      <c r="C205" s="1316"/>
      <c r="D205" s="1316"/>
      <c r="E205" s="1319"/>
      <c r="F205" s="1318">
        <v>3220649.88</v>
      </c>
      <c r="G205" s="1316">
        <v>2484337.6799999997</v>
      </c>
      <c r="H205" s="1319">
        <v>2484337.6799999997</v>
      </c>
      <c r="I205" s="1318">
        <v>2943958</v>
      </c>
      <c r="J205" s="1316">
        <f>I205*1.06</f>
        <v>3120595.48</v>
      </c>
      <c r="K205" s="1319">
        <f>J205*1.06</f>
        <v>3307831.2088000001</v>
      </c>
      <c r="Q205" s="109"/>
    </row>
    <row r="206" spans="1:17" ht="11.25" customHeight="1" x14ac:dyDescent="0.25">
      <c r="A206" s="886" t="str">
        <f t="shared" si="34"/>
        <v>Provincial Planning</v>
      </c>
      <c r="B206" s="138"/>
      <c r="C206" s="1316"/>
      <c r="D206" s="1316"/>
      <c r="E206" s="1319"/>
      <c r="F206" s="1318"/>
      <c r="G206" s="1316"/>
      <c r="H206" s="1319"/>
      <c r="I206" s="1318"/>
      <c r="J206" s="1316"/>
      <c r="K206" s="1319"/>
      <c r="Q206" s="109"/>
    </row>
    <row r="207" spans="1:17" ht="11.25" customHeight="1" x14ac:dyDescent="0.25">
      <c r="A207" s="886" t="str">
        <f t="shared" si="34"/>
        <v>Support to Local Municipalities</v>
      </c>
      <c r="B207" s="138"/>
      <c r="C207" s="1316"/>
      <c r="D207" s="1316"/>
      <c r="E207" s="1319"/>
      <c r="F207" s="1318"/>
      <c r="G207" s="1316"/>
      <c r="H207" s="1319"/>
      <c r="I207" s="1318"/>
      <c r="J207" s="1316"/>
      <c r="K207" s="1319"/>
      <c r="Q207" s="109"/>
    </row>
    <row r="208" spans="1:17" ht="11.25" customHeight="1" x14ac:dyDescent="0.25">
      <c r="A208" s="767" t="str">
        <f t="shared" si="34"/>
        <v>Road transport</v>
      </c>
      <c r="B208" s="138"/>
      <c r="C208" s="81">
        <f t="shared" ref="C208:K208" si="39">SUM(C209:C212)</f>
        <v>0</v>
      </c>
      <c r="D208" s="81">
        <f t="shared" si="39"/>
        <v>20159317</v>
      </c>
      <c r="E208" s="472">
        <f t="shared" si="39"/>
        <v>25052113</v>
      </c>
      <c r="F208" s="84">
        <f t="shared" si="39"/>
        <v>30799166.504999999</v>
      </c>
      <c r="G208" s="81">
        <f t="shared" si="39"/>
        <v>28187773.605</v>
      </c>
      <c r="H208" s="472">
        <f t="shared" si="39"/>
        <v>28187773.605</v>
      </c>
      <c r="I208" s="84">
        <f t="shared" si="39"/>
        <v>28881392</v>
      </c>
      <c r="J208" s="81">
        <f t="shared" si="39"/>
        <v>30614275.52</v>
      </c>
      <c r="K208" s="472">
        <f t="shared" si="39"/>
        <v>32451132.051200002</v>
      </c>
      <c r="Q208" s="109"/>
    </row>
    <row r="209" spans="1:17" ht="11.25" customHeight="1" x14ac:dyDescent="0.25">
      <c r="A209" s="886" t="str">
        <f t="shared" si="34"/>
        <v>Public Transport</v>
      </c>
      <c r="B209" s="138"/>
      <c r="C209" s="1316"/>
      <c r="D209" s="1316"/>
      <c r="E209" s="1319"/>
      <c r="F209" s="1318"/>
      <c r="G209" s="1316"/>
      <c r="H209" s="1319"/>
      <c r="I209" s="1318"/>
      <c r="J209" s="1316"/>
      <c r="K209" s="1319"/>
      <c r="Q209" s="109"/>
    </row>
    <row r="210" spans="1:17" ht="11.25" customHeight="1" x14ac:dyDescent="0.25">
      <c r="A210" s="886" t="str">
        <f t="shared" si="34"/>
        <v>Road and Traffic Regulation</v>
      </c>
      <c r="B210" s="138"/>
      <c r="C210" s="1316"/>
      <c r="D210" s="1316"/>
      <c r="E210" s="1319"/>
      <c r="F210" s="1318">
        <v>6014153.7699999996</v>
      </c>
      <c r="G210" s="1316">
        <v>5493098.4499999993</v>
      </c>
      <c r="H210" s="1319">
        <v>5493098.4499999993</v>
      </c>
      <c r="I210" s="1318">
        <v>5593939</v>
      </c>
      <c r="J210" s="1316">
        <f>I210*1.06</f>
        <v>5929575.3399999999</v>
      </c>
      <c r="K210" s="1319">
        <f>J210*1.06</f>
        <v>6285349.8604000006</v>
      </c>
      <c r="Q210" s="109"/>
    </row>
    <row r="211" spans="1:17" ht="11.25" customHeight="1" x14ac:dyDescent="0.25">
      <c r="A211" s="886" t="str">
        <f t="shared" si="34"/>
        <v>Roads</v>
      </c>
      <c r="B211" s="138"/>
      <c r="C211" s="1316"/>
      <c r="D211" s="1316">
        <v>20159317</v>
      </c>
      <c r="E211" s="1319">
        <v>25052113</v>
      </c>
      <c r="F211" s="1318">
        <v>24785012.734999999</v>
      </c>
      <c r="G211" s="1316">
        <v>22694675.155000001</v>
      </c>
      <c r="H211" s="1319">
        <v>22694675.155000001</v>
      </c>
      <c r="I211" s="1318">
        <v>23287453</v>
      </c>
      <c r="J211" s="1316">
        <f>I211*1.06</f>
        <v>24684700.18</v>
      </c>
      <c r="K211" s="1319">
        <f>J211*1.06</f>
        <v>26165782.1908</v>
      </c>
      <c r="Q211" s="109"/>
    </row>
    <row r="212" spans="1:17" ht="11.25" customHeight="1" x14ac:dyDescent="0.25">
      <c r="A212" s="886" t="str">
        <f t="shared" si="34"/>
        <v>Taxi Ranks</v>
      </c>
      <c r="B212" s="138"/>
      <c r="C212" s="1316"/>
      <c r="D212" s="1316"/>
      <c r="E212" s="1319"/>
      <c r="F212" s="1318"/>
      <c r="G212" s="1316"/>
      <c r="H212" s="1319"/>
      <c r="I212" s="1318"/>
      <c r="J212" s="1316"/>
      <c r="K212" s="1319"/>
      <c r="Q212" s="109"/>
    </row>
    <row r="213" spans="1:17" ht="11.25" customHeight="1" x14ac:dyDescent="0.25">
      <c r="A213" s="767" t="str">
        <f t="shared" si="34"/>
        <v>Environmental protection</v>
      </c>
      <c r="B213" s="138"/>
      <c r="C213" s="81">
        <f>SUM(C214:C219)</f>
        <v>0</v>
      </c>
      <c r="D213" s="81">
        <f t="shared" ref="D213:K213" si="40">SUM(D214:D219)</f>
        <v>0</v>
      </c>
      <c r="E213" s="472">
        <f t="shared" si="40"/>
        <v>0</v>
      </c>
      <c r="F213" s="84">
        <f t="shared" si="40"/>
        <v>0</v>
      </c>
      <c r="G213" s="81">
        <f t="shared" si="40"/>
        <v>0</v>
      </c>
      <c r="H213" s="472">
        <f t="shared" si="40"/>
        <v>0</v>
      </c>
      <c r="I213" s="84">
        <f t="shared" si="40"/>
        <v>0</v>
      </c>
      <c r="J213" s="81">
        <f t="shared" si="40"/>
        <v>0</v>
      </c>
      <c r="K213" s="472">
        <f t="shared" si="40"/>
        <v>0</v>
      </c>
      <c r="Q213" s="109"/>
    </row>
    <row r="214" spans="1:17" ht="11.25" customHeight="1" x14ac:dyDescent="0.25">
      <c r="A214" s="886" t="str">
        <f t="shared" si="34"/>
        <v>Biodiversity and Landscape</v>
      </c>
      <c r="B214" s="138"/>
      <c r="C214" s="1316"/>
      <c r="D214" s="1316"/>
      <c r="E214" s="1319"/>
      <c r="F214" s="1318"/>
      <c r="G214" s="1316"/>
      <c r="H214" s="1319"/>
      <c r="I214" s="1318"/>
      <c r="J214" s="1316"/>
      <c r="K214" s="1319"/>
      <c r="Q214" s="109"/>
    </row>
    <row r="215" spans="1:17" ht="11.25" customHeight="1" x14ac:dyDescent="0.25">
      <c r="A215" s="886" t="str">
        <f t="shared" si="34"/>
        <v>Coastal Protection</v>
      </c>
      <c r="B215" s="138"/>
      <c r="C215" s="1316"/>
      <c r="D215" s="1316"/>
      <c r="E215" s="1319"/>
      <c r="F215" s="1318"/>
      <c r="G215" s="1316"/>
      <c r="H215" s="1319"/>
      <c r="I215" s="1318"/>
      <c r="J215" s="1316"/>
      <c r="K215" s="1319"/>
      <c r="Q215" s="109"/>
    </row>
    <row r="216" spans="1:17" ht="11.25" customHeight="1" x14ac:dyDescent="0.25">
      <c r="A216" s="886" t="str">
        <f t="shared" si="34"/>
        <v>Indigenous Forests</v>
      </c>
      <c r="B216" s="138"/>
      <c r="C216" s="1316"/>
      <c r="D216" s="1316"/>
      <c r="E216" s="1319"/>
      <c r="F216" s="1318"/>
      <c r="G216" s="1316"/>
      <c r="H216" s="1319"/>
      <c r="I216" s="1318"/>
      <c r="J216" s="1316"/>
      <c r="K216" s="1319"/>
      <c r="Q216" s="109"/>
    </row>
    <row r="217" spans="1:17" ht="11.25" customHeight="1" x14ac:dyDescent="0.25">
      <c r="A217" s="886" t="str">
        <f t="shared" ref="A217:A245" si="41">A95</f>
        <v>Nature Conservation</v>
      </c>
      <c r="B217" s="138"/>
      <c r="C217" s="1316"/>
      <c r="D217" s="1316"/>
      <c r="E217" s="1319"/>
      <c r="F217" s="1318"/>
      <c r="G217" s="1316"/>
      <c r="H217" s="1319"/>
      <c r="I217" s="1318"/>
      <c r="J217" s="1316"/>
      <c r="K217" s="1319"/>
      <c r="Q217" s="109"/>
    </row>
    <row r="218" spans="1:17" ht="11.25" customHeight="1" x14ac:dyDescent="0.25">
      <c r="A218" s="886" t="str">
        <f t="shared" si="41"/>
        <v>Pollution Control</v>
      </c>
      <c r="B218" s="138"/>
      <c r="C218" s="1316"/>
      <c r="D218" s="1316"/>
      <c r="E218" s="1319"/>
      <c r="F218" s="1318"/>
      <c r="G218" s="1316"/>
      <c r="H218" s="1319"/>
      <c r="I218" s="1318"/>
      <c r="J218" s="1316"/>
      <c r="K218" s="1319"/>
      <c r="Q218" s="109"/>
    </row>
    <row r="219" spans="1:17" ht="11.25" customHeight="1" x14ac:dyDescent="0.25">
      <c r="A219" s="886" t="str">
        <f t="shared" si="41"/>
        <v>Soil Conservation</v>
      </c>
      <c r="B219" s="138"/>
      <c r="C219" s="1316"/>
      <c r="D219" s="1316"/>
      <c r="E219" s="1319"/>
      <c r="F219" s="1318"/>
      <c r="G219" s="1316"/>
      <c r="H219" s="1319"/>
      <c r="I219" s="1318"/>
      <c r="J219" s="1316"/>
      <c r="K219" s="1319"/>
      <c r="Q219" s="109"/>
    </row>
    <row r="220" spans="1:17" ht="11.25" customHeight="1" x14ac:dyDescent="0.25">
      <c r="A220" s="728" t="str">
        <f t="shared" si="41"/>
        <v>Trading services</v>
      </c>
      <c r="B220" s="138"/>
      <c r="C220" s="122">
        <f>C221+C225+C229+C234</f>
        <v>0</v>
      </c>
      <c r="D220" s="122">
        <f t="shared" ref="D220:K220" si="42">D221+D225+D229+D234</f>
        <v>196083574</v>
      </c>
      <c r="E220" s="507">
        <f t="shared" si="42"/>
        <v>157063166</v>
      </c>
      <c r="F220" s="125">
        <f t="shared" si="42"/>
        <v>187320461.11563429</v>
      </c>
      <c r="G220" s="122">
        <f t="shared" si="42"/>
        <v>207277292.12563428</v>
      </c>
      <c r="H220" s="507">
        <f t="shared" si="42"/>
        <v>207277292.12563428</v>
      </c>
      <c r="I220" s="125">
        <f t="shared" si="42"/>
        <v>211420877.5</v>
      </c>
      <c r="J220" s="122">
        <f t="shared" si="42"/>
        <v>224106130.14999998</v>
      </c>
      <c r="K220" s="507">
        <f t="shared" si="42"/>
        <v>237552497.95900005</v>
      </c>
      <c r="Q220" s="109"/>
    </row>
    <row r="221" spans="1:17" ht="11.25" customHeight="1" x14ac:dyDescent="0.25">
      <c r="A221" s="767" t="str">
        <f t="shared" si="41"/>
        <v>Energy sources</v>
      </c>
      <c r="B221" s="138"/>
      <c r="C221" s="81">
        <f>SUM(C222:C224)</f>
        <v>0</v>
      </c>
      <c r="D221" s="81">
        <f t="shared" ref="D221:K221" si="43">SUM(D222:D224)</f>
        <v>95440746</v>
      </c>
      <c r="E221" s="472">
        <f t="shared" si="43"/>
        <v>101676552</v>
      </c>
      <c r="F221" s="84">
        <f t="shared" si="43"/>
        <v>105512730.54064001</v>
      </c>
      <c r="G221" s="81">
        <f t="shared" si="43"/>
        <v>105090646.64064001</v>
      </c>
      <c r="H221" s="472">
        <f t="shared" si="43"/>
        <v>105090646.64064001</v>
      </c>
      <c r="I221" s="84">
        <f t="shared" si="43"/>
        <v>114534626</v>
      </c>
      <c r="J221" s="81">
        <f t="shared" si="43"/>
        <v>121406703.56</v>
      </c>
      <c r="K221" s="472">
        <f t="shared" si="43"/>
        <v>128691105.77360001</v>
      </c>
      <c r="Q221" s="109"/>
    </row>
    <row r="222" spans="1:17" ht="11.25" customHeight="1" x14ac:dyDescent="0.25">
      <c r="A222" s="886" t="str">
        <f t="shared" si="41"/>
        <v xml:space="preserve">Electricity </v>
      </c>
      <c r="B222" s="138"/>
      <c r="C222" s="1316"/>
      <c r="D222" s="1316">
        <v>95440746</v>
      </c>
      <c r="E222" s="1319">
        <v>101676552</v>
      </c>
      <c r="F222" s="1318">
        <v>105437666.64064001</v>
      </c>
      <c r="G222" s="1316">
        <v>105090646.64064001</v>
      </c>
      <c r="H222" s="1319">
        <v>105090646.64064001</v>
      </c>
      <c r="I222" s="1318">
        <v>114534626</v>
      </c>
      <c r="J222" s="1316">
        <f>I222*1.06</f>
        <v>121406703.56</v>
      </c>
      <c r="K222" s="1319">
        <f>J222*1.06</f>
        <v>128691105.77360001</v>
      </c>
      <c r="Q222" s="109"/>
    </row>
    <row r="223" spans="1:17" ht="11.25" customHeight="1" x14ac:dyDescent="0.25">
      <c r="A223" s="886" t="str">
        <f t="shared" si="41"/>
        <v>Street Lighting and Signal Systems</v>
      </c>
      <c r="B223" s="138"/>
      <c r="C223" s="1316"/>
      <c r="D223" s="1316"/>
      <c r="E223" s="1319"/>
      <c r="F223" s="1318">
        <v>75063.899999999994</v>
      </c>
      <c r="G223" s="1316">
        <v>0</v>
      </c>
      <c r="H223" s="1319">
        <v>0</v>
      </c>
      <c r="I223" s="1318">
        <v>0</v>
      </c>
      <c r="J223" s="1316">
        <v>0</v>
      </c>
      <c r="K223" s="1319">
        <v>0</v>
      </c>
      <c r="Q223" s="109"/>
    </row>
    <row r="224" spans="1:17" ht="11.25" customHeight="1" x14ac:dyDescent="0.25">
      <c r="A224" s="886" t="str">
        <f t="shared" si="41"/>
        <v>Nonelectric Energy</v>
      </c>
      <c r="B224" s="138"/>
      <c r="C224" s="1316"/>
      <c r="D224" s="1316"/>
      <c r="E224" s="1319"/>
      <c r="F224" s="1318"/>
      <c r="G224" s="1316"/>
      <c r="H224" s="1319"/>
      <c r="I224" s="1318"/>
      <c r="J224" s="1316"/>
      <c r="K224" s="1319"/>
      <c r="Q224" s="109"/>
    </row>
    <row r="225" spans="1:17" ht="11.25" customHeight="1" x14ac:dyDescent="0.25">
      <c r="A225" s="767" t="str">
        <f t="shared" si="41"/>
        <v>Water management</v>
      </c>
      <c r="B225" s="138"/>
      <c r="C225" s="81">
        <f>SUM(C226:C228)</f>
        <v>0</v>
      </c>
      <c r="D225" s="81">
        <f t="shared" ref="D225:K225" si="44">SUM(D226:D228)</f>
        <v>44706398</v>
      </c>
      <c r="E225" s="472">
        <f t="shared" si="44"/>
        <v>22363876</v>
      </c>
      <c r="F225" s="84">
        <f t="shared" si="44"/>
        <v>44178027.026079997</v>
      </c>
      <c r="G225" s="81">
        <f t="shared" si="44"/>
        <v>57064301.866080001</v>
      </c>
      <c r="H225" s="472">
        <f t="shared" si="44"/>
        <v>57064301.866080001</v>
      </c>
      <c r="I225" s="84">
        <f t="shared" si="44"/>
        <v>52756271</v>
      </c>
      <c r="J225" s="81">
        <f t="shared" si="44"/>
        <v>55921647.260000005</v>
      </c>
      <c r="K225" s="472">
        <f t="shared" si="44"/>
        <v>59276946.095600009</v>
      </c>
      <c r="Q225" s="109"/>
    </row>
    <row r="226" spans="1:17" ht="11.25" customHeight="1" x14ac:dyDescent="0.25">
      <c r="A226" s="886" t="str">
        <f t="shared" si="41"/>
        <v>Water Treatment</v>
      </c>
      <c r="B226" s="138"/>
      <c r="C226" s="1316"/>
      <c r="D226" s="1316"/>
      <c r="E226" s="1319"/>
      <c r="F226" s="1318">
        <v>2600000</v>
      </c>
      <c r="G226" s="1316">
        <v>2600000</v>
      </c>
      <c r="H226" s="1319">
        <v>2600000</v>
      </c>
      <c r="I226" s="1318">
        <v>2000000</v>
      </c>
      <c r="J226" s="1316">
        <f>I226*1.06</f>
        <v>2120000</v>
      </c>
      <c r="K226" s="1319">
        <f>J226*1.06</f>
        <v>2247200</v>
      </c>
      <c r="Q226" s="109"/>
    </row>
    <row r="227" spans="1:17" ht="11.25" customHeight="1" x14ac:dyDescent="0.25">
      <c r="A227" s="886" t="str">
        <f t="shared" si="41"/>
        <v>Water Distribution</v>
      </c>
      <c r="B227" s="138"/>
      <c r="C227" s="1316"/>
      <c r="D227" s="1316">
        <v>44706398</v>
      </c>
      <c r="E227" s="1319">
        <v>22363876</v>
      </c>
      <c r="F227" s="1318">
        <v>41578027.026079997</v>
      </c>
      <c r="G227" s="1316">
        <v>54464301.866080001</v>
      </c>
      <c r="H227" s="1319">
        <v>54464301.866080001</v>
      </c>
      <c r="I227" s="1318">
        <v>50756271</v>
      </c>
      <c r="J227" s="1316">
        <f>I227*1.06</f>
        <v>53801647.260000005</v>
      </c>
      <c r="K227" s="1319">
        <f>J227*1.06</f>
        <v>57029746.095600009</v>
      </c>
      <c r="Q227" s="109"/>
    </row>
    <row r="228" spans="1:17" ht="11.25" customHeight="1" x14ac:dyDescent="0.25">
      <c r="A228" s="886" t="str">
        <f t="shared" si="41"/>
        <v>Water Storage</v>
      </c>
      <c r="B228" s="138"/>
      <c r="C228" s="1316"/>
      <c r="D228" s="1316"/>
      <c r="E228" s="1319"/>
      <c r="F228" s="1318"/>
      <c r="G228" s="1316"/>
      <c r="H228" s="1319"/>
      <c r="I228" s="1318"/>
      <c r="J228" s="1316"/>
      <c r="K228" s="1319"/>
      <c r="Q228" s="109"/>
    </row>
    <row r="229" spans="1:17" ht="11.25" customHeight="1" x14ac:dyDescent="0.25">
      <c r="A229" s="767" t="str">
        <f t="shared" si="41"/>
        <v>Waste water management</v>
      </c>
      <c r="B229" s="138"/>
      <c r="C229" s="81">
        <f>SUM(C230:C233)</f>
        <v>0</v>
      </c>
      <c r="D229" s="81">
        <f t="shared" ref="D229:K229" si="45">SUM(D230:D233)</f>
        <v>42195017</v>
      </c>
      <c r="E229" s="472">
        <f t="shared" si="45"/>
        <v>8788350</v>
      </c>
      <c r="F229" s="84">
        <f t="shared" si="45"/>
        <v>21938625.615714282</v>
      </c>
      <c r="G229" s="81">
        <f t="shared" si="45"/>
        <v>28790232.125714283</v>
      </c>
      <c r="H229" s="472">
        <f t="shared" si="45"/>
        <v>28790232.125714283</v>
      </c>
      <c r="I229" s="84">
        <f t="shared" si="45"/>
        <v>28194021</v>
      </c>
      <c r="J229" s="81">
        <f t="shared" si="45"/>
        <v>29885662.260000002</v>
      </c>
      <c r="K229" s="472">
        <f t="shared" si="45"/>
        <v>31678801.995600004</v>
      </c>
      <c r="Q229" s="109"/>
    </row>
    <row r="230" spans="1:17" ht="11.25" customHeight="1" x14ac:dyDescent="0.25">
      <c r="A230" s="886" t="str">
        <f t="shared" si="41"/>
        <v>Public Toilets</v>
      </c>
      <c r="B230" s="138"/>
      <c r="C230" s="1316"/>
      <c r="D230" s="1316"/>
      <c r="E230" s="1319"/>
      <c r="F230" s="1318">
        <v>130000</v>
      </c>
      <c r="G230" s="1316">
        <v>50000</v>
      </c>
      <c r="H230" s="1319">
        <v>50000</v>
      </c>
      <c r="I230" s="1318">
        <v>80000</v>
      </c>
      <c r="J230" s="1316">
        <f t="shared" ref="J230:K232" si="46">I230*1.06</f>
        <v>84800</v>
      </c>
      <c r="K230" s="1319">
        <f t="shared" si="46"/>
        <v>89888</v>
      </c>
      <c r="Q230" s="109"/>
    </row>
    <row r="231" spans="1:17" ht="11.25" customHeight="1" x14ac:dyDescent="0.25">
      <c r="A231" s="886" t="str">
        <f t="shared" si="41"/>
        <v>Sewerage</v>
      </c>
      <c r="B231" s="138"/>
      <c r="C231" s="1316"/>
      <c r="D231" s="1316">
        <v>23690173</v>
      </c>
      <c r="E231" s="1319">
        <v>8545021</v>
      </c>
      <c r="F231" s="1318">
        <v>16504201.615714284</v>
      </c>
      <c r="G231" s="1316">
        <v>18764199.125714283</v>
      </c>
      <c r="H231" s="1319">
        <v>18764199.125714283</v>
      </c>
      <c r="I231" s="1318">
        <v>18304596</v>
      </c>
      <c r="J231" s="1316">
        <f t="shared" si="46"/>
        <v>19402871.760000002</v>
      </c>
      <c r="K231" s="1319">
        <f t="shared" si="46"/>
        <v>20567044.065600004</v>
      </c>
      <c r="Q231" s="109"/>
    </row>
    <row r="232" spans="1:17" ht="11.25" customHeight="1" x14ac:dyDescent="0.25">
      <c r="A232" s="886" t="str">
        <f t="shared" si="41"/>
        <v>Storm Water Management</v>
      </c>
      <c r="B232" s="138"/>
      <c r="C232" s="1316"/>
      <c r="D232" s="1316">
        <v>18504844</v>
      </c>
      <c r="E232" s="1319">
        <v>243329</v>
      </c>
      <c r="F232" s="1318">
        <v>5304424</v>
      </c>
      <c r="G232" s="1316">
        <v>9976033</v>
      </c>
      <c r="H232" s="1319">
        <v>9976033</v>
      </c>
      <c r="I232" s="1318">
        <v>9809425</v>
      </c>
      <c r="J232" s="1316">
        <f t="shared" si="46"/>
        <v>10397990.5</v>
      </c>
      <c r="K232" s="1319">
        <f t="shared" si="46"/>
        <v>11021869.93</v>
      </c>
      <c r="Q232" s="109"/>
    </row>
    <row r="233" spans="1:17" ht="11.25" customHeight="1" x14ac:dyDescent="0.25">
      <c r="A233" s="886" t="str">
        <f t="shared" si="41"/>
        <v>Waste Water Treatment</v>
      </c>
      <c r="B233" s="138"/>
      <c r="C233" s="1316"/>
      <c r="D233" s="1316"/>
      <c r="E233" s="1319"/>
      <c r="F233" s="1318"/>
      <c r="G233" s="1316"/>
      <c r="H233" s="1319"/>
      <c r="I233" s="1318"/>
      <c r="J233" s="1316"/>
      <c r="K233" s="1319"/>
      <c r="Q233" s="109"/>
    </row>
    <row r="234" spans="1:17" ht="11.25" customHeight="1" x14ac:dyDescent="0.25">
      <c r="A234" s="767" t="str">
        <f t="shared" si="41"/>
        <v>Waste management</v>
      </c>
      <c r="B234" s="138"/>
      <c r="C234" s="81">
        <f>SUM(C235:C238)</f>
        <v>0</v>
      </c>
      <c r="D234" s="81">
        <f t="shared" ref="D234:K234" si="47">SUM(D235:D238)</f>
        <v>13741413</v>
      </c>
      <c r="E234" s="472">
        <f t="shared" si="47"/>
        <v>24234388</v>
      </c>
      <c r="F234" s="84">
        <f t="shared" si="47"/>
        <v>15691077.933200002</v>
      </c>
      <c r="G234" s="81">
        <f t="shared" si="47"/>
        <v>16332111.493200002</v>
      </c>
      <c r="H234" s="472">
        <f t="shared" si="47"/>
        <v>16332111.493200002</v>
      </c>
      <c r="I234" s="84">
        <f t="shared" si="47"/>
        <v>15935959.5</v>
      </c>
      <c r="J234" s="81">
        <f t="shared" si="47"/>
        <v>16892117.07</v>
      </c>
      <c r="K234" s="472">
        <f t="shared" si="47"/>
        <v>17905644.0942</v>
      </c>
      <c r="Q234" s="109"/>
    </row>
    <row r="235" spans="1:17" ht="11.25" customHeight="1" x14ac:dyDescent="0.25">
      <c r="A235" s="886" t="str">
        <f t="shared" si="41"/>
        <v>Recycling</v>
      </c>
      <c r="B235" s="55"/>
      <c r="C235" s="1316"/>
      <c r="D235" s="1316"/>
      <c r="E235" s="1319"/>
      <c r="F235" s="1318"/>
      <c r="G235" s="1316"/>
      <c r="H235" s="1319"/>
      <c r="I235" s="1318"/>
      <c r="J235" s="1316"/>
      <c r="K235" s="1319"/>
    </row>
    <row r="236" spans="1:17" ht="11.25" customHeight="1" x14ac:dyDescent="0.25">
      <c r="A236" s="886" t="str">
        <f t="shared" si="41"/>
        <v>Solid Waste Disposal (Landfill Sites)</v>
      </c>
      <c r="B236" s="55"/>
      <c r="C236" s="1316"/>
      <c r="D236" s="1316"/>
      <c r="E236" s="1319"/>
      <c r="F236" s="1318">
        <v>1394450.5</v>
      </c>
      <c r="G236" s="1316">
        <v>1573323.5</v>
      </c>
      <c r="H236" s="1319">
        <v>1573323.5</v>
      </c>
      <c r="I236" s="1319">
        <v>1573323.5</v>
      </c>
      <c r="J236" s="1316">
        <f>I236*1.06</f>
        <v>1667722.9100000001</v>
      </c>
      <c r="K236" s="1319">
        <f>J236*1.06</f>
        <v>1767786.2846000004</v>
      </c>
    </row>
    <row r="237" spans="1:17" ht="11.25" customHeight="1" x14ac:dyDescent="0.25">
      <c r="A237" s="886" t="str">
        <f t="shared" si="41"/>
        <v>Solid Waste Removal</v>
      </c>
      <c r="B237" s="55"/>
      <c r="C237" s="1316"/>
      <c r="D237" s="1316">
        <v>13741413</v>
      </c>
      <c r="E237" s="1319">
        <v>24234388</v>
      </c>
      <c r="F237" s="1318">
        <v>14296627.433200002</v>
      </c>
      <c r="G237" s="1316">
        <v>14758787.993200002</v>
      </c>
      <c r="H237" s="1319">
        <v>14758787.993200002</v>
      </c>
      <c r="I237" s="1318">
        <v>14362636</v>
      </c>
      <c r="J237" s="1316">
        <f>I237*1.06</f>
        <v>15224394.16</v>
      </c>
      <c r="K237" s="1319">
        <f>J237*1.06</f>
        <v>16137857.809600001</v>
      </c>
    </row>
    <row r="238" spans="1:17" ht="11.25" customHeight="1" x14ac:dyDescent="0.25">
      <c r="A238" s="886" t="str">
        <f t="shared" si="41"/>
        <v>Street Cleaning</v>
      </c>
      <c r="B238" s="55"/>
      <c r="C238" s="1316"/>
      <c r="D238" s="1316"/>
      <c r="E238" s="1319"/>
      <c r="F238" s="1318"/>
      <c r="G238" s="1316"/>
      <c r="H238" s="1319"/>
      <c r="I238" s="1318"/>
      <c r="J238" s="1316"/>
      <c r="K238" s="1319"/>
    </row>
    <row r="239" spans="1:17" ht="11.25" customHeight="1" x14ac:dyDescent="0.25">
      <c r="A239" s="728" t="str">
        <f t="shared" si="41"/>
        <v>Other</v>
      </c>
      <c r="B239" s="55"/>
      <c r="C239" s="122">
        <f>SUM(C240:C245)</f>
        <v>0</v>
      </c>
      <c r="D239" s="122">
        <f t="shared" ref="D239:K239" si="48">SUM(D240:D245)</f>
        <v>1425032</v>
      </c>
      <c r="E239" s="507">
        <f t="shared" si="48"/>
        <v>1877285</v>
      </c>
      <c r="F239" s="125">
        <f t="shared" si="48"/>
        <v>2800463.9235</v>
      </c>
      <c r="G239" s="122">
        <f t="shared" si="48"/>
        <v>2862875.3435</v>
      </c>
      <c r="H239" s="507">
        <f t="shared" si="48"/>
        <v>2862875.3435</v>
      </c>
      <c r="I239" s="125">
        <f t="shared" si="48"/>
        <v>2070401</v>
      </c>
      <c r="J239" s="122">
        <f t="shared" si="48"/>
        <v>2194625.06</v>
      </c>
      <c r="K239" s="507">
        <f t="shared" si="48"/>
        <v>2326302.5636000005</v>
      </c>
    </row>
    <row r="240" spans="1:17" ht="11.25" customHeight="1" x14ac:dyDescent="0.25">
      <c r="A240" s="767" t="str">
        <f t="shared" si="41"/>
        <v>Abattoirs</v>
      </c>
      <c r="B240" s="55"/>
      <c r="C240" s="1316"/>
      <c r="D240" s="1316"/>
      <c r="E240" s="1319"/>
      <c r="F240" s="1318"/>
      <c r="G240" s="1316"/>
      <c r="H240" s="1319"/>
      <c r="I240" s="1318"/>
      <c r="J240" s="1316"/>
      <c r="K240" s="1319"/>
    </row>
    <row r="241" spans="1:17" ht="11.25" customHeight="1" x14ac:dyDescent="0.25">
      <c r="A241" s="767" t="str">
        <f t="shared" si="41"/>
        <v>Air Transport</v>
      </c>
      <c r="B241" s="55"/>
      <c r="C241" s="1316"/>
      <c r="D241" s="1316">
        <v>1425032</v>
      </c>
      <c r="E241" s="1319">
        <v>1877285</v>
      </c>
      <c r="F241" s="1318">
        <v>1926592</v>
      </c>
      <c r="G241" s="1316">
        <v>2660673.42</v>
      </c>
      <c r="H241" s="1319">
        <v>2660673.42</v>
      </c>
      <c r="I241" s="1318">
        <v>2038094</v>
      </c>
      <c r="J241" s="1316">
        <f>I241*1.06</f>
        <v>2160379.64</v>
      </c>
      <c r="K241" s="1319">
        <f>J241*1.06</f>
        <v>2290002.4184000003</v>
      </c>
    </row>
    <row r="242" spans="1:17" ht="11.25" customHeight="1" x14ac:dyDescent="0.25">
      <c r="A242" s="767" t="str">
        <f t="shared" si="41"/>
        <v xml:space="preserve">Forestry </v>
      </c>
      <c r="B242" s="55"/>
      <c r="C242" s="1316"/>
      <c r="D242" s="1316"/>
      <c r="E242" s="1319"/>
      <c r="F242" s="1318"/>
      <c r="G242" s="1316"/>
      <c r="H242" s="1319"/>
      <c r="I242" s="1318"/>
      <c r="J242" s="1316"/>
      <c r="K242" s="1319"/>
    </row>
    <row r="243" spans="1:17" ht="11.25" customHeight="1" x14ac:dyDescent="0.25">
      <c r="A243" s="767" t="str">
        <f t="shared" si="41"/>
        <v>Licensing and Regulation</v>
      </c>
      <c r="B243" s="55"/>
      <c r="C243" s="1316"/>
      <c r="D243" s="1316"/>
      <c r="E243" s="1319"/>
      <c r="F243" s="1318"/>
      <c r="G243" s="1316"/>
      <c r="H243" s="1319"/>
      <c r="I243" s="1318"/>
      <c r="J243" s="1316"/>
      <c r="K243" s="1319"/>
    </row>
    <row r="244" spans="1:17" ht="11.25" customHeight="1" x14ac:dyDescent="0.25">
      <c r="A244" s="767" t="str">
        <f t="shared" si="41"/>
        <v>Markets</v>
      </c>
      <c r="B244" s="55"/>
      <c r="C244" s="1316"/>
      <c r="D244" s="1316"/>
      <c r="E244" s="1319"/>
      <c r="F244" s="1318"/>
      <c r="G244" s="1316"/>
      <c r="H244" s="1319"/>
      <c r="I244" s="1318"/>
      <c r="J244" s="1316"/>
      <c r="K244" s="1319"/>
    </row>
    <row r="245" spans="1:17" ht="11.25" customHeight="1" x14ac:dyDescent="0.25">
      <c r="A245" s="767" t="str">
        <f t="shared" si="41"/>
        <v>Tourism</v>
      </c>
      <c r="B245" s="55"/>
      <c r="C245" s="1316"/>
      <c r="D245" s="1316"/>
      <c r="E245" s="1319"/>
      <c r="F245" s="1318">
        <v>873871.92350000003</v>
      </c>
      <c r="G245" s="1316">
        <v>202201.92350000003</v>
      </c>
      <c r="H245" s="1319">
        <v>202201.92350000003</v>
      </c>
      <c r="I245" s="1318">
        <v>32307</v>
      </c>
      <c r="J245" s="1316">
        <f>I245*1.06</f>
        <v>34245.42</v>
      </c>
      <c r="K245" s="1319">
        <f>J245*1.06</f>
        <v>36300.145199999999</v>
      </c>
    </row>
    <row r="246" spans="1:17" ht="11.25" customHeight="1" x14ac:dyDescent="0.25">
      <c r="A246" s="118" t="str">
        <f>"Total "&amp;A126</f>
        <v>Total Expenditure - Functional</v>
      </c>
      <c r="B246" s="55">
        <v>3</v>
      </c>
      <c r="C246" s="81">
        <f t="shared" ref="C246:K246" si="49">C127+C147+C196+C220+C239</f>
        <v>0</v>
      </c>
      <c r="D246" s="81">
        <f t="shared" si="49"/>
        <v>374167586</v>
      </c>
      <c r="E246" s="472">
        <f t="shared" si="49"/>
        <v>419517289</v>
      </c>
      <c r="F246" s="84">
        <f t="shared" si="49"/>
        <v>366051098.57479829</v>
      </c>
      <c r="G246" s="81">
        <f t="shared" si="49"/>
        <v>381312297.66479826</v>
      </c>
      <c r="H246" s="472">
        <f t="shared" si="49"/>
        <v>381312297.66479826</v>
      </c>
      <c r="I246" s="84">
        <f t="shared" si="49"/>
        <v>392659855.5</v>
      </c>
      <c r="J246" s="81">
        <f t="shared" si="49"/>
        <v>416219446.82999998</v>
      </c>
      <c r="K246" s="472">
        <f t="shared" si="49"/>
        <v>441192613.63980007</v>
      </c>
      <c r="Q246" s="126"/>
    </row>
    <row r="247" spans="1:17" x14ac:dyDescent="0.25">
      <c r="A247" s="92" t="str">
        <f>result</f>
        <v>Surplus/(Deficit) for the year</v>
      </c>
      <c r="B247" s="93"/>
      <c r="C247" s="128">
        <f t="shared" ref="C247:K247" si="50">C124-C246</f>
        <v>0</v>
      </c>
      <c r="D247" s="128">
        <f t="shared" si="50"/>
        <v>-43726874</v>
      </c>
      <c r="E247" s="1305">
        <f t="shared" si="50"/>
        <v>-43253831</v>
      </c>
      <c r="F247" s="131">
        <f t="shared" si="50"/>
        <v>-23732194.034598291</v>
      </c>
      <c r="G247" s="128">
        <f t="shared" si="50"/>
        <v>-7555976.6485983133</v>
      </c>
      <c r="H247" s="1305">
        <f t="shared" si="50"/>
        <v>-7555976.6485983133</v>
      </c>
      <c r="I247" s="131">
        <f t="shared" si="50"/>
        <v>552472.87799966335</v>
      </c>
      <c r="J247" s="128">
        <f t="shared" si="50"/>
        <v>585621.25067967176</v>
      </c>
      <c r="K247" s="1305">
        <f t="shared" si="50"/>
        <v>620758.52572035789</v>
      </c>
    </row>
    <row r="248" spans="1:17" x14ac:dyDescent="0.25">
      <c r="A248" s="715" t="str">
        <f>head27a</f>
        <v>References</v>
      </c>
      <c r="B248" s="107"/>
      <c r="C248" s="664"/>
      <c r="D248" s="664"/>
      <c r="E248" s="664"/>
      <c r="F248" s="664"/>
      <c r="G248" s="664"/>
      <c r="H248" s="664"/>
      <c r="I248" s="664"/>
      <c r="J248" s="664"/>
      <c r="K248" s="664"/>
    </row>
    <row r="249" spans="1:17" ht="11.25" customHeight="1" x14ac:dyDescent="0.25">
      <c r="A249" s="132" t="s">
        <v>377</v>
      </c>
      <c r="B249" s="107"/>
      <c r="C249" s="716"/>
      <c r="D249" s="716"/>
      <c r="E249" s="717"/>
      <c r="F249" s="717"/>
      <c r="G249" s="717"/>
      <c r="H249" s="717"/>
      <c r="I249" s="717"/>
      <c r="J249" s="717"/>
      <c r="K249" s="717"/>
    </row>
    <row r="250" spans="1:17" ht="11.25" customHeight="1" x14ac:dyDescent="0.25">
      <c r="A250" s="105" t="s">
        <v>2491</v>
      </c>
      <c r="B250" s="107"/>
      <c r="C250" s="716"/>
      <c r="D250" s="716"/>
      <c r="E250" s="717"/>
      <c r="F250" s="717"/>
      <c r="G250" s="717"/>
      <c r="H250" s="717"/>
      <c r="I250" s="717"/>
      <c r="J250" s="717"/>
      <c r="K250" s="717"/>
    </row>
    <row r="251" spans="1:17" ht="11.25" customHeight="1" x14ac:dyDescent="0.25">
      <c r="A251" s="132" t="s">
        <v>2492</v>
      </c>
      <c r="B251" s="107"/>
      <c r="C251" s="716"/>
      <c r="D251" s="716"/>
      <c r="E251" s="717"/>
      <c r="F251" s="717"/>
      <c r="G251" s="717"/>
      <c r="H251" s="717"/>
      <c r="I251" s="717"/>
      <c r="J251" s="717"/>
      <c r="K251" s="717"/>
    </row>
    <row r="252" spans="1:17" ht="22.5" customHeight="1" x14ac:dyDescent="0.25">
      <c r="A252" s="1911" t="s">
        <v>2493</v>
      </c>
      <c r="B252" s="1911"/>
      <c r="C252" s="1911"/>
      <c r="D252" s="1911"/>
      <c r="E252" s="1911"/>
      <c r="F252" s="1911"/>
      <c r="G252" s="1911"/>
      <c r="H252" s="1911"/>
      <c r="I252" s="1911"/>
      <c r="J252" s="1911"/>
      <c r="K252" s="1911"/>
    </row>
    <row r="253" spans="1:17" ht="11.25" customHeight="1" x14ac:dyDescent="0.25">
      <c r="C253" s="103"/>
      <c r="D253" s="103"/>
      <c r="E253" s="104"/>
      <c r="F253" s="104"/>
      <c r="G253" s="104"/>
      <c r="H253" s="104"/>
      <c r="I253" s="104"/>
      <c r="J253" s="104"/>
      <c r="K253" s="104"/>
    </row>
    <row r="254" spans="1:17" ht="11.25" customHeight="1" x14ac:dyDescent="0.25">
      <c r="C254" s="103"/>
      <c r="D254" s="103"/>
      <c r="E254" s="104"/>
      <c r="F254" s="104"/>
      <c r="G254" s="104"/>
      <c r="H254" s="104"/>
      <c r="I254" s="104"/>
      <c r="J254" s="104"/>
      <c r="K254" s="104"/>
    </row>
    <row r="255" spans="1:17" ht="11.25" customHeight="1" x14ac:dyDescent="0.25">
      <c r="A255" s="133" t="s">
        <v>132</v>
      </c>
      <c r="B255" s="107"/>
      <c r="C255" s="134">
        <f>C124-'A4-FinPerf RE'!C59</f>
        <v>0</v>
      </c>
      <c r="D255" s="134">
        <f>D124-'A4-FinPerf RE'!D59</f>
        <v>0</v>
      </c>
      <c r="E255" s="134">
        <f>E124-'A4-FinPerf RE'!E59</f>
        <v>0</v>
      </c>
      <c r="F255" s="134">
        <f>F124-'A4-FinPerf RE'!F59</f>
        <v>-0.79980003833770752</v>
      </c>
      <c r="G255" s="134">
        <f>G124-'A4-FinPerf RE'!G59</f>
        <v>61.506199955940247</v>
      </c>
      <c r="H255" s="134">
        <f>H124-'A4-FinPerf RE'!H59</f>
        <v>61.506199955940247</v>
      </c>
      <c r="I255" s="134">
        <f>I124-'A4-FinPerf RE'!J59</f>
        <v>0.34399968385696411</v>
      </c>
      <c r="J255" s="134">
        <f>J124-'A4-FinPerf RE'!K59</f>
        <v>0.36463963985443115</v>
      </c>
      <c r="K255" s="134">
        <f>K124-'A4-FinPerf RE'!L59</f>
        <v>0.38651794195175171</v>
      </c>
    </row>
    <row r="256" spans="1:17" ht="11.25" customHeight="1" x14ac:dyDescent="0.25">
      <c r="A256" s="133" t="s">
        <v>760</v>
      </c>
      <c r="B256" s="107"/>
      <c r="C256" s="134">
        <f>C246-'A4-FinPerf RE'!C35</f>
        <v>0</v>
      </c>
      <c r="D256" s="134">
        <f>D246-'A4-FinPerf RE'!D35</f>
        <v>0</v>
      </c>
      <c r="E256" s="134">
        <f>E246-'A4-FinPerf RE'!E35</f>
        <v>0</v>
      </c>
      <c r="F256" s="134">
        <f>F246-'A4-FinPerf RE'!F35</f>
        <v>-8.8293313980102539E-2</v>
      </c>
      <c r="G256" s="134">
        <f>G246-'A4-FinPerf RE'!G35</f>
        <v>320.0597066283226</v>
      </c>
      <c r="H256" s="134">
        <f>H246-'A4-FinPerf RE'!H35</f>
        <v>320.0597066283226</v>
      </c>
      <c r="I256" s="134">
        <f>I246-'A4-FinPerf RE'!J35</f>
        <v>-0.12979996204376221</v>
      </c>
      <c r="J256" s="134">
        <f>J246-'A4-FinPerf RE'!K35</f>
        <v>-0.13758796453475952</v>
      </c>
      <c r="K256" s="134">
        <f>K246-'A4-FinPerf RE'!L35</f>
        <v>-0.14584320783615112</v>
      </c>
    </row>
    <row r="257" spans="5:5" ht="11.25" customHeight="1" x14ac:dyDescent="0.25"/>
    <row r="258" spans="5:5" ht="11.25" customHeight="1" x14ac:dyDescent="0.25"/>
    <row r="259" spans="5:5" ht="11.25" customHeight="1" x14ac:dyDescent="0.25"/>
    <row r="260" spans="5:5" ht="11.25" customHeight="1" x14ac:dyDescent="0.25">
      <c r="E260" s="75"/>
    </row>
    <row r="261" spans="5:5" ht="11.25" customHeight="1" x14ac:dyDescent="0.25"/>
    <row r="262" spans="5:5" ht="11.25" customHeight="1" x14ac:dyDescent="0.25"/>
    <row r="263" spans="5:5" ht="11.25" customHeight="1" x14ac:dyDescent="0.25"/>
    <row r="264" spans="5:5" ht="11.25" customHeight="1" x14ac:dyDescent="0.25"/>
    <row r="265" spans="5:5" ht="11.25" customHeight="1" x14ac:dyDescent="0.25"/>
    <row r="266" spans="5:5" ht="11.25" customHeight="1" x14ac:dyDescent="0.25"/>
    <row r="267" spans="5:5" ht="11.25" customHeight="1" x14ac:dyDescent="0.25"/>
    <row r="268" spans="5:5" ht="11.25" customHeight="1" x14ac:dyDescent="0.25"/>
    <row r="269" spans="5:5" ht="11.25" customHeight="1" x14ac:dyDescent="0.25"/>
    <row r="270" spans="5:5" ht="11.25" customHeight="1" x14ac:dyDescent="0.25"/>
    <row r="271" spans="5:5" ht="11.25" customHeight="1" x14ac:dyDescent="0.25"/>
    <row r="272" spans="5:5"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sheetData>
  <mergeCells count="3">
    <mergeCell ref="F2:H2"/>
    <mergeCell ref="I2:K2"/>
    <mergeCell ref="A252:K252"/>
  </mergeCells>
  <phoneticPr fontId="3" type="noConversion"/>
  <dataValidations count="1">
    <dataValidation type="decimal" allowBlank="1" showInputMessage="1" showErrorMessage="1" sqref="C7:K8 C24:K24 C27:K47 C49:K53 C10:K22 C64:K65 C67:K73 C76:K85 C92:K97 C100:K102 C104:K106 C108:K111 C113:K116 C118:K123 C129:K130 C146:K146 C149:K169 C171:K175 C240:K245 C186:K187 C189:K195 C198:K207 C214:K219 C222:K224 C226:K228 C230:K233 C209:K212 C132:K144 C55:K62 C87:K90 C177:K184 C235:K238" xr:uid="{00000000-0002-0000-0800-000000000000}">
      <formula1>-99999999999999900000</formula1>
      <formula2>99999999999999900000</formula2>
    </dataValidation>
  </dataValidations>
  <pageMargins left="0.75" right="0.75" top="1" bottom="1" header="0.5" footer="0.5"/>
  <pageSetup paperSize="9" scale="60" orientation="portrait"/>
  <headerFooter alignWithMargins="0"/>
  <rowBreaks count="3" manualBreakCount="3">
    <brk id="73" max="16383" man="1"/>
    <brk id="125" max="16383" man="1"/>
    <brk id="195" max="16383" man="1"/>
  </rowBreaks>
  <ignoredErrors>
    <ignoredError sqref="C18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2788F15-1430-45C2-9B66-B1215D87F047}">
  <ds:schemaRef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F39E9AE-D95F-4FCE-81A3-7D45340A29B6}">
  <ds:schemaRefs>
    <ds:schemaRef ds:uri="http://schemas.microsoft.com/sharepoint/v3/contenttype/forms"/>
  </ds:schemaRefs>
</ds:datastoreItem>
</file>

<file path=customXml/itemProps3.xml><?xml version="1.0" encoding="utf-8"?>
<ds:datastoreItem xmlns:ds="http://schemas.openxmlformats.org/officeDocument/2006/customXml" ds:itemID="{6FE47864-B7D4-4B71-95F0-8FEEFBE0C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62</vt:i4>
      </vt:variant>
      <vt:variant>
        <vt:lpstr>Charts</vt:lpstr>
      </vt:variant>
      <vt:variant>
        <vt:i4>1</vt:i4>
      </vt:variant>
      <vt:variant>
        <vt:lpstr>Named Ranges</vt:lpstr>
      </vt:variant>
      <vt:variant>
        <vt:i4>254</vt:i4>
      </vt:variant>
    </vt:vector>
  </HeadingPairs>
  <TitlesOfParts>
    <vt:vector size="317"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SA13a</vt:lpstr>
      <vt:lpstr>SA13b</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SA34e</vt:lpstr>
      <vt:lpstr>SA35</vt:lpstr>
      <vt:lpstr>SA36</vt:lpstr>
      <vt:lpstr>SA37</vt:lpstr>
      <vt:lpstr>SA38</vt:lpstr>
      <vt:lpstr>LGDB_EXPORT</vt:lpstr>
      <vt:lpstr>Chart1</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asset_class1</vt:lpstr>
      <vt:lpstr>Asset_sub_class</vt:lpstr>
      <vt:lpstr>asset_subclass1</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IUDF</vt:lpstr>
      <vt:lpstr>List1</vt:lpstr>
      <vt:lpstr>List2</vt:lpstr>
      <vt:lpstr>List3</vt:lpstr>
      <vt:lpstr>List4</vt:lpstr>
      <vt:lpstr>List5</vt:lpstr>
      <vt:lpstr>List6</vt:lpstr>
      <vt:lpstr>List7</vt:lpstr>
      <vt:lpstr>List8</vt:lpstr>
      <vt:lpstr>MTREF</vt:lpstr>
      <vt:lpstr>MTSF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'A5-Capex'!Print_Area</vt:lpstr>
      <vt:lpstr>'A6-FinPos'!Print_Area</vt:lpstr>
      <vt:lpstr>'A9-Asset'!Print_Area</vt:lpstr>
      <vt:lpstr>Contacts!Print_Area</vt:lpstr>
      <vt:lpstr>Instructions!Print_Area</vt:lpstr>
      <vt:lpstr>'SA1'!Print_Area</vt:lpstr>
      <vt:lpstr>'SA11'!Print_Area</vt:lpstr>
      <vt:lpstr>SA12a!Print_Area</vt:lpstr>
      <vt:lpstr>SA12b!Print_Area</vt:lpstr>
      <vt:lpstr>SA13a!Print_Area</vt:lpstr>
      <vt:lpstr>SA13b!Print_Area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SA34b!Print_Area</vt:lpstr>
      <vt:lpstr>SA34e!Print_Area</vt:lpstr>
      <vt:lpstr>'SA35'!Print_Area</vt:lpstr>
      <vt:lpstr>'SA36'!Print_Area</vt:lpstr>
      <vt:lpstr>'SA37'!Print_Area</vt:lpstr>
      <vt:lpstr>'SA38'!Print_Area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SFPerf1</vt:lpstr>
      <vt:lpstr>SFPerf2</vt:lpstr>
      <vt:lpstr>SFpos1</vt:lpstr>
      <vt:lpstr>SFpos2</vt:lpstr>
      <vt:lpstr>TableA1</vt:lpstr>
      <vt:lpstr>TableA10</vt:lpstr>
      <vt:lpstr>TableA11</vt:lpstr>
      <vt:lpstr>TableA12a</vt:lpstr>
      <vt:lpstr>TableA12b</vt:lpstr>
      <vt:lpstr>TableA13a</vt:lpstr>
      <vt:lpstr>TableA13b</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TableA34e</vt:lpstr>
      <vt:lpstr>TableA35</vt:lpstr>
      <vt:lpstr>TableA36</vt:lpstr>
      <vt:lpstr>TableA37</vt:lpstr>
      <vt:lpstr>TableA38</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tersius</cp:lastModifiedBy>
  <cp:lastPrinted>2018-10-30T12:41:45Z</cp:lastPrinted>
  <dcterms:created xsi:type="dcterms:W3CDTF">2004-04-07T16:19:08Z</dcterms:created>
  <dcterms:modified xsi:type="dcterms:W3CDTF">2019-04-09T06:19:35Z</dcterms:modified>
</cp:coreProperties>
</file>